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pec543\Downloads\"/>
    </mc:Choice>
  </mc:AlternateContent>
  <bookViews>
    <workbookView xWindow="0" yWindow="0" windowWidth="19200" windowHeight="12135" activeTab="1"/>
  </bookViews>
  <sheets>
    <sheet name="ppm-mgL-1" sheetId="1" r:id="rId1"/>
    <sheet name="WC samples" sheetId="15" r:id="rId2"/>
    <sheet name="Stiff and Piper" sheetId="3" r:id="rId3"/>
    <sheet name="Bjerrum Plot" sheetId="13" r:id="rId4"/>
    <sheet name="Gas Solubility" sheetId="6" r:id="rId5"/>
    <sheet name="Elements and ions" sheetId="2" r:id="rId6"/>
    <sheet name="Minerals" sheetId="7" r:id="rId7"/>
    <sheet name="Henrys law constants" sheetId="5" r:id="rId8"/>
    <sheet name="Other Constants" sheetId="10" r:id="rId9"/>
    <sheet name="pKa" sheetId="12" r:id="rId10"/>
  </sheets>
  <externalReferences>
    <externalReference r:id="rId11"/>
  </externalReferences>
  <calcPr calcId="162913" concurrentCalc="0"/>
</workbook>
</file>

<file path=xl/calcChain.xml><?xml version="1.0" encoding="utf-8"?>
<calcChain xmlns="http://schemas.openxmlformats.org/spreadsheetml/2006/main">
  <c r="Z3" i="15" l="1"/>
  <c r="Z4" i="15"/>
  <c r="Z5" i="15"/>
  <c r="Z6" i="15"/>
  <c r="Z7" i="15"/>
  <c r="Z8" i="15"/>
  <c r="Z2" i="15"/>
  <c r="C4" i="3"/>
  <c r="H4" i="3"/>
  <c r="I4" i="3"/>
  <c r="M4" i="3"/>
  <c r="L4" i="3"/>
  <c r="K4" i="3"/>
  <c r="J4" i="3"/>
  <c r="E4" i="3"/>
  <c r="F4" i="3"/>
  <c r="G4" i="3"/>
  <c r="D4" i="3"/>
  <c r="B4" i="3"/>
  <c r="A4" i="3"/>
  <c r="EC131" i="1"/>
  <c r="EB131" i="1"/>
  <c r="DW131" i="1"/>
  <c r="DV131" i="1"/>
  <c r="DP131" i="1"/>
  <c r="DO131" i="1"/>
  <c r="DJ131" i="1"/>
  <c r="DI131" i="1"/>
  <c r="CY131" i="1"/>
  <c r="CV131" i="1"/>
  <c r="CL131" i="1"/>
  <c r="CK131" i="1"/>
  <c r="CJ131" i="1"/>
  <c r="DH131" i="1"/>
  <c r="CI131" i="1"/>
  <c r="DG131" i="1"/>
  <c r="CG131" i="1"/>
  <c r="DE131" i="1"/>
  <c r="CF131" i="1"/>
  <c r="DD131" i="1"/>
  <c r="CD131" i="1"/>
  <c r="DB131" i="1"/>
  <c r="CC131" i="1"/>
  <c r="DY131" i="1"/>
  <c r="CB131" i="1"/>
  <c r="DX131" i="1"/>
  <c r="BZ131" i="1"/>
  <c r="CX131" i="1"/>
  <c r="BY131" i="1"/>
  <c r="DU131" i="1"/>
  <c r="BX131" i="1"/>
  <c r="DT131" i="1"/>
  <c r="BU131" i="1"/>
  <c r="DQ131" i="1"/>
  <c r="BT131" i="1"/>
  <c r="CR131" i="1"/>
  <c r="BS131" i="1"/>
  <c r="CQ131" i="1"/>
  <c r="CO131" i="1"/>
  <c r="CN131" i="1"/>
  <c r="BM131" i="1"/>
  <c r="BG131" i="1"/>
  <c r="CE131" i="1"/>
  <c r="BC131" i="1"/>
  <c r="BV131" i="1"/>
  <c r="AH131" i="1"/>
  <c r="AF131" i="1"/>
  <c r="AE131" i="1"/>
  <c r="AD131" i="1"/>
  <c r="CA131" i="1"/>
  <c r="AU119" i="1"/>
  <c r="AV119" i="1"/>
  <c r="BT119" i="1"/>
  <c r="AW119" i="1"/>
  <c r="BU119" i="1"/>
  <c r="AX119" i="1"/>
  <c r="BV119" i="1"/>
  <c r="AZ119" i="1"/>
  <c r="BX119" i="1"/>
  <c r="BA119" i="1"/>
  <c r="BY119" i="1"/>
  <c r="BB119" i="1"/>
  <c r="BZ119" i="1"/>
  <c r="BC119" i="1"/>
  <c r="BG119" i="1"/>
  <c r="CE119" i="1"/>
  <c r="EA119" i="1"/>
  <c r="BM119" i="1"/>
  <c r="BP119" i="1"/>
  <c r="CN119" i="1"/>
  <c r="BQ119" i="1"/>
  <c r="BS119" i="1"/>
  <c r="CQ119" i="1"/>
  <c r="CA119" i="1"/>
  <c r="CB119" i="1"/>
  <c r="CC119" i="1"/>
  <c r="DA119" i="1"/>
  <c r="FH119" i="1"/>
  <c r="CD119" i="1"/>
  <c r="DZ119" i="1"/>
  <c r="CF119" i="1"/>
  <c r="CG119" i="1"/>
  <c r="CI119" i="1"/>
  <c r="DG119" i="1"/>
  <c r="CJ119" i="1"/>
  <c r="DH119" i="1"/>
  <c r="CK119" i="1"/>
  <c r="CL119" i="1"/>
  <c r="DJ119" i="1"/>
  <c r="CO119" i="1"/>
  <c r="DM119" i="1"/>
  <c r="CR119" i="1"/>
  <c r="CY119" i="1"/>
  <c r="CZ119" i="1"/>
  <c r="DB119" i="1"/>
  <c r="DD119" i="1"/>
  <c r="DE119" i="1"/>
  <c r="DI119" i="1"/>
  <c r="DO119" i="1"/>
  <c r="DP119" i="1"/>
  <c r="DW119" i="1"/>
  <c r="DX119" i="1"/>
  <c r="DY119" i="1"/>
  <c r="EB119" i="1"/>
  <c r="GS119" i="1"/>
  <c r="AU120" i="1"/>
  <c r="AV120" i="1"/>
  <c r="BT120" i="1"/>
  <c r="DP120" i="1"/>
  <c r="AW120" i="1"/>
  <c r="BU120" i="1"/>
  <c r="AX120" i="1"/>
  <c r="BV120" i="1"/>
  <c r="AZ120" i="1"/>
  <c r="BX120" i="1"/>
  <c r="BA120" i="1"/>
  <c r="BY120" i="1"/>
  <c r="BB120" i="1"/>
  <c r="BZ120" i="1"/>
  <c r="BC120" i="1"/>
  <c r="BG120" i="1"/>
  <c r="BM120" i="1"/>
  <c r="BP120" i="1"/>
  <c r="CN120" i="1"/>
  <c r="BQ120" i="1"/>
  <c r="BS120" i="1"/>
  <c r="DO120" i="1"/>
  <c r="CA120" i="1"/>
  <c r="CB120" i="1"/>
  <c r="DX120" i="1"/>
  <c r="CC120" i="1"/>
  <c r="DA120" i="1"/>
  <c r="CD120" i="1"/>
  <c r="DB120" i="1"/>
  <c r="CE120" i="1"/>
  <c r="EA120" i="1"/>
  <c r="CF120" i="1"/>
  <c r="DD120" i="1"/>
  <c r="CG120" i="1"/>
  <c r="DE120" i="1"/>
  <c r="CI120" i="1"/>
  <c r="CJ120" i="1"/>
  <c r="CK120" i="1"/>
  <c r="CL120" i="1"/>
  <c r="EC120" i="1"/>
  <c r="CO120" i="1"/>
  <c r="EF120" i="1"/>
  <c r="CR120" i="1"/>
  <c r="CY120" i="1"/>
  <c r="CZ120" i="1"/>
  <c r="DG120" i="1"/>
  <c r="DH120" i="1"/>
  <c r="DI120" i="1"/>
  <c r="DW120" i="1"/>
  <c r="EB120" i="1"/>
  <c r="FH120" i="1"/>
  <c r="GS120" i="1"/>
  <c r="AU121" i="1"/>
  <c r="BS121" i="1"/>
  <c r="AV121" i="1"/>
  <c r="BT121" i="1"/>
  <c r="AW121" i="1"/>
  <c r="BU121" i="1"/>
  <c r="AX121" i="1"/>
  <c r="BV121" i="1"/>
  <c r="AZ121" i="1"/>
  <c r="BA121" i="1"/>
  <c r="BY121" i="1"/>
  <c r="BB121" i="1"/>
  <c r="BZ121" i="1"/>
  <c r="CX121" i="1"/>
  <c r="BC121" i="1"/>
  <c r="BG121" i="1"/>
  <c r="BM121" i="1"/>
  <c r="BP121" i="1"/>
  <c r="CN121" i="1"/>
  <c r="BQ121" i="1"/>
  <c r="CO121" i="1"/>
  <c r="BX121" i="1"/>
  <c r="CV121" i="1"/>
  <c r="CA121" i="1"/>
  <c r="CB121" i="1"/>
  <c r="DX121" i="1"/>
  <c r="CC121" i="1"/>
  <c r="DY121" i="1"/>
  <c r="CD121" i="1"/>
  <c r="DZ121" i="1"/>
  <c r="CE121" i="1"/>
  <c r="EA121" i="1"/>
  <c r="CF121" i="1"/>
  <c r="CG121" i="1"/>
  <c r="CI121" i="1"/>
  <c r="DG121" i="1"/>
  <c r="CJ121" i="1"/>
  <c r="DH121" i="1"/>
  <c r="CK121" i="1"/>
  <c r="CL121" i="1"/>
  <c r="CY121" i="1"/>
  <c r="DC121" i="1"/>
  <c r="DD121" i="1"/>
  <c r="DE121" i="1"/>
  <c r="DI121" i="1"/>
  <c r="DT121" i="1"/>
  <c r="DV121" i="1"/>
  <c r="DW121" i="1"/>
  <c r="EB121" i="1"/>
  <c r="AU122" i="1"/>
  <c r="BS122" i="1"/>
  <c r="DO122" i="1"/>
  <c r="AV122" i="1"/>
  <c r="BT122" i="1"/>
  <c r="CR122" i="1"/>
  <c r="AW122" i="1"/>
  <c r="BU122" i="1"/>
  <c r="CS122" i="1"/>
  <c r="AX122" i="1"/>
  <c r="BV122" i="1"/>
  <c r="DR122" i="1"/>
  <c r="AZ122" i="1"/>
  <c r="BX122" i="1"/>
  <c r="DT122" i="1"/>
  <c r="BA122" i="1"/>
  <c r="BY122" i="1"/>
  <c r="BB122" i="1"/>
  <c r="BZ122" i="1"/>
  <c r="BC122" i="1"/>
  <c r="BG122" i="1"/>
  <c r="CE122" i="1"/>
  <c r="BM122" i="1"/>
  <c r="BP122" i="1"/>
  <c r="CN122" i="1"/>
  <c r="BQ122" i="1"/>
  <c r="CO122" i="1"/>
  <c r="CA122" i="1"/>
  <c r="CB122" i="1"/>
  <c r="CZ122" i="1"/>
  <c r="CC122" i="1"/>
  <c r="CD122" i="1"/>
  <c r="DZ122" i="1"/>
  <c r="CF122" i="1"/>
  <c r="DD122" i="1"/>
  <c r="CG122" i="1"/>
  <c r="DE122" i="1"/>
  <c r="CI122" i="1"/>
  <c r="DG122" i="1"/>
  <c r="CJ122" i="1"/>
  <c r="DH122" i="1"/>
  <c r="CK122" i="1"/>
  <c r="CL122" i="1"/>
  <c r="DJ122" i="1"/>
  <c r="CY122" i="1"/>
  <c r="DI122" i="1"/>
  <c r="DL122" i="1"/>
  <c r="DP122" i="1"/>
  <c r="DW122" i="1"/>
  <c r="EB122" i="1"/>
  <c r="EE122" i="1"/>
  <c r="AU123" i="1"/>
  <c r="BS123" i="1"/>
  <c r="CQ123" i="1"/>
  <c r="AV123" i="1"/>
  <c r="BT123" i="1"/>
  <c r="CR123" i="1"/>
  <c r="AW123" i="1"/>
  <c r="BU123" i="1"/>
  <c r="CS123" i="1"/>
  <c r="AX123" i="1"/>
  <c r="BV123" i="1"/>
  <c r="AZ123" i="1"/>
  <c r="BX123" i="1"/>
  <c r="BA123" i="1"/>
  <c r="BY123" i="1"/>
  <c r="BB123" i="1"/>
  <c r="BZ123" i="1"/>
  <c r="DV123" i="1"/>
  <c r="BC123" i="1"/>
  <c r="BG123" i="1"/>
  <c r="CE123" i="1"/>
  <c r="BM123" i="1"/>
  <c r="BP123" i="1"/>
  <c r="BQ123" i="1"/>
  <c r="CO123" i="1"/>
  <c r="CA123" i="1"/>
  <c r="CB123" i="1"/>
  <c r="CC123" i="1"/>
  <c r="CD123" i="1"/>
  <c r="CF123" i="1"/>
  <c r="DD123" i="1"/>
  <c r="CG123" i="1"/>
  <c r="DE123" i="1"/>
  <c r="CI123" i="1"/>
  <c r="DG123" i="1"/>
  <c r="CJ123" i="1"/>
  <c r="DH123" i="1"/>
  <c r="CK123" i="1"/>
  <c r="CL123" i="1"/>
  <c r="DJ123" i="1"/>
  <c r="CN123" i="1"/>
  <c r="CY123" i="1"/>
  <c r="CZ123" i="1"/>
  <c r="DI123" i="1"/>
  <c r="DO123" i="1"/>
  <c r="DW123" i="1"/>
  <c r="DX123" i="1"/>
  <c r="EB123" i="1"/>
  <c r="EC123" i="1"/>
  <c r="AU124" i="1"/>
  <c r="AV124" i="1"/>
  <c r="BT124" i="1"/>
  <c r="DP124" i="1"/>
  <c r="AW124" i="1"/>
  <c r="BU124" i="1"/>
  <c r="AX124" i="1"/>
  <c r="BV124" i="1"/>
  <c r="AZ124" i="1"/>
  <c r="BA124" i="1"/>
  <c r="BY124" i="1"/>
  <c r="CW124" i="1"/>
  <c r="BB124" i="1"/>
  <c r="BZ124" i="1"/>
  <c r="CX124" i="1"/>
  <c r="BC124" i="1"/>
  <c r="BG124" i="1"/>
  <c r="CE124" i="1"/>
  <c r="BM124" i="1"/>
  <c r="BP124" i="1"/>
  <c r="CN124" i="1"/>
  <c r="BQ124" i="1"/>
  <c r="CO124" i="1"/>
  <c r="BS124" i="1"/>
  <c r="BX124" i="1"/>
  <c r="DT124" i="1"/>
  <c r="CA124" i="1"/>
  <c r="CB124" i="1"/>
  <c r="CZ124" i="1"/>
  <c r="CC124" i="1"/>
  <c r="DA124" i="1"/>
  <c r="CD124" i="1"/>
  <c r="DZ124" i="1"/>
  <c r="CF124" i="1"/>
  <c r="CG124" i="1"/>
  <c r="DE124" i="1"/>
  <c r="CI124" i="1"/>
  <c r="DG124" i="1"/>
  <c r="CJ124" i="1"/>
  <c r="DH124" i="1"/>
  <c r="CK124" i="1"/>
  <c r="CL124" i="1"/>
  <c r="DJ124" i="1"/>
  <c r="CR124" i="1"/>
  <c r="CY124" i="1"/>
  <c r="DD124" i="1"/>
  <c r="DI124" i="1"/>
  <c r="DU124" i="1"/>
  <c r="DW124" i="1"/>
  <c r="DX124" i="1"/>
  <c r="EB124" i="1"/>
  <c r="AU125" i="1"/>
  <c r="BS125" i="1"/>
  <c r="DO125" i="1"/>
  <c r="AV125" i="1"/>
  <c r="BT125" i="1"/>
  <c r="DP125" i="1"/>
  <c r="AW125" i="1"/>
  <c r="BU125" i="1"/>
  <c r="DQ125" i="1"/>
  <c r="AX125" i="1"/>
  <c r="BV125" i="1"/>
  <c r="DR125" i="1"/>
  <c r="AZ125" i="1"/>
  <c r="BX125" i="1"/>
  <c r="BA125" i="1"/>
  <c r="BY125" i="1"/>
  <c r="BB125" i="1"/>
  <c r="BZ125" i="1"/>
  <c r="BC125" i="1"/>
  <c r="BG125" i="1"/>
  <c r="CE125" i="1"/>
  <c r="BM125" i="1"/>
  <c r="BP125" i="1"/>
  <c r="CN125" i="1"/>
  <c r="BQ125" i="1"/>
  <c r="CO125" i="1"/>
  <c r="CA125" i="1"/>
  <c r="CB125" i="1"/>
  <c r="DX125" i="1"/>
  <c r="CC125" i="1"/>
  <c r="DY125" i="1"/>
  <c r="CD125" i="1"/>
  <c r="DB125" i="1"/>
  <c r="CF125" i="1"/>
  <c r="DD125" i="1"/>
  <c r="CG125" i="1"/>
  <c r="CI125" i="1"/>
  <c r="CJ125" i="1"/>
  <c r="DH125" i="1"/>
  <c r="CK125" i="1"/>
  <c r="CL125" i="1"/>
  <c r="EC125" i="1"/>
  <c r="CS125" i="1"/>
  <c r="CT125" i="1"/>
  <c r="CY125" i="1"/>
  <c r="DE125" i="1"/>
  <c r="DG125" i="1"/>
  <c r="DI125" i="1"/>
  <c r="DJ125" i="1"/>
  <c r="DW125" i="1"/>
  <c r="DZ125" i="1"/>
  <c r="EB125" i="1"/>
  <c r="AU126" i="1"/>
  <c r="BS126" i="1"/>
  <c r="AV126" i="1"/>
  <c r="BT126" i="1"/>
  <c r="AW126" i="1"/>
  <c r="BU126" i="1"/>
  <c r="AX126" i="1"/>
  <c r="BV126" i="1"/>
  <c r="AZ126" i="1"/>
  <c r="BX126" i="1"/>
  <c r="BA126" i="1"/>
  <c r="BY126" i="1"/>
  <c r="CW126" i="1"/>
  <c r="BB126" i="1"/>
  <c r="BZ126" i="1"/>
  <c r="CX126" i="1"/>
  <c r="BC126" i="1"/>
  <c r="BG126" i="1"/>
  <c r="CE126" i="1"/>
  <c r="BM126" i="1"/>
  <c r="BP126" i="1"/>
  <c r="CN126" i="1"/>
  <c r="BQ126" i="1"/>
  <c r="CO126" i="1"/>
  <c r="CA126" i="1"/>
  <c r="CB126" i="1"/>
  <c r="CC126" i="1"/>
  <c r="DA126" i="1"/>
  <c r="FH126" i="1"/>
  <c r="CD126" i="1"/>
  <c r="CF126" i="1"/>
  <c r="DD126" i="1"/>
  <c r="CG126" i="1"/>
  <c r="DE126" i="1"/>
  <c r="CI126" i="1"/>
  <c r="DG126" i="1"/>
  <c r="CJ126" i="1"/>
  <c r="DH126" i="1"/>
  <c r="CK126" i="1"/>
  <c r="CL126" i="1"/>
  <c r="DJ126" i="1"/>
  <c r="CY126" i="1"/>
  <c r="CZ126" i="1"/>
  <c r="DB126" i="1"/>
  <c r="DI126" i="1"/>
  <c r="DU126" i="1"/>
  <c r="DW126" i="1"/>
  <c r="DX126" i="1"/>
  <c r="DY126" i="1"/>
  <c r="DZ126" i="1"/>
  <c r="EB126" i="1"/>
  <c r="AU127" i="1"/>
  <c r="BS127" i="1"/>
  <c r="AV127" i="1"/>
  <c r="BT127" i="1"/>
  <c r="AW127" i="1"/>
  <c r="AX127" i="1"/>
  <c r="BV127" i="1"/>
  <c r="AZ127" i="1"/>
  <c r="BX127" i="1"/>
  <c r="BA127" i="1"/>
  <c r="BY127" i="1"/>
  <c r="BB127" i="1"/>
  <c r="BZ127" i="1"/>
  <c r="BC127" i="1"/>
  <c r="BG127" i="1"/>
  <c r="CE127" i="1"/>
  <c r="BM127" i="1"/>
  <c r="BP127" i="1"/>
  <c r="CN127" i="1"/>
  <c r="DL127" i="1"/>
  <c r="BQ127" i="1"/>
  <c r="CO127" i="1"/>
  <c r="DM127" i="1"/>
  <c r="BU127" i="1"/>
  <c r="CS127" i="1"/>
  <c r="CA127" i="1"/>
  <c r="CB127" i="1"/>
  <c r="CZ127" i="1"/>
  <c r="CC127" i="1"/>
  <c r="DY127" i="1"/>
  <c r="CD127" i="1"/>
  <c r="DZ127" i="1"/>
  <c r="CF127" i="1"/>
  <c r="DD127" i="1"/>
  <c r="CG127" i="1"/>
  <c r="DE127" i="1"/>
  <c r="CI127" i="1"/>
  <c r="DG127" i="1"/>
  <c r="CJ127" i="1"/>
  <c r="DH127" i="1"/>
  <c r="CK127" i="1"/>
  <c r="CL127" i="1"/>
  <c r="EC127" i="1"/>
  <c r="CY127" i="1"/>
  <c r="DA127" i="1"/>
  <c r="FH127" i="1"/>
  <c r="DI127" i="1"/>
  <c r="DJ127" i="1"/>
  <c r="DQ127" i="1"/>
  <c r="DW127" i="1"/>
  <c r="DX127" i="1"/>
  <c r="EB127" i="1"/>
  <c r="AU128" i="1"/>
  <c r="AV128" i="1"/>
  <c r="BT128" i="1"/>
  <c r="AW128" i="1"/>
  <c r="BU128" i="1"/>
  <c r="DQ128" i="1"/>
  <c r="AX128" i="1"/>
  <c r="BV128" i="1"/>
  <c r="AZ128" i="1"/>
  <c r="BX128" i="1"/>
  <c r="BA128" i="1"/>
  <c r="BY128" i="1"/>
  <c r="BB128" i="1"/>
  <c r="BZ128" i="1"/>
  <c r="BC128" i="1"/>
  <c r="BG128" i="1"/>
  <c r="BM128" i="1"/>
  <c r="BP128" i="1"/>
  <c r="CN128" i="1"/>
  <c r="EE128" i="1"/>
  <c r="BQ128" i="1"/>
  <c r="CO128" i="1"/>
  <c r="BS128" i="1"/>
  <c r="DO128" i="1"/>
  <c r="CA128" i="1"/>
  <c r="CB128" i="1"/>
  <c r="DX128" i="1"/>
  <c r="CC128" i="1"/>
  <c r="DY128" i="1"/>
  <c r="CD128" i="1"/>
  <c r="DZ128" i="1"/>
  <c r="CE128" i="1"/>
  <c r="DC128" i="1"/>
  <c r="CF128" i="1"/>
  <c r="DD128" i="1"/>
  <c r="CG128" i="1"/>
  <c r="DE128" i="1"/>
  <c r="CI128" i="1"/>
  <c r="DG128" i="1"/>
  <c r="CJ128" i="1"/>
  <c r="DH128" i="1"/>
  <c r="CK128" i="1"/>
  <c r="CL128" i="1"/>
  <c r="CY128" i="1"/>
  <c r="DI128" i="1"/>
  <c r="DJ128" i="1"/>
  <c r="DL128" i="1"/>
  <c r="DW128" i="1"/>
  <c r="EB128" i="1"/>
  <c r="EC128" i="1"/>
  <c r="AU129" i="1"/>
  <c r="BS129" i="1"/>
  <c r="AV129" i="1"/>
  <c r="BT129" i="1"/>
  <c r="AW129" i="1"/>
  <c r="BU129" i="1"/>
  <c r="AX129" i="1"/>
  <c r="BV129" i="1"/>
  <c r="AZ129" i="1"/>
  <c r="BX129" i="1"/>
  <c r="BA129" i="1"/>
  <c r="BY129" i="1"/>
  <c r="BB129" i="1"/>
  <c r="BZ129" i="1"/>
  <c r="CX129" i="1"/>
  <c r="BC129" i="1"/>
  <c r="BG129" i="1"/>
  <c r="CE129" i="1"/>
  <c r="BM129" i="1"/>
  <c r="BP129" i="1"/>
  <c r="BQ129" i="1"/>
  <c r="CO129" i="1"/>
  <c r="CA129" i="1"/>
  <c r="CB129" i="1"/>
  <c r="CZ129" i="1"/>
  <c r="CC129" i="1"/>
  <c r="DA129" i="1"/>
  <c r="CD129" i="1"/>
  <c r="DZ129" i="1"/>
  <c r="CF129" i="1"/>
  <c r="CG129" i="1"/>
  <c r="CI129" i="1"/>
  <c r="CJ129" i="1"/>
  <c r="DH129" i="1"/>
  <c r="CK129" i="1"/>
  <c r="CL129" i="1"/>
  <c r="EC129" i="1"/>
  <c r="CN129" i="1"/>
  <c r="DL129" i="1"/>
  <c r="CY129" i="1"/>
  <c r="DC129" i="1"/>
  <c r="DD129" i="1"/>
  <c r="DE129" i="1"/>
  <c r="DG129" i="1"/>
  <c r="DI129" i="1"/>
  <c r="DW129" i="1"/>
  <c r="EA129" i="1"/>
  <c r="EB129" i="1"/>
  <c r="AU130" i="1"/>
  <c r="BS130" i="1"/>
  <c r="AV130" i="1"/>
  <c r="BT130" i="1"/>
  <c r="DP130" i="1"/>
  <c r="AW130" i="1"/>
  <c r="BU130" i="1"/>
  <c r="DQ130" i="1"/>
  <c r="AX130" i="1"/>
  <c r="BV130" i="1"/>
  <c r="AZ130" i="1"/>
  <c r="BX130" i="1"/>
  <c r="DT130" i="1"/>
  <c r="BA130" i="1"/>
  <c r="BB130" i="1"/>
  <c r="BC130" i="1"/>
  <c r="BG130" i="1"/>
  <c r="CE130" i="1"/>
  <c r="DC130" i="1"/>
  <c r="BM130" i="1"/>
  <c r="BP130" i="1"/>
  <c r="CN130" i="1"/>
  <c r="EE130" i="1"/>
  <c r="BQ130" i="1"/>
  <c r="CO130" i="1"/>
  <c r="DM130" i="1"/>
  <c r="BY130" i="1"/>
  <c r="BZ130" i="1"/>
  <c r="CA130" i="1"/>
  <c r="CB130" i="1"/>
  <c r="DX130" i="1"/>
  <c r="CC130" i="1"/>
  <c r="DY130" i="1"/>
  <c r="CD130" i="1"/>
  <c r="CF130" i="1"/>
  <c r="DD130" i="1"/>
  <c r="CG130" i="1"/>
  <c r="DE130" i="1"/>
  <c r="CI130" i="1"/>
  <c r="DG130" i="1"/>
  <c r="CJ130" i="1"/>
  <c r="DH130" i="1"/>
  <c r="CK130" i="1"/>
  <c r="CL130" i="1"/>
  <c r="CY130" i="1"/>
  <c r="CZ130" i="1"/>
  <c r="DA130" i="1"/>
  <c r="FH130" i="1"/>
  <c r="DB130" i="1"/>
  <c r="DI130" i="1"/>
  <c r="DJ130" i="1"/>
  <c r="DW130" i="1"/>
  <c r="DZ130" i="1"/>
  <c r="EB130" i="1"/>
  <c r="EC130" i="1"/>
  <c r="DZ131" i="1"/>
  <c r="CW131" i="1"/>
  <c r="CS131" i="1"/>
  <c r="EP131" i="1"/>
  <c r="AI131" i="1"/>
  <c r="AJ131" i="1"/>
  <c r="EF131" i="1"/>
  <c r="DM131" i="1"/>
  <c r="CT131" i="1"/>
  <c r="DR131" i="1"/>
  <c r="EH131" i="1"/>
  <c r="AN131" i="1"/>
  <c r="EA131" i="1"/>
  <c r="DC131" i="1"/>
  <c r="EE131" i="1"/>
  <c r="DL131" i="1"/>
  <c r="EN131" i="1"/>
  <c r="CZ131" i="1"/>
  <c r="DA131" i="1"/>
  <c r="AL131" i="1"/>
  <c r="EO131" i="1"/>
  <c r="DC124" i="1"/>
  <c r="EA124" i="1"/>
  <c r="DU123" i="1"/>
  <c r="CW123" i="1"/>
  <c r="CX120" i="1"/>
  <c r="DV120" i="1"/>
  <c r="CV126" i="1"/>
  <c r="DT126" i="1"/>
  <c r="DR128" i="1"/>
  <c r="EH128" i="1"/>
  <c r="CT128" i="1"/>
  <c r="EA127" i="1"/>
  <c r="DC127" i="1"/>
  <c r="FH129" i="1"/>
  <c r="GS129" i="1"/>
  <c r="EF123" i="1"/>
  <c r="DM123" i="1"/>
  <c r="EA126" i="1"/>
  <c r="DC126" i="1"/>
  <c r="EF128" i="1"/>
  <c r="DM128" i="1"/>
  <c r="EC126" i="1"/>
  <c r="DA125" i="1"/>
  <c r="CZ125" i="1"/>
  <c r="CV124" i="1"/>
  <c r="DX122" i="1"/>
  <c r="DB129" i="1"/>
  <c r="DB128" i="1"/>
  <c r="DB121" i="1"/>
  <c r="DY129" i="1"/>
  <c r="EA128" i="1"/>
  <c r="DB122" i="1"/>
  <c r="DZ120" i="1"/>
  <c r="CQ120" i="1"/>
  <c r="CZ121" i="1"/>
  <c r="DX129" i="1"/>
  <c r="GS127" i="1"/>
  <c r="DB127" i="1"/>
  <c r="DY120" i="1"/>
  <c r="CR125" i="1"/>
  <c r="DA128" i="1"/>
  <c r="FH128" i="1"/>
  <c r="CZ128" i="1"/>
  <c r="DA121" i="1"/>
  <c r="GS121" i="1"/>
  <c r="EF119" i="1"/>
  <c r="DC119" i="1"/>
  <c r="DC120" i="1"/>
  <c r="DJ129" i="1"/>
  <c r="CV122" i="1"/>
  <c r="EC119" i="1"/>
  <c r="EC124" i="1"/>
  <c r="CV130" i="1"/>
  <c r="CQ125" i="1"/>
  <c r="DL130" i="1"/>
  <c r="EC122" i="1"/>
  <c r="CT122" i="1"/>
  <c r="CR127" i="1"/>
  <c r="DP127" i="1"/>
  <c r="EN127" i="1"/>
  <c r="FR127" i="1"/>
  <c r="FX127" i="1"/>
  <c r="CQ129" i="1"/>
  <c r="DO129" i="1"/>
  <c r="CV127" i="1"/>
  <c r="DT127" i="1"/>
  <c r="CV119" i="1"/>
  <c r="DT119" i="1"/>
  <c r="CT127" i="1"/>
  <c r="DR127" i="1"/>
  <c r="CX125" i="1"/>
  <c r="EP125" i="1"/>
  <c r="FT125" i="1"/>
  <c r="FZ125" i="1"/>
  <c r="DV125" i="1"/>
  <c r="DR119" i="1"/>
  <c r="CT119" i="1"/>
  <c r="DO126" i="1"/>
  <c r="CQ126" i="1"/>
  <c r="CV125" i="1"/>
  <c r="DT125" i="1"/>
  <c r="DO127" i="1"/>
  <c r="CQ127" i="1"/>
  <c r="CW129" i="1"/>
  <c r="DU129" i="1"/>
  <c r="EE126" i="1"/>
  <c r="DL126" i="1"/>
  <c r="CV129" i="1"/>
  <c r="DT129" i="1"/>
  <c r="EA123" i="1"/>
  <c r="DC123" i="1"/>
  <c r="CW120" i="1"/>
  <c r="DU120" i="1"/>
  <c r="DO130" i="1"/>
  <c r="CQ130" i="1"/>
  <c r="CS129" i="1"/>
  <c r="DQ129" i="1"/>
  <c r="CV120" i="1"/>
  <c r="DT120" i="1"/>
  <c r="DP129" i="1"/>
  <c r="CR129" i="1"/>
  <c r="DT123" i="1"/>
  <c r="CV123" i="1"/>
  <c r="DR120" i="1"/>
  <c r="CT120" i="1"/>
  <c r="DR123" i="1"/>
  <c r="CT123" i="1"/>
  <c r="CX119" i="1"/>
  <c r="DV119" i="1"/>
  <c r="DM129" i="1"/>
  <c r="EF129" i="1"/>
  <c r="DP128" i="1"/>
  <c r="CR128" i="1"/>
  <c r="CW119" i="1"/>
  <c r="DU119" i="1"/>
  <c r="CT126" i="1"/>
  <c r="DR126" i="1"/>
  <c r="CS126" i="1"/>
  <c r="DQ126" i="1"/>
  <c r="DP126" i="1"/>
  <c r="CR126" i="1"/>
  <c r="CW125" i="1"/>
  <c r="DU125" i="1"/>
  <c r="FH124" i="1"/>
  <c r="GS124" i="1"/>
  <c r="EF122" i="1"/>
  <c r="DM122" i="1"/>
  <c r="CS119" i="1"/>
  <c r="DQ119" i="1"/>
  <c r="EH119" i="1"/>
  <c r="CR130" i="1"/>
  <c r="CQ128" i="1"/>
  <c r="CX127" i="1"/>
  <c r="DV127" i="1"/>
  <c r="DM126" i="1"/>
  <c r="EF126" i="1"/>
  <c r="EA122" i="1"/>
  <c r="DC122" i="1"/>
  <c r="CS121" i="1"/>
  <c r="DQ121" i="1"/>
  <c r="CW127" i="1"/>
  <c r="DU127" i="1"/>
  <c r="CR121" i="1"/>
  <c r="DP121" i="1"/>
  <c r="DO121" i="1"/>
  <c r="CQ121" i="1"/>
  <c r="DC125" i="1"/>
  <c r="EA125" i="1"/>
  <c r="EH125" i="1"/>
  <c r="DM121" i="1"/>
  <c r="EF121" i="1"/>
  <c r="DL121" i="1"/>
  <c r="EE121" i="1"/>
  <c r="DZ123" i="1"/>
  <c r="DB123" i="1"/>
  <c r="CX123" i="1"/>
  <c r="EO123" i="1"/>
  <c r="FS123" i="1"/>
  <c r="FY123" i="1"/>
  <c r="DL120" i="1"/>
  <c r="EE120" i="1"/>
  <c r="CS120" i="1"/>
  <c r="DQ120" i="1"/>
  <c r="DR129" i="1"/>
  <c r="CT129" i="1"/>
  <c r="DM120" i="1"/>
  <c r="EF130" i="1"/>
  <c r="DY123" i="1"/>
  <c r="DA123" i="1"/>
  <c r="DQ124" i="1"/>
  <c r="CS124" i="1"/>
  <c r="EE129" i="1"/>
  <c r="CX122" i="1"/>
  <c r="EP122" i="1"/>
  <c r="FT122" i="1"/>
  <c r="FZ122" i="1"/>
  <c r="DV122" i="1"/>
  <c r="DM125" i="1"/>
  <c r="EF125" i="1"/>
  <c r="CW121" i="1"/>
  <c r="DU121" i="1"/>
  <c r="DR124" i="1"/>
  <c r="CT124" i="1"/>
  <c r="GS130" i="1"/>
  <c r="GS126" i="1"/>
  <c r="DQ123" i="1"/>
  <c r="DQ122" i="1"/>
  <c r="EH122" i="1"/>
  <c r="EE127" i="1"/>
  <c r="DB124" i="1"/>
  <c r="DY124" i="1"/>
  <c r="CQ122" i="1"/>
  <c r="DL119" i="1"/>
  <c r="EE119" i="1"/>
  <c r="DT128" i="1"/>
  <c r="CV128" i="1"/>
  <c r="EE125" i="1"/>
  <c r="DL125" i="1"/>
  <c r="EN125" i="1"/>
  <c r="FR125" i="1"/>
  <c r="FX125" i="1"/>
  <c r="DO124" i="1"/>
  <c r="CQ124" i="1"/>
  <c r="EE123" i="1"/>
  <c r="DL123" i="1"/>
  <c r="EN123" i="1"/>
  <c r="FR123" i="1"/>
  <c r="FX123" i="1"/>
  <c r="DV130" i="1"/>
  <c r="CX130" i="1"/>
  <c r="CT130" i="1"/>
  <c r="DR130" i="1"/>
  <c r="CS128" i="1"/>
  <c r="DV128" i="1"/>
  <c r="CX128" i="1"/>
  <c r="DV126" i="1"/>
  <c r="EF124" i="1"/>
  <c r="DM124" i="1"/>
  <c r="DP123" i="1"/>
  <c r="EF127" i="1"/>
  <c r="CW122" i="1"/>
  <c r="DU122" i="1"/>
  <c r="DJ120" i="1"/>
  <c r="EA130" i="1"/>
  <c r="CS130" i="1"/>
  <c r="DU130" i="1"/>
  <c r="CW130" i="1"/>
  <c r="DV129" i="1"/>
  <c r="DU128" i="1"/>
  <c r="CW128" i="1"/>
  <c r="DV124" i="1"/>
  <c r="EE124" i="1"/>
  <c r="DL124" i="1"/>
  <c r="EN122" i="1"/>
  <c r="FR122" i="1"/>
  <c r="FX122" i="1"/>
  <c r="CT121" i="1"/>
  <c r="DR121" i="1"/>
  <c r="DA122" i="1"/>
  <c r="DY122" i="1"/>
  <c r="DJ121" i="1"/>
  <c r="EC121" i="1"/>
  <c r="BS6" i="3"/>
  <c r="BT6" i="3"/>
  <c r="BT8" i="3"/>
  <c r="BT7" i="3"/>
  <c r="BT4" i="3"/>
  <c r="BS5" i="3"/>
  <c r="BS4" i="3"/>
  <c r="BD7" i="3"/>
  <c r="BC7" i="3"/>
  <c r="AZ10" i="3"/>
  <c r="BS9" i="3"/>
  <c r="AZ9" i="3"/>
  <c r="BS8" i="3"/>
  <c r="AZ8" i="3"/>
  <c r="BS7" i="3"/>
  <c r="AZ7" i="3"/>
  <c r="BA7" i="3"/>
  <c r="AX7" i="3"/>
  <c r="BT5" i="3"/>
  <c r="AP131" i="1"/>
  <c r="BO131" i="1"/>
  <c r="CM131" i="1"/>
  <c r="AO131" i="1"/>
  <c r="AY131" i="1"/>
  <c r="BW131" i="1"/>
  <c r="BJ131" i="1"/>
  <c r="CH131" i="1"/>
  <c r="DF131" i="1"/>
  <c r="AT131" i="1"/>
  <c r="AS131" i="1"/>
  <c r="CU131" i="1"/>
  <c r="DS131" i="1"/>
  <c r="ED131" i="1"/>
  <c r="DK131" i="1"/>
  <c r="FH125" i="1"/>
  <c r="GS125" i="1"/>
  <c r="GS128" i="1"/>
  <c r="FH121" i="1"/>
  <c r="EO130" i="1"/>
  <c r="FS130" i="1"/>
  <c r="FY130" i="1"/>
  <c r="EP130" i="1"/>
  <c r="FT130" i="1"/>
  <c r="FZ130" i="1"/>
  <c r="EN130" i="1"/>
  <c r="FR130" i="1"/>
  <c r="FX130" i="1"/>
  <c r="EN121" i="1"/>
  <c r="FR121" i="1"/>
  <c r="FX121" i="1"/>
  <c r="EP121" i="1"/>
  <c r="FT121" i="1"/>
  <c r="FZ121" i="1"/>
  <c r="EO121" i="1"/>
  <c r="FS121" i="1"/>
  <c r="FY121" i="1"/>
  <c r="EN128" i="1"/>
  <c r="FR128" i="1"/>
  <c r="FX128" i="1"/>
  <c r="EP128" i="1"/>
  <c r="FT128" i="1"/>
  <c r="FZ128" i="1"/>
  <c r="EO128" i="1"/>
  <c r="FS128" i="1"/>
  <c r="FY128" i="1"/>
  <c r="EH120" i="1"/>
  <c r="EN119" i="1"/>
  <c r="FR119" i="1"/>
  <c r="FX119" i="1"/>
  <c r="EO119" i="1"/>
  <c r="FS119" i="1"/>
  <c r="FY119" i="1"/>
  <c r="EP119" i="1"/>
  <c r="FT119" i="1"/>
  <c r="FZ119" i="1"/>
  <c r="EH123" i="1"/>
  <c r="EH121" i="1"/>
  <c r="EH127" i="1"/>
  <c r="FH123" i="1"/>
  <c r="GS123" i="1"/>
  <c r="EN124" i="1"/>
  <c r="FR124" i="1"/>
  <c r="FX124" i="1"/>
  <c r="EP124" i="1"/>
  <c r="FT124" i="1"/>
  <c r="FZ124" i="1"/>
  <c r="EO124" i="1"/>
  <c r="FS124" i="1"/>
  <c r="FY124" i="1"/>
  <c r="FH122" i="1"/>
  <c r="GS122" i="1"/>
  <c r="EO125" i="1"/>
  <c r="FS125" i="1"/>
  <c r="FY125" i="1"/>
  <c r="EH126" i="1"/>
  <c r="EH130" i="1"/>
  <c r="EH129" i="1"/>
  <c r="EO120" i="1"/>
  <c r="FS120" i="1"/>
  <c r="FY120" i="1"/>
  <c r="EN120" i="1"/>
  <c r="FR120" i="1"/>
  <c r="FX120" i="1"/>
  <c r="EP120" i="1"/>
  <c r="FT120" i="1"/>
  <c r="FZ120" i="1"/>
  <c r="EP127" i="1"/>
  <c r="FT127" i="1"/>
  <c r="FZ127" i="1"/>
  <c r="EO127" i="1"/>
  <c r="FS127" i="1"/>
  <c r="FY127" i="1"/>
  <c r="EH124" i="1"/>
  <c r="EN129" i="1"/>
  <c r="FR129" i="1"/>
  <c r="FX129" i="1"/>
  <c r="EO129" i="1"/>
  <c r="FS129" i="1"/>
  <c r="FY129" i="1"/>
  <c r="EP129" i="1"/>
  <c r="FT129" i="1"/>
  <c r="FZ129" i="1"/>
  <c r="EN126" i="1"/>
  <c r="FR126" i="1"/>
  <c r="FX126" i="1"/>
  <c r="EO126" i="1"/>
  <c r="FS126" i="1"/>
  <c r="FY126" i="1"/>
  <c r="EP126" i="1"/>
  <c r="FT126" i="1"/>
  <c r="FZ126" i="1"/>
  <c r="EO122" i="1"/>
  <c r="FS122" i="1"/>
  <c r="FY122" i="1"/>
  <c r="EP123" i="1"/>
  <c r="FT123" i="1"/>
  <c r="FZ123" i="1"/>
  <c r="BD9" i="3"/>
  <c r="EL131" i="1"/>
  <c r="EM131" i="1"/>
  <c r="EI131" i="1"/>
  <c r="EJ131" i="1"/>
  <c r="EK131" i="1"/>
  <c r="BT11" i="3"/>
  <c r="BT10" i="3"/>
  <c r="AI120" i="1"/>
  <c r="H6" i="5"/>
  <c r="M3" i="6"/>
  <c r="AD6" i="1"/>
  <c r="AJ27" i="1"/>
  <c r="AJ30" i="1"/>
  <c r="AJ120" i="1"/>
  <c r="GI131" i="1"/>
  <c r="GU131" i="1"/>
  <c r="GH131" i="1"/>
  <c r="GT131" i="1"/>
  <c r="GG131" i="1"/>
  <c r="GS131" i="1"/>
  <c r="GD131" i="1"/>
  <c r="GP131" i="1"/>
  <c r="GC131" i="1"/>
  <c r="GO131" i="1"/>
  <c r="FB131" i="1"/>
  <c r="FN131" i="1"/>
  <c r="FA131" i="1"/>
  <c r="FM131" i="1"/>
  <c r="GK131" i="1"/>
  <c r="GW131" i="1"/>
  <c r="EZ131" i="1"/>
  <c r="FL131" i="1"/>
  <c r="GJ131" i="1"/>
  <c r="GV131" i="1"/>
  <c r="EY131" i="1"/>
  <c r="FK131" i="1"/>
  <c r="EX131" i="1"/>
  <c r="FJ131" i="1"/>
  <c r="EW131" i="1"/>
  <c r="FI131" i="1"/>
  <c r="EV131" i="1"/>
  <c r="FH131" i="1"/>
  <c r="GF131" i="1"/>
  <c r="GR131" i="1"/>
  <c r="EU131" i="1"/>
  <c r="FG131" i="1"/>
  <c r="GE131" i="1"/>
  <c r="GQ131" i="1"/>
  <c r="ET131" i="1"/>
  <c r="FF131" i="1"/>
  <c r="ES131" i="1"/>
  <c r="FE131" i="1"/>
  <c r="ER131" i="1"/>
  <c r="FD131" i="1"/>
  <c r="GM131" i="1"/>
  <c r="GY131" i="1"/>
  <c r="GL131" i="1"/>
  <c r="GX131" i="1"/>
  <c r="AD124" i="1"/>
  <c r="AE124" i="1"/>
  <c r="AF124" i="1"/>
  <c r="AD125" i="1"/>
  <c r="AE125" i="1"/>
  <c r="AF125" i="1"/>
  <c r="AD126" i="1"/>
  <c r="AE126" i="1"/>
  <c r="AF126" i="1"/>
  <c r="AD127" i="1"/>
  <c r="AN127" i="1"/>
  <c r="AE127" i="1"/>
  <c r="AO127" i="1"/>
  <c r="AY127" i="1"/>
  <c r="BW127" i="1"/>
  <c r="AF127" i="1"/>
  <c r="AP127" i="1"/>
  <c r="BO127" i="1"/>
  <c r="CM127" i="1"/>
  <c r="AD128" i="1"/>
  <c r="AE128" i="1"/>
  <c r="AF128" i="1"/>
  <c r="AD129" i="1"/>
  <c r="AE129" i="1"/>
  <c r="AF129" i="1"/>
  <c r="AD130" i="1"/>
  <c r="AE130" i="1"/>
  <c r="AF130" i="1"/>
  <c r="AI130" i="1"/>
  <c r="AI129" i="1"/>
  <c r="AI128" i="1"/>
  <c r="AJ128" i="1"/>
  <c r="AI127" i="1"/>
  <c r="AJ127" i="1"/>
  <c r="AI126" i="1"/>
  <c r="AI125" i="1"/>
  <c r="AI124" i="1"/>
  <c r="AJ124" i="1"/>
  <c r="AI123" i="1"/>
  <c r="AJ123" i="1"/>
  <c r="AI122" i="1"/>
  <c r="AJ122" i="1"/>
  <c r="AI121" i="1"/>
  <c r="AJ121" i="1"/>
  <c r="AI119" i="1"/>
  <c r="AJ119" i="1"/>
  <c r="AI110" i="1"/>
  <c r="AJ110" i="1"/>
  <c r="AT27" i="1"/>
  <c r="AS27" i="1"/>
  <c r="AT30" i="1"/>
  <c r="AS30" i="1"/>
  <c r="AD119" i="1"/>
  <c r="AE119" i="1"/>
  <c r="AF119" i="1"/>
  <c r="AD120" i="1"/>
  <c r="AE120" i="1"/>
  <c r="AF120" i="1"/>
  <c r="AP120" i="1"/>
  <c r="BO120" i="1"/>
  <c r="CM120" i="1"/>
  <c r="AD121" i="1"/>
  <c r="AE121" i="1"/>
  <c r="AF121" i="1"/>
  <c r="AD122" i="1"/>
  <c r="AN122" i="1"/>
  <c r="AE122" i="1"/>
  <c r="AF122" i="1"/>
  <c r="AP122" i="1"/>
  <c r="BO122" i="1"/>
  <c r="CM122" i="1"/>
  <c r="AD123" i="1"/>
  <c r="AN123" i="1"/>
  <c r="AE123" i="1"/>
  <c r="AF123" i="1"/>
  <c r="FR131" i="1"/>
  <c r="FX131" i="1"/>
  <c r="FS131" i="1"/>
  <c r="FY131" i="1"/>
  <c r="FT131" i="1"/>
  <c r="FZ131" i="1"/>
  <c r="FP131" i="1"/>
  <c r="FW131" i="1"/>
  <c r="FQ131" i="1"/>
  <c r="HA131" i="1"/>
  <c r="HE131" i="1"/>
  <c r="HK131" i="1"/>
  <c r="HD131" i="1"/>
  <c r="HJ131" i="1"/>
  <c r="HC131" i="1"/>
  <c r="HI131" i="1"/>
  <c r="HB131" i="1"/>
  <c r="AT123" i="1"/>
  <c r="AS123" i="1"/>
  <c r="BJ123" i="1"/>
  <c r="CH123" i="1"/>
  <c r="DF123" i="1"/>
  <c r="AH121" i="1"/>
  <c r="DK120" i="1"/>
  <c r="ED120" i="1"/>
  <c r="DK122" i="1"/>
  <c r="ED122" i="1"/>
  <c r="DS127" i="1"/>
  <c r="CU127" i="1"/>
  <c r="DK127" i="1"/>
  <c r="ED127" i="1"/>
  <c r="AT122" i="1"/>
  <c r="AS122" i="1"/>
  <c r="BJ122" i="1"/>
  <c r="CH122" i="1"/>
  <c r="DF122" i="1"/>
  <c r="AT127" i="1"/>
  <c r="AS127" i="1"/>
  <c r="BJ127" i="1"/>
  <c r="CH127" i="1"/>
  <c r="DF127" i="1"/>
  <c r="AH125" i="1"/>
  <c r="AJ125" i="1"/>
  <c r="AH130" i="1"/>
  <c r="AJ130" i="1"/>
  <c r="AO130" i="1"/>
  <c r="AY130" i="1"/>
  <c r="BW130" i="1"/>
  <c r="AP126" i="1"/>
  <c r="BO126" i="1"/>
  <c r="CM126" i="1"/>
  <c r="AN129" i="1"/>
  <c r="AJ129" i="1"/>
  <c r="AH126" i="1"/>
  <c r="AJ126" i="1"/>
  <c r="AP125" i="1"/>
  <c r="BO125" i="1"/>
  <c r="CM125" i="1"/>
  <c r="AO126" i="1"/>
  <c r="AY126" i="1"/>
  <c r="BW126" i="1"/>
  <c r="AP130" i="1"/>
  <c r="BO130" i="1"/>
  <c r="CM130" i="1"/>
  <c r="AP129" i="1"/>
  <c r="BO129" i="1"/>
  <c r="CM129" i="1"/>
  <c r="AN119" i="1"/>
  <c r="AH120" i="1"/>
  <c r="AH127" i="1"/>
  <c r="AH124" i="1"/>
  <c r="AH128" i="1"/>
  <c r="AP128" i="1"/>
  <c r="BO128" i="1"/>
  <c r="CM128" i="1"/>
  <c r="AO120" i="1"/>
  <c r="AY120" i="1"/>
  <c r="BW120" i="1"/>
  <c r="AO129" i="1"/>
  <c r="AY129" i="1"/>
  <c r="BW129" i="1"/>
  <c r="AO124" i="1"/>
  <c r="AY124" i="1"/>
  <c r="BW124" i="1"/>
  <c r="AO121" i="1"/>
  <c r="AY121" i="1"/>
  <c r="BW121" i="1"/>
  <c r="AN130" i="1"/>
  <c r="AN128" i="1"/>
  <c r="AN126" i="1"/>
  <c r="AN125" i="1"/>
  <c r="AN124" i="1"/>
  <c r="AP124" i="1"/>
  <c r="BO124" i="1"/>
  <c r="CM124" i="1"/>
  <c r="AO128" i="1"/>
  <c r="AY128" i="1"/>
  <c r="BW128" i="1"/>
  <c r="AO125" i="1"/>
  <c r="AY125" i="1"/>
  <c r="BW125" i="1"/>
  <c r="AH129" i="1"/>
  <c r="AH119" i="1"/>
  <c r="AO119" i="1"/>
  <c r="AY119" i="1"/>
  <c r="BW119" i="1"/>
  <c r="AN120" i="1"/>
  <c r="AN121" i="1"/>
  <c r="AP123" i="1"/>
  <c r="BO123" i="1"/>
  <c r="CM123" i="1"/>
  <c r="AP119" i="1"/>
  <c r="BO119" i="1"/>
  <c r="CM119" i="1"/>
  <c r="AP121" i="1"/>
  <c r="BO121" i="1"/>
  <c r="CM121" i="1"/>
  <c r="AH122" i="1"/>
  <c r="AO122" i="1"/>
  <c r="AY122" i="1"/>
  <c r="BW122" i="1"/>
  <c r="AH123" i="1"/>
  <c r="AO123" i="1"/>
  <c r="AY123" i="1"/>
  <c r="BW123" i="1"/>
  <c r="D36" i="1"/>
  <c r="D38" i="1"/>
  <c r="D39" i="1"/>
  <c r="D41" i="1"/>
  <c r="D42" i="1"/>
  <c r="D43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AL18" i="1"/>
  <c r="AL19" i="1"/>
  <c r="AL20" i="1"/>
  <c r="A118" i="1"/>
  <c r="C118" i="1"/>
  <c r="E118" i="1"/>
  <c r="CY118" i="1"/>
  <c r="AK118" i="1"/>
  <c r="AU118" i="1"/>
  <c r="BS118" i="1"/>
  <c r="DO118" i="1"/>
  <c r="AV118" i="1"/>
  <c r="BT118" i="1"/>
  <c r="AW118" i="1"/>
  <c r="BU118" i="1"/>
  <c r="AX118" i="1"/>
  <c r="BV118" i="1"/>
  <c r="AZ118" i="1"/>
  <c r="BX118" i="1"/>
  <c r="BA118" i="1"/>
  <c r="BB118" i="1"/>
  <c r="BG118" i="1"/>
  <c r="BP118" i="1"/>
  <c r="CN118" i="1"/>
  <c r="BQ118" i="1"/>
  <c r="CB118" i="1"/>
  <c r="CC118" i="1"/>
  <c r="DY118" i="1"/>
  <c r="CD118" i="1"/>
  <c r="DB118" i="1"/>
  <c r="CF118" i="1"/>
  <c r="DD118" i="1"/>
  <c r="CG118" i="1"/>
  <c r="DE118" i="1"/>
  <c r="CI118" i="1"/>
  <c r="DG118" i="1"/>
  <c r="CJ118" i="1"/>
  <c r="DH118" i="1"/>
  <c r="CL118" i="1"/>
  <c r="A110" i="1"/>
  <c r="C110" i="1"/>
  <c r="E110" i="1"/>
  <c r="CY110" i="1"/>
  <c r="AU110" i="1"/>
  <c r="BS110" i="1"/>
  <c r="AV110" i="1"/>
  <c r="BT110" i="1"/>
  <c r="AW110" i="1"/>
  <c r="BU110" i="1"/>
  <c r="AX110" i="1"/>
  <c r="BV110" i="1"/>
  <c r="AZ110" i="1"/>
  <c r="BX110" i="1"/>
  <c r="BA110" i="1"/>
  <c r="BB110" i="1"/>
  <c r="BG110" i="1"/>
  <c r="BP110" i="1"/>
  <c r="CN110" i="1"/>
  <c r="BQ110" i="1"/>
  <c r="CB110" i="1"/>
  <c r="CC110" i="1"/>
  <c r="DA110" i="1"/>
  <c r="CD110" i="1"/>
  <c r="CF110" i="1"/>
  <c r="DD110" i="1"/>
  <c r="CG110" i="1"/>
  <c r="DE110" i="1"/>
  <c r="CI110" i="1"/>
  <c r="CJ110" i="1"/>
  <c r="DH110" i="1"/>
  <c r="CK110" i="1"/>
  <c r="CL110" i="1"/>
  <c r="DG110" i="1"/>
  <c r="A111" i="1"/>
  <c r="C111" i="1"/>
  <c r="E111" i="1"/>
  <c r="DW111" i="1"/>
  <c r="AK111" i="1"/>
  <c r="AU111" i="1"/>
  <c r="BS111" i="1"/>
  <c r="CQ111" i="1"/>
  <c r="AV111" i="1"/>
  <c r="BT111" i="1"/>
  <c r="AW111" i="1"/>
  <c r="BU111" i="1"/>
  <c r="AX111" i="1"/>
  <c r="BV111" i="1"/>
  <c r="AZ111" i="1"/>
  <c r="BX111" i="1"/>
  <c r="BA111" i="1"/>
  <c r="BB111" i="1"/>
  <c r="BG111" i="1"/>
  <c r="BP111" i="1"/>
  <c r="CN111" i="1"/>
  <c r="DL111" i="1"/>
  <c r="BQ111" i="1"/>
  <c r="CB111" i="1"/>
  <c r="CC111" i="1"/>
  <c r="CD111" i="1"/>
  <c r="DZ111" i="1"/>
  <c r="CF111" i="1"/>
  <c r="DD111" i="1"/>
  <c r="CG111" i="1"/>
  <c r="DE111" i="1"/>
  <c r="CI111" i="1"/>
  <c r="DG111" i="1"/>
  <c r="CJ111" i="1"/>
  <c r="DH111" i="1"/>
  <c r="CK111" i="1"/>
  <c r="CL111" i="1"/>
  <c r="A112" i="1"/>
  <c r="C112" i="1"/>
  <c r="E112" i="1"/>
  <c r="BC112" i="1"/>
  <c r="AK112" i="1"/>
  <c r="AU112" i="1"/>
  <c r="BS112" i="1"/>
  <c r="AV112" i="1"/>
  <c r="BT112" i="1"/>
  <c r="AW112" i="1"/>
  <c r="BU112" i="1"/>
  <c r="AX112" i="1"/>
  <c r="BV112" i="1"/>
  <c r="AZ112" i="1"/>
  <c r="BX112" i="1"/>
  <c r="BA112" i="1"/>
  <c r="BB112" i="1"/>
  <c r="BG112" i="1"/>
  <c r="BP112" i="1"/>
  <c r="CN112" i="1"/>
  <c r="BQ112" i="1"/>
  <c r="CB112" i="1"/>
  <c r="CC112" i="1"/>
  <c r="CD112" i="1"/>
  <c r="CF112" i="1"/>
  <c r="DD112" i="1"/>
  <c r="CG112" i="1"/>
  <c r="DE112" i="1"/>
  <c r="CI112" i="1"/>
  <c r="DG112" i="1"/>
  <c r="CJ112" i="1"/>
  <c r="DH112" i="1"/>
  <c r="CL112" i="1"/>
  <c r="A113" i="1"/>
  <c r="C113" i="1"/>
  <c r="E113" i="1"/>
  <c r="AD113" i="1"/>
  <c r="AK113" i="1"/>
  <c r="AU113" i="1"/>
  <c r="BS113" i="1"/>
  <c r="AV113" i="1"/>
  <c r="BT113" i="1"/>
  <c r="AW113" i="1"/>
  <c r="BU113" i="1"/>
  <c r="AX113" i="1"/>
  <c r="BV113" i="1"/>
  <c r="AZ113" i="1"/>
  <c r="BX113" i="1"/>
  <c r="CV113" i="1"/>
  <c r="BA113" i="1"/>
  <c r="BB113" i="1"/>
  <c r="BG113" i="1"/>
  <c r="BP113" i="1"/>
  <c r="CN113" i="1"/>
  <c r="BQ113" i="1"/>
  <c r="CB113" i="1"/>
  <c r="DX113" i="1"/>
  <c r="CC113" i="1"/>
  <c r="DY113" i="1"/>
  <c r="CD113" i="1"/>
  <c r="CF113" i="1"/>
  <c r="DD113" i="1"/>
  <c r="CG113" i="1"/>
  <c r="DE113" i="1"/>
  <c r="CI113" i="1"/>
  <c r="DG113" i="1"/>
  <c r="CJ113" i="1"/>
  <c r="DH113" i="1"/>
  <c r="CL113" i="1"/>
  <c r="A114" i="1"/>
  <c r="C114" i="1"/>
  <c r="E114" i="1"/>
  <c r="AK114" i="1"/>
  <c r="AU114" i="1"/>
  <c r="BS114" i="1"/>
  <c r="AV114" i="1"/>
  <c r="BT114" i="1"/>
  <c r="AW114" i="1"/>
  <c r="BU114" i="1"/>
  <c r="AX114" i="1"/>
  <c r="BV114" i="1"/>
  <c r="AZ114" i="1"/>
  <c r="BX114" i="1"/>
  <c r="BA114" i="1"/>
  <c r="BB114" i="1"/>
  <c r="BG114" i="1"/>
  <c r="BP114" i="1"/>
  <c r="CN114" i="1"/>
  <c r="BQ114" i="1"/>
  <c r="CB114" i="1"/>
  <c r="CC114" i="1"/>
  <c r="CD114" i="1"/>
  <c r="DZ114" i="1"/>
  <c r="CF114" i="1"/>
  <c r="DD114" i="1"/>
  <c r="CG114" i="1"/>
  <c r="DE114" i="1"/>
  <c r="CI114" i="1"/>
  <c r="DG114" i="1"/>
  <c r="CJ114" i="1"/>
  <c r="DH114" i="1"/>
  <c r="CL114" i="1"/>
  <c r="A115" i="1"/>
  <c r="C115" i="1"/>
  <c r="E115" i="1"/>
  <c r="BC115" i="1"/>
  <c r="AK115" i="1"/>
  <c r="AU115" i="1"/>
  <c r="BS115" i="1"/>
  <c r="AV115" i="1"/>
  <c r="BT115" i="1"/>
  <c r="AW115" i="1"/>
  <c r="BU115" i="1"/>
  <c r="AX115" i="1"/>
  <c r="BV115" i="1"/>
  <c r="AZ115" i="1"/>
  <c r="BX115" i="1"/>
  <c r="CV115" i="1"/>
  <c r="BA115" i="1"/>
  <c r="BB115" i="1"/>
  <c r="BG115" i="1"/>
  <c r="BP115" i="1"/>
  <c r="CN115" i="1"/>
  <c r="BQ115" i="1"/>
  <c r="CB115" i="1"/>
  <c r="CC115" i="1"/>
  <c r="DA115" i="1"/>
  <c r="CD115" i="1"/>
  <c r="CF115" i="1"/>
  <c r="DD115" i="1"/>
  <c r="CG115" i="1"/>
  <c r="DE115" i="1"/>
  <c r="CI115" i="1"/>
  <c r="DG115" i="1"/>
  <c r="CJ115" i="1"/>
  <c r="DH115" i="1"/>
  <c r="CL115" i="1"/>
  <c r="A116" i="1"/>
  <c r="C116" i="1"/>
  <c r="E116" i="1"/>
  <c r="CK116" i="1"/>
  <c r="AK116" i="1"/>
  <c r="AU116" i="1"/>
  <c r="BS116" i="1"/>
  <c r="AV116" i="1"/>
  <c r="BT116" i="1"/>
  <c r="AW116" i="1"/>
  <c r="AX116" i="1"/>
  <c r="BV116" i="1"/>
  <c r="DR116" i="1"/>
  <c r="AZ116" i="1"/>
  <c r="BX116" i="1"/>
  <c r="BA116" i="1"/>
  <c r="BB116" i="1"/>
  <c r="BG116" i="1"/>
  <c r="BP116" i="1"/>
  <c r="CN116" i="1"/>
  <c r="BQ116" i="1"/>
  <c r="BU116" i="1"/>
  <c r="CB116" i="1"/>
  <c r="CC116" i="1"/>
  <c r="CD116" i="1"/>
  <c r="CF116" i="1"/>
  <c r="DD116" i="1"/>
  <c r="CG116" i="1"/>
  <c r="DE116" i="1"/>
  <c r="CI116" i="1"/>
  <c r="DG116" i="1"/>
  <c r="CJ116" i="1"/>
  <c r="DH116" i="1"/>
  <c r="CL116" i="1"/>
  <c r="EC116" i="1"/>
  <c r="A117" i="1"/>
  <c r="C117" i="1"/>
  <c r="E117" i="1"/>
  <c r="AE117" i="1"/>
  <c r="AK117" i="1"/>
  <c r="AU117" i="1"/>
  <c r="BS117" i="1"/>
  <c r="AV117" i="1"/>
  <c r="BT117" i="1"/>
  <c r="AW117" i="1"/>
  <c r="BU117" i="1"/>
  <c r="CS117" i="1"/>
  <c r="AX117" i="1"/>
  <c r="BV117" i="1"/>
  <c r="AZ117" i="1"/>
  <c r="BX117" i="1"/>
  <c r="BA117" i="1"/>
  <c r="BB117" i="1"/>
  <c r="BG117" i="1"/>
  <c r="BP117" i="1"/>
  <c r="CN117" i="1"/>
  <c r="EE117" i="1"/>
  <c r="BQ117" i="1"/>
  <c r="CB117" i="1"/>
  <c r="DX117" i="1"/>
  <c r="CC117" i="1"/>
  <c r="DY117" i="1"/>
  <c r="CD117" i="1"/>
  <c r="DB117" i="1"/>
  <c r="CF117" i="1"/>
  <c r="DD117" i="1"/>
  <c r="CG117" i="1"/>
  <c r="DE117" i="1"/>
  <c r="CI117" i="1"/>
  <c r="DG117" i="1"/>
  <c r="CJ117" i="1"/>
  <c r="DH117" i="1"/>
  <c r="CL117" i="1"/>
  <c r="EC117" i="1"/>
  <c r="A92" i="1"/>
  <c r="C92" i="1"/>
  <c r="E92" i="1"/>
  <c r="AD92" i="1"/>
  <c r="AK92" i="1"/>
  <c r="AU92" i="1"/>
  <c r="BS92" i="1"/>
  <c r="AV92" i="1"/>
  <c r="BT92" i="1"/>
  <c r="DP92" i="1"/>
  <c r="AW92" i="1"/>
  <c r="BU92" i="1"/>
  <c r="AX92" i="1"/>
  <c r="BV92" i="1"/>
  <c r="AZ92" i="1"/>
  <c r="BX92" i="1"/>
  <c r="BA92" i="1"/>
  <c r="BB92" i="1"/>
  <c r="BG92" i="1"/>
  <c r="BP92" i="1"/>
  <c r="CN92" i="1"/>
  <c r="EE92" i="1"/>
  <c r="BQ92" i="1"/>
  <c r="CB92" i="1"/>
  <c r="CC92" i="1"/>
  <c r="CD92" i="1"/>
  <c r="DZ92" i="1"/>
  <c r="CF92" i="1"/>
  <c r="DD92" i="1"/>
  <c r="CG92" i="1"/>
  <c r="DE92" i="1"/>
  <c r="CI92" i="1"/>
  <c r="DG92" i="1"/>
  <c r="CJ92" i="1"/>
  <c r="DH92" i="1"/>
  <c r="CL92" i="1"/>
  <c r="A93" i="1"/>
  <c r="C93" i="1"/>
  <c r="E93" i="1"/>
  <c r="AK93" i="1"/>
  <c r="AU93" i="1"/>
  <c r="BS93" i="1"/>
  <c r="AV93" i="1"/>
  <c r="BT93" i="1"/>
  <c r="AW93" i="1"/>
  <c r="BU93" i="1"/>
  <c r="AX93" i="1"/>
  <c r="BV93" i="1"/>
  <c r="AZ93" i="1"/>
  <c r="BX93" i="1"/>
  <c r="CV93" i="1"/>
  <c r="BA93" i="1"/>
  <c r="BB93" i="1"/>
  <c r="BG93" i="1"/>
  <c r="BP93" i="1"/>
  <c r="CN93" i="1"/>
  <c r="BQ93" i="1"/>
  <c r="CB93" i="1"/>
  <c r="CC93" i="1"/>
  <c r="DY93" i="1"/>
  <c r="CD93" i="1"/>
  <c r="DZ93" i="1"/>
  <c r="CF93" i="1"/>
  <c r="DD93" i="1"/>
  <c r="CG93" i="1"/>
  <c r="DE93" i="1"/>
  <c r="CI93" i="1"/>
  <c r="DG93" i="1"/>
  <c r="CJ93" i="1"/>
  <c r="DH93" i="1"/>
  <c r="CL93" i="1"/>
  <c r="A94" i="1"/>
  <c r="C94" i="1"/>
  <c r="E94" i="1"/>
  <c r="BC94" i="1"/>
  <c r="AK94" i="1"/>
  <c r="AU94" i="1"/>
  <c r="BS94" i="1"/>
  <c r="AV94" i="1"/>
  <c r="BT94" i="1"/>
  <c r="AW94" i="1"/>
  <c r="BU94" i="1"/>
  <c r="AX94" i="1"/>
  <c r="BV94" i="1"/>
  <c r="CT94" i="1"/>
  <c r="AZ94" i="1"/>
  <c r="BX94" i="1"/>
  <c r="CV94" i="1"/>
  <c r="BA94" i="1"/>
  <c r="BB94" i="1"/>
  <c r="BG94" i="1"/>
  <c r="BP94" i="1"/>
  <c r="CN94" i="1"/>
  <c r="BQ94" i="1"/>
  <c r="CB94" i="1"/>
  <c r="CC94" i="1"/>
  <c r="DA94" i="1"/>
  <c r="CD94" i="1"/>
  <c r="CF94" i="1"/>
  <c r="DD94" i="1"/>
  <c r="CG94" i="1"/>
  <c r="CI94" i="1"/>
  <c r="DG94" i="1"/>
  <c r="CJ94" i="1"/>
  <c r="DH94" i="1"/>
  <c r="CL94" i="1"/>
  <c r="DE94" i="1"/>
  <c r="A95" i="1"/>
  <c r="C95" i="1"/>
  <c r="E95" i="1"/>
  <c r="AE95" i="1"/>
  <c r="AK95" i="1"/>
  <c r="AU95" i="1"/>
  <c r="BS95" i="1"/>
  <c r="CQ95" i="1"/>
  <c r="AV95" i="1"/>
  <c r="BT95" i="1"/>
  <c r="AW95" i="1"/>
  <c r="BU95" i="1"/>
  <c r="AX95" i="1"/>
  <c r="BV95" i="1"/>
  <c r="CT95" i="1"/>
  <c r="AZ95" i="1"/>
  <c r="BX95" i="1"/>
  <c r="BA95" i="1"/>
  <c r="BB95" i="1"/>
  <c r="BG95" i="1"/>
  <c r="BP95" i="1"/>
  <c r="CN95" i="1"/>
  <c r="DL95" i="1"/>
  <c r="BQ95" i="1"/>
  <c r="CB95" i="1"/>
  <c r="DX95" i="1"/>
  <c r="CC95" i="1"/>
  <c r="CD95" i="1"/>
  <c r="DZ95" i="1"/>
  <c r="CF95" i="1"/>
  <c r="DD95" i="1"/>
  <c r="CG95" i="1"/>
  <c r="DE95" i="1"/>
  <c r="CI95" i="1"/>
  <c r="DG95" i="1"/>
  <c r="CJ95" i="1"/>
  <c r="DH95" i="1"/>
  <c r="CL95" i="1"/>
  <c r="EC95" i="1"/>
  <c r="A96" i="1"/>
  <c r="C96" i="1"/>
  <c r="E96" i="1"/>
  <c r="AK96" i="1"/>
  <c r="AU96" i="1"/>
  <c r="BS96" i="1"/>
  <c r="AV96" i="1"/>
  <c r="BT96" i="1"/>
  <c r="AW96" i="1"/>
  <c r="BU96" i="1"/>
  <c r="CS96" i="1"/>
  <c r="AX96" i="1"/>
  <c r="BV96" i="1"/>
  <c r="AZ96" i="1"/>
  <c r="BX96" i="1"/>
  <c r="BA96" i="1"/>
  <c r="BB96" i="1"/>
  <c r="BG96" i="1"/>
  <c r="BP96" i="1"/>
  <c r="CN96" i="1"/>
  <c r="BQ96" i="1"/>
  <c r="CB96" i="1"/>
  <c r="CC96" i="1"/>
  <c r="CD96" i="1"/>
  <c r="DB96" i="1"/>
  <c r="CF96" i="1"/>
  <c r="DD96" i="1"/>
  <c r="CG96" i="1"/>
  <c r="DE96" i="1"/>
  <c r="CI96" i="1"/>
  <c r="DG96" i="1"/>
  <c r="CJ96" i="1"/>
  <c r="DH96" i="1"/>
  <c r="CL96" i="1"/>
  <c r="A97" i="1"/>
  <c r="C97" i="1"/>
  <c r="E97" i="1"/>
  <c r="AK97" i="1"/>
  <c r="AU97" i="1"/>
  <c r="BS97" i="1"/>
  <c r="AV97" i="1"/>
  <c r="BT97" i="1"/>
  <c r="AW97" i="1"/>
  <c r="BU97" i="1"/>
  <c r="AX97" i="1"/>
  <c r="BV97" i="1"/>
  <c r="AZ97" i="1"/>
  <c r="BX97" i="1"/>
  <c r="CV97" i="1"/>
  <c r="BA97" i="1"/>
  <c r="BB97" i="1"/>
  <c r="BG97" i="1"/>
  <c r="BP97" i="1"/>
  <c r="CN97" i="1"/>
  <c r="EE97" i="1"/>
  <c r="BQ97" i="1"/>
  <c r="CB97" i="1"/>
  <c r="CZ97" i="1"/>
  <c r="CC97" i="1"/>
  <c r="DA97" i="1"/>
  <c r="GS97" i="1"/>
  <c r="CD97" i="1"/>
  <c r="CF97" i="1"/>
  <c r="DD97" i="1"/>
  <c r="CG97" i="1"/>
  <c r="DE97" i="1"/>
  <c r="CI97" i="1"/>
  <c r="DG97" i="1"/>
  <c r="CJ97" i="1"/>
  <c r="DH97" i="1"/>
  <c r="CL97" i="1"/>
  <c r="A98" i="1"/>
  <c r="C98" i="1"/>
  <c r="E98" i="1"/>
  <c r="AK98" i="1"/>
  <c r="AU98" i="1"/>
  <c r="BS98" i="1"/>
  <c r="AV98" i="1"/>
  <c r="BT98" i="1"/>
  <c r="CR98" i="1"/>
  <c r="AW98" i="1"/>
  <c r="BU98" i="1"/>
  <c r="AX98" i="1"/>
  <c r="BV98" i="1"/>
  <c r="AZ98" i="1"/>
  <c r="BX98" i="1"/>
  <c r="BA98" i="1"/>
  <c r="BB98" i="1"/>
  <c r="BG98" i="1"/>
  <c r="BP98" i="1"/>
  <c r="CN98" i="1"/>
  <c r="BQ98" i="1"/>
  <c r="CB98" i="1"/>
  <c r="CC98" i="1"/>
  <c r="CD98" i="1"/>
  <c r="CF98" i="1"/>
  <c r="DD98" i="1"/>
  <c r="CG98" i="1"/>
  <c r="DE98" i="1"/>
  <c r="CI98" i="1"/>
  <c r="DG98" i="1"/>
  <c r="CJ98" i="1"/>
  <c r="DH98" i="1"/>
  <c r="CL98" i="1"/>
  <c r="DJ98" i="1"/>
  <c r="A99" i="1"/>
  <c r="C99" i="1"/>
  <c r="E99" i="1"/>
  <c r="AK99" i="1"/>
  <c r="AU99" i="1"/>
  <c r="BS99" i="1"/>
  <c r="AV99" i="1"/>
  <c r="BT99" i="1"/>
  <c r="AW99" i="1"/>
  <c r="BU99" i="1"/>
  <c r="AX99" i="1"/>
  <c r="BV99" i="1"/>
  <c r="AZ99" i="1"/>
  <c r="BX99" i="1"/>
  <c r="BA99" i="1"/>
  <c r="BB99" i="1"/>
  <c r="BG99" i="1"/>
  <c r="BP99" i="1"/>
  <c r="CN99" i="1"/>
  <c r="DL99" i="1"/>
  <c r="BQ99" i="1"/>
  <c r="CB99" i="1"/>
  <c r="CZ99" i="1"/>
  <c r="CC99" i="1"/>
  <c r="CD99" i="1"/>
  <c r="CF99" i="1"/>
  <c r="DD99" i="1"/>
  <c r="CG99" i="1"/>
  <c r="DE99" i="1"/>
  <c r="CI99" i="1"/>
  <c r="DG99" i="1"/>
  <c r="CJ99" i="1"/>
  <c r="DH99" i="1"/>
  <c r="CL99" i="1"/>
  <c r="A100" i="1"/>
  <c r="C100" i="1"/>
  <c r="E100" i="1"/>
  <c r="BC100" i="1"/>
  <c r="AK100" i="1"/>
  <c r="AU100" i="1"/>
  <c r="BS100" i="1"/>
  <c r="AV100" i="1"/>
  <c r="BT100" i="1"/>
  <c r="AW100" i="1"/>
  <c r="BU100" i="1"/>
  <c r="AX100" i="1"/>
  <c r="BV100" i="1"/>
  <c r="AZ100" i="1"/>
  <c r="BX100" i="1"/>
  <c r="BA100" i="1"/>
  <c r="BB100" i="1"/>
  <c r="BG100" i="1"/>
  <c r="BP100" i="1"/>
  <c r="CN100" i="1"/>
  <c r="DL100" i="1"/>
  <c r="BQ100" i="1"/>
  <c r="CB100" i="1"/>
  <c r="CZ100" i="1"/>
  <c r="CC100" i="1"/>
  <c r="CD100" i="1"/>
  <c r="DB100" i="1"/>
  <c r="CF100" i="1"/>
  <c r="DD100" i="1"/>
  <c r="CG100" i="1"/>
  <c r="DE100" i="1"/>
  <c r="CI100" i="1"/>
  <c r="DG100" i="1"/>
  <c r="CJ100" i="1"/>
  <c r="DH100" i="1"/>
  <c r="CL100" i="1"/>
  <c r="A101" i="1"/>
  <c r="C101" i="1"/>
  <c r="E101" i="1"/>
  <c r="AK101" i="1"/>
  <c r="AU101" i="1"/>
  <c r="BS101" i="1"/>
  <c r="AV101" i="1"/>
  <c r="BT101" i="1"/>
  <c r="AW101" i="1"/>
  <c r="BU101" i="1"/>
  <c r="AX101" i="1"/>
  <c r="BV101" i="1"/>
  <c r="CT101" i="1"/>
  <c r="AZ101" i="1"/>
  <c r="BX101" i="1"/>
  <c r="BA101" i="1"/>
  <c r="BB101" i="1"/>
  <c r="BG101" i="1"/>
  <c r="BP101" i="1"/>
  <c r="CN101" i="1"/>
  <c r="EE101" i="1"/>
  <c r="BQ101" i="1"/>
  <c r="CB101" i="1"/>
  <c r="CC101" i="1"/>
  <c r="CD101" i="1"/>
  <c r="DB101" i="1"/>
  <c r="CF101" i="1"/>
  <c r="DD101" i="1"/>
  <c r="CG101" i="1"/>
  <c r="DE101" i="1"/>
  <c r="CI101" i="1"/>
  <c r="DG101" i="1"/>
  <c r="CJ101" i="1"/>
  <c r="DH101" i="1"/>
  <c r="CL101" i="1"/>
  <c r="DZ101" i="1"/>
  <c r="A102" i="1"/>
  <c r="C102" i="1"/>
  <c r="E102" i="1"/>
  <c r="DI102" i="1"/>
  <c r="AK102" i="1"/>
  <c r="AU102" i="1"/>
  <c r="BS102" i="1"/>
  <c r="AV102" i="1"/>
  <c r="BT102" i="1"/>
  <c r="AW102" i="1"/>
  <c r="BU102" i="1"/>
  <c r="AX102" i="1"/>
  <c r="BV102" i="1"/>
  <c r="CT102" i="1"/>
  <c r="AZ102" i="1"/>
  <c r="BX102" i="1"/>
  <c r="BA102" i="1"/>
  <c r="BB102" i="1"/>
  <c r="BG102" i="1"/>
  <c r="BP102" i="1"/>
  <c r="CN102" i="1"/>
  <c r="BQ102" i="1"/>
  <c r="CB102" i="1"/>
  <c r="CC102" i="1"/>
  <c r="CD102" i="1"/>
  <c r="CF102" i="1"/>
  <c r="DD102" i="1"/>
  <c r="CG102" i="1"/>
  <c r="DE102" i="1"/>
  <c r="CI102" i="1"/>
  <c r="DG102" i="1"/>
  <c r="CJ102" i="1"/>
  <c r="DH102" i="1"/>
  <c r="CL102" i="1"/>
  <c r="DJ102" i="1"/>
  <c r="A103" i="1"/>
  <c r="C103" i="1"/>
  <c r="E103" i="1"/>
  <c r="DW103" i="1"/>
  <c r="AK103" i="1"/>
  <c r="AU103" i="1"/>
  <c r="BS103" i="1"/>
  <c r="AV103" i="1"/>
  <c r="BT103" i="1"/>
  <c r="CR103" i="1"/>
  <c r="AW103" i="1"/>
  <c r="BU103" i="1"/>
  <c r="CS103" i="1"/>
  <c r="AX103" i="1"/>
  <c r="BV103" i="1"/>
  <c r="AZ103" i="1"/>
  <c r="BX103" i="1"/>
  <c r="BA103" i="1"/>
  <c r="BB103" i="1"/>
  <c r="BG103" i="1"/>
  <c r="BP103" i="1"/>
  <c r="CN103" i="1"/>
  <c r="BQ103" i="1"/>
  <c r="CB103" i="1"/>
  <c r="CC103" i="1"/>
  <c r="CD103" i="1"/>
  <c r="DZ103" i="1"/>
  <c r="CF103" i="1"/>
  <c r="DD103" i="1"/>
  <c r="CG103" i="1"/>
  <c r="DE103" i="1"/>
  <c r="CI103" i="1"/>
  <c r="DG103" i="1"/>
  <c r="CJ103" i="1"/>
  <c r="DH103" i="1"/>
  <c r="CL103" i="1"/>
  <c r="CY103" i="1"/>
  <c r="DQ103" i="1"/>
  <c r="A104" i="1"/>
  <c r="C104" i="1"/>
  <c r="E104" i="1"/>
  <c r="AK104" i="1"/>
  <c r="AU104" i="1"/>
  <c r="BS104" i="1"/>
  <c r="AV104" i="1"/>
  <c r="BT104" i="1"/>
  <c r="AW104" i="1"/>
  <c r="BU104" i="1"/>
  <c r="AX104" i="1"/>
  <c r="BV104" i="1"/>
  <c r="AZ104" i="1"/>
  <c r="BX104" i="1"/>
  <c r="BA104" i="1"/>
  <c r="BB104" i="1"/>
  <c r="BG104" i="1"/>
  <c r="BP104" i="1"/>
  <c r="CN104" i="1"/>
  <c r="BQ104" i="1"/>
  <c r="CB104" i="1"/>
  <c r="CC104" i="1"/>
  <c r="DY104" i="1"/>
  <c r="CD104" i="1"/>
  <c r="CF104" i="1"/>
  <c r="DD104" i="1"/>
  <c r="CG104" i="1"/>
  <c r="DE104" i="1"/>
  <c r="CI104" i="1"/>
  <c r="DG104" i="1"/>
  <c r="CJ104" i="1"/>
  <c r="DH104" i="1"/>
  <c r="CL104" i="1"/>
  <c r="A105" i="1"/>
  <c r="C105" i="1"/>
  <c r="E105" i="1"/>
  <c r="CA105" i="1"/>
  <c r="AK105" i="1"/>
  <c r="AU105" i="1"/>
  <c r="BS105" i="1"/>
  <c r="AV105" i="1"/>
  <c r="BT105" i="1"/>
  <c r="AW105" i="1"/>
  <c r="BU105" i="1"/>
  <c r="DQ105" i="1"/>
  <c r="AX105" i="1"/>
  <c r="BV105" i="1"/>
  <c r="CT105" i="1"/>
  <c r="AZ105" i="1"/>
  <c r="BX105" i="1"/>
  <c r="BA105" i="1"/>
  <c r="BB105" i="1"/>
  <c r="BG105" i="1"/>
  <c r="BP105" i="1"/>
  <c r="CN105" i="1"/>
  <c r="EE105" i="1"/>
  <c r="BQ105" i="1"/>
  <c r="CB105" i="1"/>
  <c r="DX105" i="1"/>
  <c r="CC105" i="1"/>
  <c r="DA105" i="1"/>
  <c r="GS105" i="1"/>
  <c r="CD105" i="1"/>
  <c r="DB105" i="1"/>
  <c r="CF105" i="1"/>
  <c r="DD105" i="1"/>
  <c r="CG105" i="1"/>
  <c r="DE105" i="1"/>
  <c r="CI105" i="1"/>
  <c r="DG105" i="1"/>
  <c r="CJ105" i="1"/>
  <c r="DH105" i="1"/>
  <c r="CL105" i="1"/>
  <c r="A106" i="1"/>
  <c r="C106" i="1"/>
  <c r="E106" i="1"/>
  <c r="AK106" i="1"/>
  <c r="AU106" i="1"/>
  <c r="BS106" i="1"/>
  <c r="AV106" i="1"/>
  <c r="BT106" i="1"/>
  <c r="DP106" i="1"/>
  <c r="AW106" i="1"/>
  <c r="BU106" i="1"/>
  <c r="AX106" i="1"/>
  <c r="BV106" i="1"/>
  <c r="AZ106" i="1"/>
  <c r="BX106" i="1"/>
  <c r="BA106" i="1"/>
  <c r="BB106" i="1"/>
  <c r="BG106" i="1"/>
  <c r="BP106" i="1"/>
  <c r="CN106" i="1"/>
  <c r="EE106" i="1"/>
  <c r="BQ106" i="1"/>
  <c r="CB106" i="1"/>
  <c r="DX106" i="1"/>
  <c r="CC106" i="1"/>
  <c r="CD106" i="1"/>
  <c r="CF106" i="1"/>
  <c r="DD106" i="1"/>
  <c r="CG106" i="1"/>
  <c r="DE106" i="1"/>
  <c r="CI106" i="1"/>
  <c r="DG106" i="1"/>
  <c r="CJ106" i="1"/>
  <c r="DH106" i="1"/>
  <c r="CL106" i="1"/>
  <c r="CZ106" i="1"/>
  <c r="DL106" i="1"/>
  <c r="A107" i="1"/>
  <c r="C107" i="1"/>
  <c r="E107" i="1"/>
  <c r="DW107" i="1"/>
  <c r="AK107" i="1"/>
  <c r="AU107" i="1"/>
  <c r="BS107" i="1"/>
  <c r="AV107" i="1"/>
  <c r="BT107" i="1"/>
  <c r="CR107" i="1"/>
  <c r="AW107" i="1"/>
  <c r="BU107" i="1"/>
  <c r="DQ107" i="1"/>
  <c r="AX107" i="1"/>
  <c r="BV107" i="1"/>
  <c r="AZ107" i="1"/>
  <c r="BX107" i="1"/>
  <c r="BA107" i="1"/>
  <c r="BB107" i="1"/>
  <c r="BG107" i="1"/>
  <c r="BP107" i="1"/>
  <c r="CN107" i="1"/>
  <c r="BQ107" i="1"/>
  <c r="CB107" i="1"/>
  <c r="CZ107" i="1"/>
  <c r="CC107" i="1"/>
  <c r="DY107" i="1"/>
  <c r="CD107" i="1"/>
  <c r="CF107" i="1"/>
  <c r="DD107" i="1"/>
  <c r="CG107" i="1"/>
  <c r="DE107" i="1"/>
  <c r="CI107" i="1"/>
  <c r="DG107" i="1"/>
  <c r="CJ107" i="1"/>
  <c r="DH107" i="1"/>
  <c r="CL107" i="1"/>
  <c r="EC107" i="1"/>
  <c r="A108" i="1"/>
  <c r="C108" i="1"/>
  <c r="E108" i="1"/>
  <c r="AK108" i="1"/>
  <c r="AU108" i="1"/>
  <c r="BS108" i="1"/>
  <c r="AV108" i="1"/>
  <c r="BT108" i="1"/>
  <c r="AW108" i="1"/>
  <c r="BU108" i="1"/>
  <c r="AX108" i="1"/>
  <c r="BV108" i="1"/>
  <c r="DR108" i="1"/>
  <c r="AZ108" i="1"/>
  <c r="BX108" i="1"/>
  <c r="DT108" i="1"/>
  <c r="BA108" i="1"/>
  <c r="BB108" i="1"/>
  <c r="BG108" i="1"/>
  <c r="BP108" i="1"/>
  <c r="CN108" i="1"/>
  <c r="BQ108" i="1"/>
  <c r="CB108" i="1"/>
  <c r="CC108" i="1"/>
  <c r="DY108" i="1"/>
  <c r="CD108" i="1"/>
  <c r="CF108" i="1"/>
  <c r="DD108" i="1"/>
  <c r="CG108" i="1"/>
  <c r="DE108" i="1"/>
  <c r="CI108" i="1"/>
  <c r="DG108" i="1"/>
  <c r="CJ108" i="1"/>
  <c r="DH108" i="1"/>
  <c r="CL108" i="1"/>
  <c r="EC108" i="1"/>
  <c r="DA108" i="1"/>
  <c r="A109" i="1"/>
  <c r="C109" i="1"/>
  <c r="E109" i="1"/>
  <c r="CY109" i="1"/>
  <c r="AK109" i="1"/>
  <c r="AU109" i="1"/>
  <c r="BS109" i="1"/>
  <c r="DO109" i="1"/>
  <c r="AV109" i="1"/>
  <c r="BT109" i="1"/>
  <c r="AW109" i="1"/>
  <c r="BU109" i="1"/>
  <c r="AX109" i="1"/>
  <c r="BV109" i="1"/>
  <c r="AZ109" i="1"/>
  <c r="BX109" i="1"/>
  <c r="DT109" i="1"/>
  <c r="BA109" i="1"/>
  <c r="BB109" i="1"/>
  <c r="BG109" i="1"/>
  <c r="BP109" i="1"/>
  <c r="CN109" i="1"/>
  <c r="BQ109" i="1"/>
  <c r="CB109" i="1"/>
  <c r="DX109" i="1"/>
  <c r="CC109" i="1"/>
  <c r="CD109" i="1"/>
  <c r="CF109" i="1"/>
  <c r="DD109" i="1"/>
  <c r="CG109" i="1"/>
  <c r="DE109" i="1"/>
  <c r="CI109" i="1"/>
  <c r="DG109" i="1"/>
  <c r="CJ109" i="1"/>
  <c r="DH109" i="1"/>
  <c r="CL109" i="1"/>
  <c r="A82" i="1"/>
  <c r="C82" i="1"/>
  <c r="E82" i="1"/>
  <c r="BC82" i="1"/>
  <c r="AK82" i="1"/>
  <c r="AU82" i="1"/>
  <c r="BS82" i="1"/>
  <c r="AV82" i="1"/>
  <c r="BT82" i="1"/>
  <c r="AW82" i="1"/>
  <c r="BU82" i="1"/>
  <c r="AX82" i="1"/>
  <c r="BV82" i="1"/>
  <c r="AZ82" i="1"/>
  <c r="BX82" i="1"/>
  <c r="BA82" i="1"/>
  <c r="BB82" i="1"/>
  <c r="BG82" i="1"/>
  <c r="BP82" i="1"/>
  <c r="CN82" i="1"/>
  <c r="BQ82" i="1"/>
  <c r="CB82" i="1"/>
  <c r="CC82" i="1"/>
  <c r="DY82" i="1"/>
  <c r="CD82" i="1"/>
  <c r="CF82" i="1"/>
  <c r="DD82" i="1"/>
  <c r="CG82" i="1"/>
  <c r="DE82" i="1"/>
  <c r="CI82" i="1"/>
  <c r="DG82" i="1"/>
  <c r="CJ82" i="1"/>
  <c r="DH82" i="1"/>
  <c r="CL82" i="1"/>
  <c r="A83" i="1"/>
  <c r="C83" i="1"/>
  <c r="E83" i="1"/>
  <c r="BC83" i="1"/>
  <c r="AK83" i="1"/>
  <c r="AU83" i="1"/>
  <c r="BS83" i="1"/>
  <c r="AV83" i="1"/>
  <c r="BT83" i="1"/>
  <c r="AW83" i="1"/>
  <c r="BU83" i="1"/>
  <c r="DQ83" i="1"/>
  <c r="AX83" i="1"/>
  <c r="BV83" i="1"/>
  <c r="DR83" i="1"/>
  <c r="AZ83" i="1"/>
  <c r="BX83" i="1"/>
  <c r="BA83" i="1"/>
  <c r="BB83" i="1"/>
  <c r="BG83" i="1"/>
  <c r="BP83" i="1"/>
  <c r="CN83" i="1"/>
  <c r="BQ83" i="1"/>
  <c r="CB83" i="1"/>
  <c r="CC83" i="1"/>
  <c r="DA83" i="1"/>
  <c r="CD83" i="1"/>
  <c r="DZ83" i="1"/>
  <c r="CF83" i="1"/>
  <c r="DD83" i="1"/>
  <c r="CG83" i="1"/>
  <c r="DE83" i="1"/>
  <c r="CI83" i="1"/>
  <c r="DG83" i="1"/>
  <c r="CJ83" i="1"/>
  <c r="DH83" i="1"/>
  <c r="CL83" i="1"/>
  <c r="DJ83" i="1"/>
  <c r="A84" i="1"/>
  <c r="C84" i="1"/>
  <c r="E84" i="1"/>
  <c r="AK84" i="1"/>
  <c r="AU84" i="1"/>
  <c r="BS84" i="1"/>
  <c r="AV84" i="1"/>
  <c r="BT84" i="1"/>
  <c r="AW84" i="1"/>
  <c r="BU84" i="1"/>
  <c r="AX84" i="1"/>
  <c r="BV84" i="1"/>
  <c r="AZ84" i="1"/>
  <c r="BX84" i="1"/>
  <c r="BA84" i="1"/>
  <c r="BB84" i="1"/>
  <c r="BG84" i="1"/>
  <c r="BP84" i="1"/>
  <c r="CN84" i="1"/>
  <c r="BQ84" i="1"/>
  <c r="CB84" i="1"/>
  <c r="CC84" i="1"/>
  <c r="CD84" i="1"/>
  <c r="CF84" i="1"/>
  <c r="DD84" i="1"/>
  <c r="CG84" i="1"/>
  <c r="DE84" i="1"/>
  <c r="CI84" i="1"/>
  <c r="DG84" i="1"/>
  <c r="CJ84" i="1"/>
  <c r="DH84" i="1"/>
  <c r="CL84" i="1"/>
  <c r="A85" i="1"/>
  <c r="C85" i="1"/>
  <c r="E85" i="1"/>
  <c r="DW85" i="1"/>
  <c r="AK85" i="1"/>
  <c r="AU85" i="1"/>
  <c r="BS85" i="1"/>
  <c r="AV85" i="1"/>
  <c r="BT85" i="1"/>
  <c r="AW85" i="1"/>
  <c r="BU85" i="1"/>
  <c r="AX85" i="1"/>
  <c r="BV85" i="1"/>
  <c r="AZ85" i="1"/>
  <c r="BX85" i="1"/>
  <c r="DT85" i="1"/>
  <c r="BA85" i="1"/>
  <c r="BB85" i="1"/>
  <c r="BG85" i="1"/>
  <c r="BP85" i="1"/>
  <c r="CN85" i="1"/>
  <c r="BQ85" i="1"/>
  <c r="CB85" i="1"/>
  <c r="CZ85" i="1"/>
  <c r="CC85" i="1"/>
  <c r="CD85" i="1"/>
  <c r="CF85" i="1"/>
  <c r="DD85" i="1"/>
  <c r="CG85" i="1"/>
  <c r="DE85" i="1"/>
  <c r="CI85" i="1"/>
  <c r="DG85" i="1"/>
  <c r="CJ85" i="1"/>
  <c r="DH85" i="1"/>
  <c r="CL85" i="1"/>
  <c r="A86" i="1"/>
  <c r="C86" i="1"/>
  <c r="E86" i="1"/>
  <c r="DW86" i="1"/>
  <c r="AK86" i="1"/>
  <c r="AU86" i="1"/>
  <c r="BS86" i="1"/>
  <c r="DO86" i="1"/>
  <c r="AV86" i="1"/>
  <c r="BT86" i="1"/>
  <c r="DP86" i="1"/>
  <c r="AW86" i="1"/>
  <c r="BU86" i="1"/>
  <c r="CS86" i="1"/>
  <c r="AX86" i="1"/>
  <c r="BV86" i="1"/>
  <c r="DR86" i="1"/>
  <c r="AZ86" i="1"/>
  <c r="BX86" i="1"/>
  <c r="BA86" i="1"/>
  <c r="BB86" i="1"/>
  <c r="BG86" i="1"/>
  <c r="BP86" i="1"/>
  <c r="CN86" i="1"/>
  <c r="EE86" i="1"/>
  <c r="BQ86" i="1"/>
  <c r="CB86" i="1"/>
  <c r="CC86" i="1"/>
  <c r="CD86" i="1"/>
  <c r="DZ86" i="1"/>
  <c r="CF86" i="1"/>
  <c r="DD86" i="1"/>
  <c r="CG86" i="1"/>
  <c r="DE86" i="1"/>
  <c r="CI86" i="1"/>
  <c r="DG86" i="1"/>
  <c r="CJ86" i="1"/>
  <c r="DH86" i="1"/>
  <c r="CL86" i="1"/>
  <c r="DJ86" i="1"/>
  <c r="A87" i="1"/>
  <c r="C87" i="1"/>
  <c r="E87" i="1"/>
  <c r="AK87" i="1"/>
  <c r="AU87" i="1"/>
  <c r="BS87" i="1"/>
  <c r="AV87" i="1"/>
  <c r="BT87" i="1"/>
  <c r="AW87" i="1"/>
  <c r="BU87" i="1"/>
  <c r="AX87" i="1"/>
  <c r="BV87" i="1"/>
  <c r="AZ87" i="1"/>
  <c r="BX87" i="1"/>
  <c r="CV87" i="1"/>
  <c r="BA87" i="1"/>
  <c r="BB87" i="1"/>
  <c r="BG87" i="1"/>
  <c r="BP87" i="1"/>
  <c r="CN87" i="1"/>
  <c r="DL87" i="1"/>
  <c r="BQ87" i="1"/>
  <c r="CB87" i="1"/>
  <c r="CC87" i="1"/>
  <c r="DY87" i="1"/>
  <c r="CD87" i="1"/>
  <c r="DB87" i="1"/>
  <c r="CF87" i="1"/>
  <c r="DD87" i="1"/>
  <c r="CG87" i="1"/>
  <c r="DE87" i="1"/>
  <c r="CI87" i="1"/>
  <c r="DG87" i="1"/>
  <c r="CJ87" i="1"/>
  <c r="DH87" i="1"/>
  <c r="CL87" i="1"/>
  <c r="EC87" i="1"/>
  <c r="A88" i="1"/>
  <c r="C88" i="1"/>
  <c r="E88" i="1"/>
  <c r="EB88" i="1"/>
  <c r="AK88" i="1"/>
  <c r="AU88" i="1"/>
  <c r="BS88" i="1"/>
  <c r="DO88" i="1"/>
  <c r="AV88" i="1"/>
  <c r="BT88" i="1"/>
  <c r="AW88" i="1"/>
  <c r="BU88" i="1"/>
  <c r="CS88" i="1"/>
  <c r="AX88" i="1"/>
  <c r="BV88" i="1"/>
  <c r="AZ88" i="1"/>
  <c r="BX88" i="1"/>
  <c r="BA88" i="1"/>
  <c r="BB88" i="1"/>
  <c r="BG88" i="1"/>
  <c r="BP88" i="1"/>
  <c r="CN88" i="1"/>
  <c r="BQ88" i="1"/>
  <c r="CB88" i="1"/>
  <c r="DX88" i="1"/>
  <c r="CC88" i="1"/>
  <c r="CD88" i="1"/>
  <c r="DZ88" i="1"/>
  <c r="CF88" i="1"/>
  <c r="DD88" i="1"/>
  <c r="CG88" i="1"/>
  <c r="DE88" i="1"/>
  <c r="CI88" i="1"/>
  <c r="DG88" i="1"/>
  <c r="CJ88" i="1"/>
  <c r="DH88" i="1"/>
  <c r="CL88" i="1"/>
  <c r="DJ88" i="1"/>
  <c r="A89" i="1"/>
  <c r="C89" i="1"/>
  <c r="E89" i="1"/>
  <c r="DW89" i="1"/>
  <c r="AK89" i="1"/>
  <c r="AU89" i="1"/>
  <c r="BS89" i="1"/>
  <c r="AV89" i="1"/>
  <c r="BT89" i="1"/>
  <c r="AW89" i="1"/>
  <c r="BU89" i="1"/>
  <c r="DQ89" i="1"/>
  <c r="AX89" i="1"/>
  <c r="BV89" i="1"/>
  <c r="CT89" i="1"/>
  <c r="AZ89" i="1"/>
  <c r="BX89" i="1"/>
  <c r="CV89" i="1"/>
  <c r="BA89" i="1"/>
  <c r="BB89" i="1"/>
  <c r="BG89" i="1"/>
  <c r="BP89" i="1"/>
  <c r="CN89" i="1"/>
  <c r="BQ89" i="1"/>
  <c r="CB89" i="1"/>
  <c r="CC89" i="1"/>
  <c r="CD89" i="1"/>
  <c r="CF89" i="1"/>
  <c r="DD89" i="1"/>
  <c r="CG89" i="1"/>
  <c r="DE89" i="1"/>
  <c r="CI89" i="1"/>
  <c r="DG89" i="1"/>
  <c r="CJ89" i="1"/>
  <c r="DH89" i="1"/>
  <c r="CL89" i="1"/>
  <c r="A90" i="1"/>
  <c r="C90" i="1"/>
  <c r="E90" i="1"/>
  <c r="AE90" i="1"/>
  <c r="AK90" i="1"/>
  <c r="AU90" i="1"/>
  <c r="BS90" i="1"/>
  <c r="AV90" i="1"/>
  <c r="BT90" i="1"/>
  <c r="AW90" i="1"/>
  <c r="BU90" i="1"/>
  <c r="AX90" i="1"/>
  <c r="BV90" i="1"/>
  <c r="AZ90" i="1"/>
  <c r="BX90" i="1"/>
  <c r="BA90" i="1"/>
  <c r="BB90" i="1"/>
  <c r="BG90" i="1"/>
  <c r="BP90" i="1"/>
  <c r="CN90" i="1"/>
  <c r="BQ90" i="1"/>
  <c r="CB90" i="1"/>
  <c r="DX90" i="1"/>
  <c r="CC90" i="1"/>
  <c r="DY90" i="1"/>
  <c r="CD90" i="1"/>
  <c r="DZ90" i="1"/>
  <c r="CF90" i="1"/>
  <c r="DD90" i="1"/>
  <c r="CG90" i="1"/>
  <c r="DE90" i="1"/>
  <c r="CI90" i="1"/>
  <c r="DG90" i="1"/>
  <c r="CJ90" i="1"/>
  <c r="DH90" i="1"/>
  <c r="CL90" i="1"/>
  <c r="A91" i="1"/>
  <c r="C91" i="1"/>
  <c r="E91" i="1"/>
  <c r="AD91" i="1"/>
  <c r="AK91" i="1"/>
  <c r="AU91" i="1"/>
  <c r="BS91" i="1"/>
  <c r="AV91" i="1"/>
  <c r="BT91" i="1"/>
  <c r="AW91" i="1"/>
  <c r="BU91" i="1"/>
  <c r="AX91" i="1"/>
  <c r="BV91" i="1"/>
  <c r="AZ91" i="1"/>
  <c r="BX91" i="1"/>
  <c r="BA91" i="1"/>
  <c r="BB91" i="1"/>
  <c r="BG91" i="1"/>
  <c r="BP91" i="1"/>
  <c r="CN91" i="1"/>
  <c r="BQ91" i="1"/>
  <c r="CB91" i="1"/>
  <c r="DX91" i="1"/>
  <c r="CC91" i="1"/>
  <c r="CD91" i="1"/>
  <c r="DB91" i="1"/>
  <c r="CF91" i="1"/>
  <c r="DD91" i="1"/>
  <c r="CG91" i="1"/>
  <c r="DE91" i="1"/>
  <c r="CI91" i="1"/>
  <c r="DG91" i="1"/>
  <c r="CJ91" i="1"/>
  <c r="DH91" i="1"/>
  <c r="CL91" i="1"/>
  <c r="A71" i="1"/>
  <c r="C71" i="1"/>
  <c r="E71" i="1"/>
  <c r="AK71" i="1"/>
  <c r="AU71" i="1"/>
  <c r="BS71" i="1"/>
  <c r="AV71" i="1"/>
  <c r="BT71" i="1"/>
  <c r="AW71" i="1"/>
  <c r="BU71" i="1"/>
  <c r="AX71" i="1"/>
  <c r="BV71" i="1"/>
  <c r="AZ71" i="1"/>
  <c r="BA71" i="1"/>
  <c r="BB71" i="1"/>
  <c r="BG71" i="1"/>
  <c r="BP71" i="1"/>
  <c r="CN71" i="1"/>
  <c r="BQ71" i="1"/>
  <c r="BX71" i="1"/>
  <c r="CB71" i="1"/>
  <c r="CC71" i="1"/>
  <c r="CD71" i="1"/>
  <c r="DZ71" i="1"/>
  <c r="CF71" i="1"/>
  <c r="DD71" i="1"/>
  <c r="CG71" i="1"/>
  <c r="DE71" i="1"/>
  <c r="CI71" i="1"/>
  <c r="DG71" i="1"/>
  <c r="CJ71" i="1"/>
  <c r="DH71" i="1"/>
  <c r="CL71" i="1"/>
  <c r="A72" i="1"/>
  <c r="C72" i="1"/>
  <c r="E72" i="1"/>
  <c r="AE72" i="1"/>
  <c r="AK72" i="1"/>
  <c r="AU72" i="1"/>
  <c r="BS72" i="1"/>
  <c r="AV72" i="1"/>
  <c r="BT72" i="1"/>
  <c r="AW72" i="1"/>
  <c r="BU72" i="1"/>
  <c r="DQ72" i="1"/>
  <c r="AX72" i="1"/>
  <c r="BV72" i="1"/>
  <c r="AZ72" i="1"/>
  <c r="BX72" i="1"/>
  <c r="BA72" i="1"/>
  <c r="BB72" i="1"/>
  <c r="BG72" i="1"/>
  <c r="BP72" i="1"/>
  <c r="CN72" i="1"/>
  <c r="BQ72" i="1"/>
  <c r="CB72" i="1"/>
  <c r="CC72" i="1"/>
  <c r="CD72" i="1"/>
  <c r="CF72" i="1"/>
  <c r="DD72" i="1"/>
  <c r="CG72" i="1"/>
  <c r="DE72" i="1"/>
  <c r="CI72" i="1"/>
  <c r="DG72" i="1"/>
  <c r="CJ72" i="1"/>
  <c r="DH72" i="1"/>
  <c r="CL72" i="1"/>
  <c r="DJ72" i="1"/>
  <c r="A73" i="1"/>
  <c r="C73" i="1"/>
  <c r="E73" i="1"/>
  <c r="AK73" i="1"/>
  <c r="AU73" i="1"/>
  <c r="BS73" i="1"/>
  <c r="AV73" i="1"/>
  <c r="BT73" i="1"/>
  <c r="AW73" i="1"/>
  <c r="BU73" i="1"/>
  <c r="AX73" i="1"/>
  <c r="BV73" i="1"/>
  <c r="CT73" i="1"/>
  <c r="AZ73" i="1"/>
  <c r="BX73" i="1"/>
  <c r="BA73" i="1"/>
  <c r="BB73" i="1"/>
  <c r="BG73" i="1"/>
  <c r="BP73" i="1"/>
  <c r="CN73" i="1"/>
  <c r="BQ73" i="1"/>
  <c r="CB73" i="1"/>
  <c r="CC73" i="1"/>
  <c r="DY73" i="1"/>
  <c r="CD73" i="1"/>
  <c r="DB73" i="1"/>
  <c r="CF73" i="1"/>
  <c r="DD73" i="1"/>
  <c r="CG73" i="1"/>
  <c r="DE73" i="1"/>
  <c r="CI73" i="1"/>
  <c r="DG73" i="1"/>
  <c r="CJ73" i="1"/>
  <c r="DH73" i="1"/>
  <c r="CL73" i="1"/>
  <c r="A74" i="1"/>
  <c r="C74" i="1"/>
  <c r="E74" i="1"/>
  <c r="DW74" i="1"/>
  <c r="AK74" i="1"/>
  <c r="AU74" i="1"/>
  <c r="BS74" i="1"/>
  <c r="AV74" i="1"/>
  <c r="BT74" i="1"/>
  <c r="DP74" i="1"/>
  <c r="AW74" i="1"/>
  <c r="BU74" i="1"/>
  <c r="AX74" i="1"/>
  <c r="BV74" i="1"/>
  <c r="AZ74" i="1"/>
  <c r="BX74" i="1"/>
  <c r="BA74" i="1"/>
  <c r="BB74" i="1"/>
  <c r="BG74" i="1"/>
  <c r="BP74" i="1"/>
  <c r="CN74" i="1"/>
  <c r="BQ74" i="1"/>
  <c r="CB74" i="1"/>
  <c r="DX74" i="1"/>
  <c r="CC74" i="1"/>
  <c r="DA74" i="1"/>
  <c r="CD74" i="1"/>
  <c r="CF74" i="1"/>
  <c r="DD74" i="1"/>
  <c r="CG74" i="1"/>
  <c r="DE74" i="1"/>
  <c r="CI74" i="1"/>
  <c r="DG74" i="1"/>
  <c r="CJ74" i="1"/>
  <c r="DH74" i="1"/>
  <c r="CL74" i="1"/>
  <c r="DJ74" i="1"/>
  <c r="A75" i="1"/>
  <c r="C75" i="1"/>
  <c r="E75" i="1"/>
  <c r="DW75" i="1"/>
  <c r="AK75" i="1"/>
  <c r="AU75" i="1"/>
  <c r="BS75" i="1"/>
  <c r="AV75" i="1"/>
  <c r="BT75" i="1"/>
  <c r="AW75" i="1"/>
  <c r="BU75" i="1"/>
  <c r="CS75" i="1"/>
  <c r="AX75" i="1"/>
  <c r="BV75" i="1"/>
  <c r="AZ75" i="1"/>
  <c r="BX75" i="1"/>
  <c r="BA75" i="1"/>
  <c r="BB75" i="1"/>
  <c r="BG75" i="1"/>
  <c r="BP75" i="1"/>
  <c r="CN75" i="1"/>
  <c r="BQ75" i="1"/>
  <c r="CB75" i="1"/>
  <c r="CC75" i="1"/>
  <c r="CD75" i="1"/>
  <c r="CF75" i="1"/>
  <c r="DD75" i="1"/>
  <c r="CG75" i="1"/>
  <c r="DE75" i="1"/>
  <c r="CI75" i="1"/>
  <c r="CJ75" i="1"/>
  <c r="DH75" i="1"/>
  <c r="CL75" i="1"/>
  <c r="CY75" i="1"/>
  <c r="DG75" i="1"/>
  <c r="A76" i="1"/>
  <c r="C76" i="1"/>
  <c r="E76" i="1"/>
  <c r="AK76" i="1"/>
  <c r="AU76" i="1"/>
  <c r="BS76" i="1"/>
  <c r="DO76" i="1"/>
  <c r="AV76" i="1"/>
  <c r="BT76" i="1"/>
  <c r="AW76" i="1"/>
  <c r="BU76" i="1"/>
  <c r="AX76" i="1"/>
  <c r="BV76" i="1"/>
  <c r="AZ76" i="1"/>
  <c r="BX76" i="1"/>
  <c r="BA76" i="1"/>
  <c r="BB76" i="1"/>
  <c r="BG76" i="1"/>
  <c r="BP76" i="1"/>
  <c r="CN76" i="1"/>
  <c r="DL76" i="1"/>
  <c r="BQ76" i="1"/>
  <c r="CB76" i="1"/>
  <c r="CZ76" i="1"/>
  <c r="CC76" i="1"/>
  <c r="DY76" i="1"/>
  <c r="CD76" i="1"/>
  <c r="CF76" i="1"/>
  <c r="DD76" i="1"/>
  <c r="CG76" i="1"/>
  <c r="DE76" i="1"/>
  <c r="CI76" i="1"/>
  <c r="DG76" i="1"/>
  <c r="CJ76" i="1"/>
  <c r="DH76" i="1"/>
  <c r="CL76" i="1"/>
  <c r="EC76" i="1"/>
  <c r="A77" i="1"/>
  <c r="C77" i="1"/>
  <c r="E77" i="1"/>
  <c r="AK77" i="1"/>
  <c r="AU77" i="1"/>
  <c r="BS77" i="1"/>
  <c r="DO77" i="1"/>
  <c r="AV77" i="1"/>
  <c r="BT77" i="1"/>
  <c r="AW77" i="1"/>
  <c r="BU77" i="1"/>
  <c r="AX77" i="1"/>
  <c r="BV77" i="1"/>
  <c r="AZ77" i="1"/>
  <c r="BX77" i="1"/>
  <c r="DT77" i="1"/>
  <c r="BA77" i="1"/>
  <c r="BB77" i="1"/>
  <c r="BG77" i="1"/>
  <c r="BP77" i="1"/>
  <c r="CN77" i="1"/>
  <c r="BQ77" i="1"/>
  <c r="CB77" i="1"/>
  <c r="DX77" i="1"/>
  <c r="CC77" i="1"/>
  <c r="DA77" i="1"/>
  <c r="CD77" i="1"/>
  <c r="DZ77" i="1"/>
  <c r="CF77" i="1"/>
  <c r="DD77" i="1"/>
  <c r="CG77" i="1"/>
  <c r="DE77" i="1"/>
  <c r="CI77" i="1"/>
  <c r="DG77" i="1"/>
  <c r="CJ77" i="1"/>
  <c r="DH77" i="1"/>
  <c r="CL77" i="1"/>
  <c r="EC77" i="1"/>
  <c r="CZ77" i="1"/>
  <c r="A78" i="1"/>
  <c r="C78" i="1"/>
  <c r="E78" i="1"/>
  <c r="CK78" i="1"/>
  <c r="AK78" i="1"/>
  <c r="AU78" i="1"/>
  <c r="BS78" i="1"/>
  <c r="AV78" i="1"/>
  <c r="BT78" i="1"/>
  <c r="AW78" i="1"/>
  <c r="BU78" i="1"/>
  <c r="AX78" i="1"/>
  <c r="BV78" i="1"/>
  <c r="CT78" i="1"/>
  <c r="AZ78" i="1"/>
  <c r="BX78" i="1"/>
  <c r="CV78" i="1"/>
  <c r="BA78" i="1"/>
  <c r="BB78" i="1"/>
  <c r="BG78" i="1"/>
  <c r="BP78" i="1"/>
  <c r="CN78" i="1"/>
  <c r="DL78" i="1"/>
  <c r="BQ78" i="1"/>
  <c r="CB78" i="1"/>
  <c r="CC78" i="1"/>
  <c r="CD78" i="1"/>
  <c r="CF78" i="1"/>
  <c r="DD78" i="1"/>
  <c r="CG78" i="1"/>
  <c r="DE78" i="1"/>
  <c r="CI78" i="1"/>
  <c r="DG78" i="1"/>
  <c r="CJ78" i="1"/>
  <c r="DH78" i="1"/>
  <c r="CL78" i="1"/>
  <c r="A79" i="1"/>
  <c r="C79" i="1"/>
  <c r="E79" i="1"/>
  <c r="AK79" i="1"/>
  <c r="AU79" i="1"/>
  <c r="BS79" i="1"/>
  <c r="AV79" i="1"/>
  <c r="BT79" i="1"/>
  <c r="DP79" i="1"/>
  <c r="AW79" i="1"/>
  <c r="BU79" i="1"/>
  <c r="AX79" i="1"/>
  <c r="BV79" i="1"/>
  <c r="CT79" i="1"/>
  <c r="AZ79" i="1"/>
  <c r="BX79" i="1"/>
  <c r="BA79" i="1"/>
  <c r="BB79" i="1"/>
  <c r="BG79" i="1"/>
  <c r="BP79" i="1"/>
  <c r="CN79" i="1"/>
  <c r="BQ79" i="1"/>
  <c r="CB79" i="1"/>
  <c r="DX79" i="1"/>
  <c r="CC79" i="1"/>
  <c r="DA79" i="1"/>
  <c r="CD79" i="1"/>
  <c r="CF79" i="1"/>
  <c r="DD79" i="1"/>
  <c r="CG79" i="1"/>
  <c r="DE79" i="1"/>
  <c r="CI79" i="1"/>
  <c r="DG79" i="1"/>
  <c r="CJ79" i="1"/>
  <c r="DH79" i="1"/>
  <c r="CL79" i="1"/>
  <c r="DJ79" i="1"/>
  <c r="A80" i="1"/>
  <c r="C80" i="1"/>
  <c r="E80" i="1"/>
  <c r="AK80" i="1"/>
  <c r="AU80" i="1"/>
  <c r="BS80" i="1"/>
  <c r="AV80" i="1"/>
  <c r="BT80" i="1"/>
  <c r="DP80" i="1"/>
  <c r="AW80" i="1"/>
  <c r="BU80" i="1"/>
  <c r="CS80" i="1"/>
  <c r="AX80" i="1"/>
  <c r="BV80" i="1"/>
  <c r="AZ80" i="1"/>
  <c r="BX80" i="1"/>
  <c r="BA80" i="1"/>
  <c r="BB80" i="1"/>
  <c r="BG80" i="1"/>
  <c r="BP80" i="1"/>
  <c r="CN80" i="1"/>
  <c r="BQ80" i="1"/>
  <c r="CB80" i="1"/>
  <c r="DX80" i="1"/>
  <c r="CC80" i="1"/>
  <c r="CD80" i="1"/>
  <c r="DZ80" i="1"/>
  <c r="CF80" i="1"/>
  <c r="DD80" i="1"/>
  <c r="CG80" i="1"/>
  <c r="DE80" i="1"/>
  <c r="CI80" i="1"/>
  <c r="DG80" i="1"/>
  <c r="CJ80" i="1"/>
  <c r="DH80" i="1"/>
  <c r="CL80" i="1"/>
  <c r="EC80" i="1"/>
  <c r="CZ80" i="1"/>
  <c r="A81" i="1"/>
  <c r="C81" i="1"/>
  <c r="E81" i="1"/>
  <c r="AK81" i="1"/>
  <c r="AU81" i="1"/>
  <c r="BS81" i="1"/>
  <c r="CQ81" i="1"/>
  <c r="AV81" i="1"/>
  <c r="BT81" i="1"/>
  <c r="AW81" i="1"/>
  <c r="BU81" i="1"/>
  <c r="DQ81" i="1"/>
  <c r="AX81" i="1"/>
  <c r="BV81" i="1"/>
  <c r="AZ81" i="1"/>
  <c r="BX81" i="1"/>
  <c r="BA81" i="1"/>
  <c r="BB81" i="1"/>
  <c r="BG81" i="1"/>
  <c r="BP81" i="1"/>
  <c r="CN81" i="1"/>
  <c r="BQ81" i="1"/>
  <c r="CB81" i="1"/>
  <c r="CZ81" i="1"/>
  <c r="CC81" i="1"/>
  <c r="CD81" i="1"/>
  <c r="CF81" i="1"/>
  <c r="DD81" i="1"/>
  <c r="CG81" i="1"/>
  <c r="DE81" i="1"/>
  <c r="CI81" i="1"/>
  <c r="DG81" i="1"/>
  <c r="CJ81" i="1"/>
  <c r="DH81" i="1"/>
  <c r="CL81" i="1"/>
  <c r="A42" i="1"/>
  <c r="C42" i="1"/>
  <c r="E42" i="1"/>
  <c r="DW42" i="1"/>
  <c r="AK42" i="1"/>
  <c r="AU42" i="1"/>
  <c r="BS42" i="1"/>
  <c r="AV42" i="1"/>
  <c r="BT42" i="1"/>
  <c r="DP42" i="1"/>
  <c r="AW42" i="1"/>
  <c r="BU42" i="1"/>
  <c r="AX42" i="1"/>
  <c r="BV42" i="1"/>
  <c r="AZ42" i="1"/>
  <c r="BX42" i="1"/>
  <c r="BA42" i="1"/>
  <c r="BB42" i="1"/>
  <c r="BG42" i="1"/>
  <c r="BP42" i="1"/>
  <c r="CN42" i="1"/>
  <c r="BQ42" i="1"/>
  <c r="CB42" i="1"/>
  <c r="CC42" i="1"/>
  <c r="CD42" i="1"/>
  <c r="CF42" i="1"/>
  <c r="DD42" i="1"/>
  <c r="CG42" i="1"/>
  <c r="DE42" i="1"/>
  <c r="CI42" i="1"/>
  <c r="DG42" i="1"/>
  <c r="CJ42" i="1"/>
  <c r="DH42" i="1"/>
  <c r="CL42" i="1"/>
  <c r="DJ42" i="1"/>
  <c r="A43" i="1"/>
  <c r="C43" i="1"/>
  <c r="E43" i="1"/>
  <c r="AK43" i="1"/>
  <c r="AU43" i="1"/>
  <c r="BS43" i="1"/>
  <c r="AV43" i="1"/>
  <c r="BT43" i="1"/>
  <c r="AW43" i="1"/>
  <c r="BU43" i="1"/>
  <c r="AX43" i="1"/>
  <c r="BV43" i="1"/>
  <c r="AZ43" i="1"/>
  <c r="BX43" i="1"/>
  <c r="BA43" i="1"/>
  <c r="BB43" i="1"/>
  <c r="BG43" i="1"/>
  <c r="BP43" i="1"/>
  <c r="CN43" i="1"/>
  <c r="BQ43" i="1"/>
  <c r="CB43" i="1"/>
  <c r="CC43" i="1"/>
  <c r="CD43" i="1"/>
  <c r="DZ43" i="1"/>
  <c r="CF43" i="1"/>
  <c r="DD43" i="1"/>
  <c r="CG43" i="1"/>
  <c r="DE43" i="1"/>
  <c r="CI43" i="1"/>
  <c r="DG43" i="1"/>
  <c r="CJ43" i="1"/>
  <c r="DH43" i="1"/>
  <c r="CL43" i="1"/>
  <c r="EC43" i="1"/>
  <c r="A44" i="1"/>
  <c r="C44" i="1"/>
  <c r="E44" i="1"/>
  <c r="DW44" i="1"/>
  <c r="AK44" i="1"/>
  <c r="AU44" i="1"/>
  <c r="BS44" i="1"/>
  <c r="AV44" i="1"/>
  <c r="BT44" i="1"/>
  <c r="AW44" i="1"/>
  <c r="BU44" i="1"/>
  <c r="AX44" i="1"/>
  <c r="BV44" i="1"/>
  <c r="DR44" i="1"/>
  <c r="AZ44" i="1"/>
  <c r="BX44" i="1"/>
  <c r="BA44" i="1"/>
  <c r="BB44" i="1"/>
  <c r="BG44" i="1"/>
  <c r="BP44" i="1"/>
  <c r="CN44" i="1"/>
  <c r="DL44" i="1"/>
  <c r="BQ44" i="1"/>
  <c r="CB44" i="1"/>
  <c r="CZ44" i="1"/>
  <c r="CC44" i="1"/>
  <c r="CD44" i="1"/>
  <c r="CF44" i="1"/>
  <c r="DD44" i="1"/>
  <c r="CG44" i="1"/>
  <c r="DE44" i="1"/>
  <c r="CI44" i="1"/>
  <c r="DG44" i="1"/>
  <c r="CJ44" i="1"/>
  <c r="DH44" i="1"/>
  <c r="CL44" i="1"/>
  <c r="A45" i="1"/>
  <c r="C45" i="1"/>
  <c r="E45" i="1"/>
  <c r="AK45" i="1"/>
  <c r="AU45" i="1"/>
  <c r="BS45" i="1"/>
  <c r="CQ45" i="1"/>
  <c r="AV45" i="1"/>
  <c r="BT45" i="1"/>
  <c r="AW45" i="1"/>
  <c r="BU45" i="1"/>
  <c r="AX45" i="1"/>
  <c r="BV45" i="1"/>
  <c r="CT45" i="1"/>
  <c r="AZ45" i="1"/>
  <c r="BX45" i="1"/>
  <c r="BA45" i="1"/>
  <c r="BB45" i="1"/>
  <c r="BG45" i="1"/>
  <c r="BP45" i="1"/>
  <c r="CN45" i="1"/>
  <c r="BQ45" i="1"/>
  <c r="CB45" i="1"/>
  <c r="CC45" i="1"/>
  <c r="DA45" i="1"/>
  <c r="CD45" i="1"/>
  <c r="CF45" i="1"/>
  <c r="DD45" i="1"/>
  <c r="CG45" i="1"/>
  <c r="DE45" i="1"/>
  <c r="CI45" i="1"/>
  <c r="DG45" i="1"/>
  <c r="CJ45" i="1"/>
  <c r="DH45" i="1"/>
  <c r="CL45" i="1"/>
  <c r="A46" i="1"/>
  <c r="C46" i="1"/>
  <c r="E46" i="1"/>
  <c r="DW46" i="1"/>
  <c r="AK46" i="1"/>
  <c r="AU46" i="1"/>
  <c r="BS46" i="1"/>
  <c r="DO46" i="1"/>
  <c r="AV46" i="1"/>
  <c r="AW46" i="1"/>
  <c r="BU46" i="1"/>
  <c r="AX46" i="1"/>
  <c r="BV46" i="1"/>
  <c r="AZ46" i="1"/>
  <c r="BX46" i="1"/>
  <c r="BA46" i="1"/>
  <c r="BB46" i="1"/>
  <c r="BG46" i="1"/>
  <c r="BP46" i="1"/>
  <c r="CN46" i="1"/>
  <c r="EE46" i="1"/>
  <c r="BQ46" i="1"/>
  <c r="BT46" i="1"/>
  <c r="DP46" i="1"/>
  <c r="CB46" i="1"/>
  <c r="CC46" i="1"/>
  <c r="DA46" i="1"/>
  <c r="CD46" i="1"/>
  <c r="CF46" i="1"/>
  <c r="DD46" i="1"/>
  <c r="CG46" i="1"/>
  <c r="DE46" i="1"/>
  <c r="CI46" i="1"/>
  <c r="DG46" i="1"/>
  <c r="CJ46" i="1"/>
  <c r="DH46" i="1"/>
  <c r="CL46" i="1"/>
  <c r="A47" i="1"/>
  <c r="C47" i="1"/>
  <c r="E47" i="1"/>
  <c r="AK47" i="1"/>
  <c r="AU47" i="1"/>
  <c r="BS47" i="1"/>
  <c r="DO47" i="1"/>
  <c r="AV47" i="1"/>
  <c r="BT47" i="1"/>
  <c r="DP47" i="1"/>
  <c r="AW47" i="1"/>
  <c r="BU47" i="1"/>
  <c r="AX47" i="1"/>
  <c r="BV47" i="1"/>
  <c r="AZ47" i="1"/>
  <c r="BX47" i="1"/>
  <c r="BA47" i="1"/>
  <c r="BB47" i="1"/>
  <c r="BG47" i="1"/>
  <c r="BP47" i="1"/>
  <c r="CN47" i="1"/>
  <c r="DL47" i="1"/>
  <c r="BQ47" i="1"/>
  <c r="CB47" i="1"/>
  <c r="DX47" i="1"/>
  <c r="CC47" i="1"/>
  <c r="CD47" i="1"/>
  <c r="CF47" i="1"/>
  <c r="DD47" i="1"/>
  <c r="CG47" i="1"/>
  <c r="DE47" i="1"/>
  <c r="CI47" i="1"/>
  <c r="DG47" i="1"/>
  <c r="CJ47" i="1"/>
  <c r="DH47" i="1"/>
  <c r="CL47" i="1"/>
  <c r="DJ47" i="1"/>
  <c r="A48" i="1"/>
  <c r="C48" i="1"/>
  <c r="E48" i="1"/>
  <c r="AK48" i="1"/>
  <c r="AU48" i="1"/>
  <c r="BS48" i="1"/>
  <c r="DO48" i="1"/>
  <c r="AV48" i="1"/>
  <c r="BT48" i="1"/>
  <c r="CR48" i="1"/>
  <c r="AW48" i="1"/>
  <c r="BU48" i="1"/>
  <c r="AX48" i="1"/>
  <c r="BV48" i="1"/>
  <c r="AZ48" i="1"/>
  <c r="BX48" i="1"/>
  <c r="CV48" i="1"/>
  <c r="BA48" i="1"/>
  <c r="BB48" i="1"/>
  <c r="BG48" i="1"/>
  <c r="BP48" i="1"/>
  <c r="CN48" i="1"/>
  <c r="BQ48" i="1"/>
  <c r="CB48" i="1"/>
  <c r="DX48" i="1"/>
  <c r="CC48" i="1"/>
  <c r="DY48" i="1"/>
  <c r="CD48" i="1"/>
  <c r="CF48" i="1"/>
  <c r="DD48" i="1"/>
  <c r="CG48" i="1"/>
  <c r="DE48" i="1"/>
  <c r="CI48" i="1"/>
  <c r="DG48" i="1"/>
  <c r="CJ48" i="1"/>
  <c r="DH48" i="1"/>
  <c r="CL48" i="1"/>
  <c r="A49" i="1"/>
  <c r="C49" i="1"/>
  <c r="E49" i="1"/>
  <c r="EB49" i="1"/>
  <c r="AK49" i="1"/>
  <c r="AU49" i="1"/>
  <c r="BS49" i="1"/>
  <c r="CQ49" i="1"/>
  <c r="AV49" i="1"/>
  <c r="BT49" i="1"/>
  <c r="AW49" i="1"/>
  <c r="BU49" i="1"/>
  <c r="AX49" i="1"/>
  <c r="BV49" i="1"/>
  <c r="AZ49" i="1"/>
  <c r="BX49" i="1"/>
  <c r="BA49" i="1"/>
  <c r="BB49" i="1"/>
  <c r="BG49" i="1"/>
  <c r="BP49" i="1"/>
  <c r="CN49" i="1"/>
  <c r="BQ49" i="1"/>
  <c r="CB49" i="1"/>
  <c r="CC49" i="1"/>
  <c r="CD49" i="1"/>
  <c r="DZ49" i="1"/>
  <c r="CF49" i="1"/>
  <c r="DD49" i="1"/>
  <c r="CG49" i="1"/>
  <c r="DE49" i="1"/>
  <c r="CI49" i="1"/>
  <c r="DG49" i="1"/>
  <c r="CJ49" i="1"/>
  <c r="DH49" i="1"/>
  <c r="CL49" i="1"/>
  <c r="DW49" i="1"/>
  <c r="A50" i="1"/>
  <c r="C50" i="1"/>
  <c r="E50" i="1"/>
  <c r="AK50" i="1"/>
  <c r="AU50" i="1"/>
  <c r="BS50" i="1"/>
  <c r="AV50" i="1"/>
  <c r="BT50" i="1"/>
  <c r="AW50" i="1"/>
  <c r="BU50" i="1"/>
  <c r="DQ50" i="1"/>
  <c r="AX50" i="1"/>
  <c r="BV50" i="1"/>
  <c r="AZ50" i="1"/>
  <c r="BA50" i="1"/>
  <c r="BB50" i="1"/>
  <c r="BG50" i="1"/>
  <c r="BP50" i="1"/>
  <c r="CN50" i="1"/>
  <c r="BQ50" i="1"/>
  <c r="BX50" i="1"/>
  <c r="CB50" i="1"/>
  <c r="CC50" i="1"/>
  <c r="CD50" i="1"/>
  <c r="DB50" i="1"/>
  <c r="CF50" i="1"/>
  <c r="DD50" i="1"/>
  <c r="CG50" i="1"/>
  <c r="DE50" i="1"/>
  <c r="CI50" i="1"/>
  <c r="DG50" i="1"/>
  <c r="CJ50" i="1"/>
  <c r="DH50" i="1"/>
  <c r="CL50" i="1"/>
  <c r="A51" i="1"/>
  <c r="C51" i="1"/>
  <c r="E51" i="1"/>
  <c r="DI51" i="1"/>
  <c r="AK51" i="1"/>
  <c r="AU51" i="1"/>
  <c r="BS51" i="1"/>
  <c r="CQ51" i="1"/>
  <c r="AV51" i="1"/>
  <c r="BT51" i="1"/>
  <c r="AW51" i="1"/>
  <c r="BU51" i="1"/>
  <c r="DQ51" i="1"/>
  <c r="AX51" i="1"/>
  <c r="BV51" i="1"/>
  <c r="CT51" i="1"/>
  <c r="AZ51" i="1"/>
  <c r="BX51" i="1"/>
  <c r="BA51" i="1"/>
  <c r="BB51" i="1"/>
  <c r="BG51" i="1"/>
  <c r="BP51" i="1"/>
  <c r="CN51" i="1"/>
  <c r="DL51" i="1"/>
  <c r="BQ51" i="1"/>
  <c r="CB51" i="1"/>
  <c r="CC51" i="1"/>
  <c r="DY51" i="1"/>
  <c r="CD51" i="1"/>
  <c r="DB51" i="1"/>
  <c r="CF51" i="1"/>
  <c r="DD51" i="1"/>
  <c r="CG51" i="1"/>
  <c r="DE51" i="1"/>
  <c r="CI51" i="1"/>
  <c r="DG51" i="1"/>
  <c r="CJ51" i="1"/>
  <c r="DH51" i="1"/>
  <c r="CL51" i="1"/>
  <c r="DJ51" i="1"/>
  <c r="A52" i="1"/>
  <c r="C52" i="1"/>
  <c r="E52" i="1"/>
  <c r="AK52" i="1"/>
  <c r="AU52" i="1"/>
  <c r="BS52" i="1"/>
  <c r="AV52" i="1"/>
  <c r="BT52" i="1"/>
  <c r="AW52" i="1"/>
  <c r="BU52" i="1"/>
  <c r="AX52" i="1"/>
  <c r="BV52" i="1"/>
  <c r="DR52" i="1"/>
  <c r="AZ52" i="1"/>
  <c r="BX52" i="1"/>
  <c r="BA52" i="1"/>
  <c r="BB52" i="1"/>
  <c r="BG52" i="1"/>
  <c r="BP52" i="1"/>
  <c r="CN52" i="1"/>
  <c r="BQ52" i="1"/>
  <c r="CB52" i="1"/>
  <c r="CC52" i="1"/>
  <c r="DY52" i="1"/>
  <c r="CD52" i="1"/>
  <c r="DZ52" i="1"/>
  <c r="CF52" i="1"/>
  <c r="DD52" i="1"/>
  <c r="CG52" i="1"/>
  <c r="DE52" i="1"/>
  <c r="CI52" i="1"/>
  <c r="DG52" i="1"/>
  <c r="CJ52" i="1"/>
  <c r="DH52" i="1"/>
  <c r="CL52" i="1"/>
  <c r="EC52" i="1"/>
  <c r="A53" i="1"/>
  <c r="C53" i="1"/>
  <c r="E53" i="1"/>
  <c r="AE53" i="1"/>
  <c r="AK53" i="1"/>
  <c r="AU53" i="1"/>
  <c r="BS53" i="1"/>
  <c r="AV53" i="1"/>
  <c r="BT53" i="1"/>
  <c r="AW53" i="1"/>
  <c r="BU53" i="1"/>
  <c r="AX53" i="1"/>
  <c r="BV53" i="1"/>
  <c r="AZ53" i="1"/>
  <c r="BX53" i="1"/>
  <c r="DT53" i="1"/>
  <c r="BA53" i="1"/>
  <c r="BB53" i="1"/>
  <c r="BG53" i="1"/>
  <c r="BP53" i="1"/>
  <c r="CN53" i="1"/>
  <c r="BQ53" i="1"/>
  <c r="CB53" i="1"/>
  <c r="CC53" i="1"/>
  <c r="CD53" i="1"/>
  <c r="CF53" i="1"/>
  <c r="DD53" i="1"/>
  <c r="CG53" i="1"/>
  <c r="DE53" i="1"/>
  <c r="CI53" i="1"/>
  <c r="DG53" i="1"/>
  <c r="CJ53" i="1"/>
  <c r="DH53" i="1"/>
  <c r="CL53" i="1"/>
  <c r="A54" i="1"/>
  <c r="C54" i="1"/>
  <c r="E54" i="1"/>
  <c r="AD54" i="1"/>
  <c r="AK54" i="1"/>
  <c r="AU54" i="1"/>
  <c r="BS54" i="1"/>
  <c r="AV54" i="1"/>
  <c r="BT54" i="1"/>
  <c r="DP54" i="1"/>
  <c r="AW54" i="1"/>
  <c r="BU54" i="1"/>
  <c r="CS54" i="1"/>
  <c r="AX54" i="1"/>
  <c r="BV54" i="1"/>
  <c r="AZ54" i="1"/>
  <c r="BX54" i="1"/>
  <c r="BA54" i="1"/>
  <c r="BB54" i="1"/>
  <c r="BG54" i="1"/>
  <c r="BP54" i="1"/>
  <c r="CN54" i="1"/>
  <c r="BQ54" i="1"/>
  <c r="CB54" i="1"/>
  <c r="DX54" i="1"/>
  <c r="CC54" i="1"/>
  <c r="DA54" i="1"/>
  <c r="GS54" i="1"/>
  <c r="CD54" i="1"/>
  <c r="CF54" i="1"/>
  <c r="DD54" i="1"/>
  <c r="CG54" i="1"/>
  <c r="DE54" i="1"/>
  <c r="CI54" i="1"/>
  <c r="DG54" i="1"/>
  <c r="CJ54" i="1"/>
  <c r="DH54" i="1"/>
  <c r="CL54" i="1"/>
  <c r="A55" i="1"/>
  <c r="C55" i="1"/>
  <c r="E55" i="1"/>
  <c r="AK55" i="1"/>
  <c r="AU55" i="1"/>
  <c r="BS55" i="1"/>
  <c r="AV55" i="1"/>
  <c r="BT55" i="1"/>
  <c r="AW55" i="1"/>
  <c r="BU55" i="1"/>
  <c r="AX55" i="1"/>
  <c r="BV55" i="1"/>
  <c r="AZ55" i="1"/>
  <c r="BX55" i="1"/>
  <c r="BA55" i="1"/>
  <c r="BB55" i="1"/>
  <c r="BG55" i="1"/>
  <c r="BP55" i="1"/>
  <c r="CN55" i="1"/>
  <c r="EE55" i="1"/>
  <c r="BQ55" i="1"/>
  <c r="CB55" i="1"/>
  <c r="CC55" i="1"/>
  <c r="DA55" i="1"/>
  <c r="FH55" i="1"/>
  <c r="CD55" i="1"/>
  <c r="CF55" i="1"/>
  <c r="DD55" i="1"/>
  <c r="CG55" i="1"/>
  <c r="DE55" i="1"/>
  <c r="CI55" i="1"/>
  <c r="DG55" i="1"/>
  <c r="CJ55" i="1"/>
  <c r="DH55" i="1"/>
  <c r="CL55" i="1"/>
  <c r="A56" i="1"/>
  <c r="C56" i="1"/>
  <c r="E56" i="1"/>
  <c r="AK56" i="1"/>
  <c r="AU56" i="1"/>
  <c r="BS56" i="1"/>
  <c r="DO56" i="1"/>
  <c r="AV56" i="1"/>
  <c r="BT56" i="1"/>
  <c r="AW56" i="1"/>
  <c r="AX56" i="1"/>
  <c r="BV56" i="1"/>
  <c r="DR56" i="1"/>
  <c r="AZ56" i="1"/>
  <c r="BX56" i="1"/>
  <c r="BA56" i="1"/>
  <c r="BB56" i="1"/>
  <c r="BG56" i="1"/>
  <c r="BP56" i="1"/>
  <c r="CN56" i="1"/>
  <c r="BQ56" i="1"/>
  <c r="BU56" i="1"/>
  <c r="CB56" i="1"/>
  <c r="CZ56" i="1"/>
  <c r="CC56" i="1"/>
  <c r="CD56" i="1"/>
  <c r="CF56" i="1"/>
  <c r="DD56" i="1"/>
  <c r="CG56" i="1"/>
  <c r="DE56" i="1"/>
  <c r="CI56" i="1"/>
  <c r="DG56" i="1"/>
  <c r="CJ56" i="1"/>
  <c r="DH56" i="1"/>
  <c r="CL56" i="1"/>
  <c r="EC56" i="1"/>
  <c r="A57" i="1"/>
  <c r="C57" i="1"/>
  <c r="E57" i="1"/>
  <c r="AK57" i="1"/>
  <c r="AU57" i="1"/>
  <c r="BS57" i="1"/>
  <c r="CQ57" i="1"/>
  <c r="AV57" i="1"/>
  <c r="BT57" i="1"/>
  <c r="AW57" i="1"/>
  <c r="BU57" i="1"/>
  <c r="DQ57" i="1"/>
  <c r="AX57" i="1"/>
  <c r="BV57" i="1"/>
  <c r="AZ57" i="1"/>
  <c r="BX57" i="1"/>
  <c r="BA57" i="1"/>
  <c r="BB57" i="1"/>
  <c r="BG57" i="1"/>
  <c r="BP57" i="1"/>
  <c r="CN57" i="1"/>
  <c r="DL57" i="1"/>
  <c r="BQ57" i="1"/>
  <c r="CB57" i="1"/>
  <c r="CC57" i="1"/>
  <c r="DY57" i="1"/>
  <c r="CD57" i="1"/>
  <c r="CF57" i="1"/>
  <c r="DD57" i="1"/>
  <c r="CG57" i="1"/>
  <c r="DE57" i="1"/>
  <c r="CI57" i="1"/>
  <c r="DG57" i="1"/>
  <c r="CJ57" i="1"/>
  <c r="DH57" i="1"/>
  <c r="CL57" i="1"/>
  <c r="DJ57" i="1"/>
  <c r="CS57" i="1"/>
  <c r="A58" i="1"/>
  <c r="C58" i="1"/>
  <c r="E58" i="1"/>
  <c r="AK58" i="1"/>
  <c r="AU58" i="1"/>
  <c r="BS58" i="1"/>
  <c r="DO58" i="1"/>
  <c r="AV58" i="1"/>
  <c r="BT58" i="1"/>
  <c r="DP58" i="1"/>
  <c r="AW58" i="1"/>
  <c r="BU58" i="1"/>
  <c r="DQ58" i="1"/>
  <c r="AX58" i="1"/>
  <c r="BV58" i="1"/>
  <c r="AZ58" i="1"/>
  <c r="BX58" i="1"/>
  <c r="BA58" i="1"/>
  <c r="BB58" i="1"/>
  <c r="BG58" i="1"/>
  <c r="BP58" i="1"/>
  <c r="CN58" i="1"/>
  <c r="BQ58" i="1"/>
  <c r="CB58" i="1"/>
  <c r="DX58" i="1"/>
  <c r="CC58" i="1"/>
  <c r="CD58" i="1"/>
  <c r="CF58" i="1"/>
  <c r="DD58" i="1"/>
  <c r="CG58" i="1"/>
  <c r="DE58" i="1"/>
  <c r="CI58" i="1"/>
  <c r="DG58" i="1"/>
  <c r="CJ58" i="1"/>
  <c r="DH58" i="1"/>
  <c r="CL58" i="1"/>
  <c r="DJ58" i="1"/>
  <c r="A59" i="1"/>
  <c r="C59" i="1"/>
  <c r="E59" i="1"/>
  <c r="EB59" i="1"/>
  <c r="AK59" i="1"/>
  <c r="AU59" i="1"/>
  <c r="BS59" i="1"/>
  <c r="DO59" i="1"/>
  <c r="AV59" i="1"/>
  <c r="BT59" i="1"/>
  <c r="CR59" i="1"/>
  <c r="AW59" i="1"/>
  <c r="BU59" i="1"/>
  <c r="AX59" i="1"/>
  <c r="BV59" i="1"/>
  <c r="AZ59" i="1"/>
  <c r="BX59" i="1"/>
  <c r="DT59" i="1"/>
  <c r="BA59" i="1"/>
  <c r="BB59" i="1"/>
  <c r="BG59" i="1"/>
  <c r="BP59" i="1"/>
  <c r="CN59" i="1"/>
  <c r="EE59" i="1"/>
  <c r="BQ59" i="1"/>
  <c r="CB59" i="1"/>
  <c r="CZ59" i="1"/>
  <c r="CC59" i="1"/>
  <c r="DA59" i="1"/>
  <c r="GS59" i="1"/>
  <c r="CD59" i="1"/>
  <c r="CF59" i="1"/>
  <c r="DD59" i="1"/>
  <c r="CG59" i="1"/>
  <c r="DE59" i="1"/>
  <c r="CI59" i="1"/>
  <c r="DG59" i="1"/>
  <c r="CJ59" i="1"/>
  <c r="DH59" i="1"/>
  <c r="CL59" i="1"/>
  <c r="DJ59" i="1"/>
  <c r="A60" i="1"/>
  <c r="C60" i="1"/>
  <c r="E60" i="1"/>
  <c r="AK60" i="1"/>
  <c r="AU60" i="1"/>
  <c r="BS60" i="1"/>
  <c r="AV60" i="1"/>
  <c r="BT60" i="1"/>
  <c r="DP60" i="1"/>
  <c r="AW60" i="1"/>
  <c r="BU60" i="1"/>
  <c r="AX60" i="1"/>
  <c r="BV60" i="1"/>
  <c r="AZ60" i="1"/>
  <c r="BX60" i="1"/>
  <c r="BA60" i="1"/>
  <c r="BB60" i="1"/>
  <c r="BG60" i="1"/>
  <c r="BP60" i="1"/>
  <c r="CN60" i="1"/>
  <c r="BQ60" i="1"/>
  <c r="CB60" i="1"/>
  <c r="CC60" i="1"/>
  <c r="CD60" i="1"/>
  <c r="DB60" i="1"/>
  <c r="CF60" i="1"/>
  <c r="DD60" i="1"/>
  <c r="CG60" i="1"/>
  <c r="DE60" i="1"/>
  <c r="CI60" i="1"/>
  <c r="DG60" i="1"/>
  <c r="CJ60" i="1"/>
  <c r="DH60" i="1"/>
  <c r="CL60" i="1"/>
  <c r="DJ60" i="1"/>
  <c r="A61" i="1"/>
  <c r="C61" i="1"/>
  <c r="E61" i="1"/>
  <c r="BC61" i="1"/>
  <c r="AK61" i="1"/>
  <c r="AU61" i="1"/>
  <c r="BS61" i="1"/>
  <c r="AV61" i="1"/>
  <c r="BT61" i="1"/>
  <c r="DP61" i="1"/>
  <c r="AW61" i="1"/>
  <c r="BU61" i="1"/>
  <c r="AX61" i="1"/>
  <c r="BV61" i="1"/>
  <c r="CT61" i="1"/>
  <c r="AZ61" i="1"/>
  <c r="BX61" i="1"/>
  <c r="BA61" i="1"/>
  <c r="BB61" i="1"/>
  <c r="BG61" i="1"/>
  <c r="BP61" i="1"/>
  <c r="CN61" i="1"/>
  <c r="BQ61" i="1"/>
  <c r="CB61" i="1"/>
  <c r="DX61" i="1"/>
  <c r="CC61" i="1"/>
  <c r="DA61" i="1"/>
  <c r="CD61" i="1"/>
  <c r="CF61" i="1"/>
  <c r="DD61" i="1"/>
  <c r="CG61" i="1"/>
  <c r="DE61" i="1"/>
  <c r="CI61" i="1"/>
  <c r="DG61" i="1"/>
  <c r="CJ61" i="1"/>
  <c r="DH61" i="1"/>
  <c r="CL61" i="1"/>
  <c r="DJ61" i="1"/>
  <c r="A62" i="1"/>
  <c r="C62" i="1"/>
  <c r="E62" i="1"/>
  <c r="AK62" i="1"/>
  <c r="AU62" i="1"/>
  <c r="BS62" i="1"/>
  <c r="DO62" i="1"/>
  <c r="AV62" i="1"/>
  <c r="BT62" i="1"/>
  <c r="AW62" i="1"/>
  <c r="BU62" i="1"/>
  <c r="CS62" i="1"/>
  <c r="AX62" i="1"/>
  <c r="BV62" i="1"/>
  <c r="AZ62" i="1"/>
  <c r="BX62" i="1"/>
  <c r="DT62" i="1"/>
  <c r="BA62" i="1"/>
  <c r="BB62" i="1"/>
  <c r="BG62" i="1"/>
  <c r="BP62" i="1"/>
  <c r="CN62" i="1"/>
  <c r="BQ62" i="1"/>
  <c r="CB62" i="1"/>
  <c r="CZ62" i="1"/>
  <c r="CC62" i="1"/>
  <c r="DA62" i="1"/>
  <c r="CD62" i="1"/>
  <c r="DZ62" i="1"/>
  <c r="CF62" i="1"/>
  <c r="DD62" i="1"/>
  <c r="CG62" i="1"/>
  <c r="DE62" i="1"/>
  <c r="CI62" i="1"/>
  <c r="DG62" i="1"/>
  <c r="CJ62" i="1"/>
  <c r="DH62" i="1"/>
  <c r="CL62" i="1"/>
  <c r="EC62" i="1"/>
  <c r="A63" i="1"/>
  <c r="C63" i="1"/>
  <c r="E63" i="1"/>
  <c r="AK63" i="1"/>
  <c r="AU63" i="1"/>
  <c r="BS63" i="1"/>
  <c r="DO63" i="1"/>
  <c r="AV63" i="1"/>
  <c r="BT63" i="1"/>
  <c r="CR63" i="1"/>
  <c r="AW63" i="1"/>
  <c r="BU63" i="1"/>
  <c r="DQ63" i="1"/>
  <c r="AX63" i="1"/>
  <c r="BV63" i="1"/>
  <c r="DR63" i="1"/>
  <c r="AZ63" i="1"/>
  <c r="BX63" i="1"/>
  <c r="CV63" i="1"/>
  <c r="BA63" i="1"/>
  <c r="BB63" i="1"/>
  <c r="BG63" i="1"/>
  <c r="BP63" i="1"/>
  <c r="CN63" i="1"/>
  <c r="BQ63" i="1"/>
  <c r="CB63" i="1"/>
  <c r="CZ63" i="1"/>
  <c r="CC63" i="1"/>
  <c r="CD63" i="1"/>
  <c r="DB63" i="1"/>
  <c r="CF63" i="1"/>
  <c r="DD63" i="1"/>
  <c r="CG63" i="1"/>
  <c r="DE63" i="1"/>
  <c r="CI63" i="1"/>
  <c r="DG63" i="1"/>
  <c r="CJ63" i="1"/>
  <c r="DH63" i="1"/>
  <c r="CL63" i="1"/>
  <c r="EC63" i="1"/>
  <c r="A64" i="1"/>
  <c r="C64" i="1"/>
  <c r="E64" i="1"/>
  <c r="AK64" i="1"/>
  <c r="AU64" i="1"/>
  <c r="BS64" i="1"/>
  <c r="AV64" i="1"/>
  <c r="BT64" i="1"/>
  <c r="DP64" i="1"/>
  <c r="AW64" i="1"/>
  <c r="BU64" i="1"/>
  <c r="AX64" i="1"/>
  <c r="BV64" i="1"/>
  <c r="AZ64" i="1"/>
  <c r="BX64" i="1"/>
  <c r="BA64" i="1"/>
  <c r="BB64" i="1"/>
  <c r="BG64" i="1"/>
  <c r="BP64" i="1"/>
  <c r="CN64" i="1"/>
  <c r="BQ64" i="1"/>
  <c r="CB64" i="1"/>
  <c r="DX64" i="1"/>
  <c r="CC64" i="1"/>
  <c r="DA64" i="1"/>
  <c r="GS64" i="1"/>
  <c r="CD64" i="1"/>
  <c r="CF64" i="1"/>
  <c r="DD64" i="1"/>
  <c r="CG64" i="1"/>
  <c r="DE64" i="1"/>
  <c r="CI64" i="1"/>
  <c r="DG64" i="1"/>
  <c r="CJ64" i="1"/>
  <c r="DH64" i="1"/>
  <c r="CL64" i="1"/>
  <c r="EC64" i="1"/>
  <c r="A65" i="1"/>
  <c r="C65" i="1"/>
  <c r="E65" i="1"/>
  <c r="CK65" i="1"/>
  <c r="AK65" i="1"/>
  <c r="AU65" i="1"/>
  <c r="BS65" i="1"/>
  <c r="AV65" i="1"/>
  <c r="BT65" i="1"/>
  <c r="CR65" i="1"/>
  <c r="AW65" i="1"/>
  <c r="BU65" i="1"/>
  <c r="CS65" i="1"/>
  <c r="AX65" i="1"/>
  <c r="BV65" i="1"/>
  <c r="AZ65" i="1"/>
  <c r="BX65" i="1"/>
  <c r="DT65" i="1"/>
  <c r="BA65" i="1"/>
  <c r="BB65" i="1"/>
  <c r="BG65" i="1"/>
  <c r="BP65" i="1"/>
  <c r="CN65" i="1"/>
  <c r="BQ65" i="1"/>
  <c r="CB65" i="1"/>
  <c r="CC65" i="1"/>
  <c r="DY65" i="1"/>
  <c r="CD65" i="1"/>
  <c r="CF65" i="1"/>
  <c r="DD65" i="1"/>
  <c r="CG65" i="1"/>
  <c r="DE65" i="1"/>
  <c r="CI65" i="1"/>
  <c r="DG65" i="1"/>
  <c r="CJ65" i="1"/>
  <c r="DH65" i="1"/>
  <c r="CL65" i="1"/>
  <c r="DJ65" i="1"/>
  <c r="A66" i="1"/>
  <c r="C66" i="1"/>
  <c r="E66" i="1"/>
  <c r="AK66" i="1"/>
  <c r="AU66" i="1"/>
  <c r="BS66" i="1"/>
  <c r="CQ66" i="1"/>
  <c r="AV66" i="1"/>
  <c r="BT66" i="1"/>
  <c r="DP66" i="1"/>
  <c r="AW66" i="1"/>
  <c r="BU66" i="1"/>
  <c r="DQ66" i="1"/>
  <c r="AX66" i="1"/>
  <c r="BV66" i="1"/>
  <c r="DR66" i="1"/>
  <c r="AZ66" i="1"/>
  <c r="BX66" i="1"/>
  <c r="BA66" i="1"/>
  <c r="BB66" i="1"/>
  <c r="BG66" i="1"/>
  <c r="BP66" i="1"/>
  <c r="CN66" i="1"/>
  <c r="BQ66" i="1"/>
  <c r="CB66" i="1"/>
  <c r="CC66" i="1"/>
  <c r="DY66" i="1"/>
  <c r="CD66" i="1"/>
  <c r="DZ66" i="1"/>
  <c r="CF66" i="1"/>
  <c r="DD66" i="1"/>
  <c r="CG66" i="1"/>
  <c r="DE66" i="1"/>
  <c r="CI66" i="1"/>
  <c r="DG66" i="1"/>
  <c r="CJ66" i="1"/>
  <c r="DH66" i="1"/>
  <c r="CL66" i="1"/>
  <c r="EC66" i="1"/>
  <c r="DJ66" i="1"/>
  <c r="A67" i="1"/>
  <c r="C67" i="1"/>
  <c r="E67" i="1"/>
  <c r="AK67" i="1"/>
  <c r="AU67" i="1"/>
  <c r="BS67" i="1"/>
  <c r="AV67" i="1"/>
  <c r="BT67" i="1"/>
  <c r="AW67" i="1"/>
  <c r="BU67" i="1"/>
  <c r="CS67" i="1"/>
  <c r="AX67" i="1"/>
  <c r="BV67" i="1"/>
  <c r="AZ67" i="1"/>
  <c r="BX67" i="1"/>
  <c r="DT67" i="1"/>
  <c r="BA67" i="1"/>
  <c r="BB67" i="1"/>
  <c r="BG67" i="1"/>
  <c r="BP67" i="1"/>
  <c r="CN67" i="1"/>
  <c r="BQ67" i="1"/>
  <c r="CB67" i="1"/>
  <c r="DX67" i="1"/>
  <c r="CC67" i="1"/>
  <c r="CD67" i="1"/>
  <c r="DB67" i="1"/>
  <c r="CF67" i="1"/>
  <c r="DD67" i="1"/>
  <c r="CG67" i="1"/>
  <c r="DE67" i="1"/>
  <c r="CI67" i="1"/>
  <c r="DG67" i="1"/>
  <c r="CJ67" i="1"/>
  <c r="DH67" i="1"/>
  <c r="CL67" i="1"/>
  <c r="A68" i="1"/>
  <c r="C68" i="1"/>
  <c r="E68" i="1"/>
  <c r="AK68" i="1"/>
  <c r="AU68" i="1"/>
  <c r="BS68" i="1"/>
  <c r="AV68" i="1"/>
  <c r="BT68" i="1"/>
  <c r="CR68" i="1"/>
  <c r="AW68" i="1"/>
  <c r="BU68" i="1"/>
  <c r="CS68" i="1"/>
  <c r="AX68" i="1"/>
  <c r="BV68" i="1"/>
  <c r="AZ68" i="1"/>
  <c r="BX68" i="1"/>
  <c r="CV68" i="1"/>
  <c r="BA68" i="1"/>
  <c r="BB68" i="1"/>
  <c r="BG68" i="1"/>
  <c r="BP68" i="1"/>
  <c r="CN68" i="1"/>
  <c r="EE68" i="1"/>
  <c r="BQ68" i="1"/>
  <c r="CB68" i="1"/>
  <c r="DX68" i="1"/>
  <c r="CC68" i="1"/>
  <c r="CD68" i="1"/>
  <c r="CF68" i="1"/>
  <c r="DD68" i="1"/>
  <c r="CG68" i="1"/>
  <c r="DE68" i="1"/>
  <c r="CI68" i="1"/>
  <c r="DG68" i="1"/>
  <c r="CJ68" i="1"/>
  <c r="DH68" i="1"/>
  <c r="CL68" i="1"/>
  <c r="DJ68" i="1"/>
  <c r="A69" i="1"/>
  <c r="C69" i="1"/>
  <c r="E69" i="1"/>
  <c r="EB69" i="1"/>
  <c r="AK69" i="1"/>
  <c r="AU69" i="1"/>
  <c r="BS69" i="1"/>
  <c r="DO69" i="1"/>
  <c r="AV69" i="1"/>
  <c r="BT69" i="1"/>
  <c r="CR69" i="1"/>
  <c r="AW69" i="1"/>
  <c r="BU69" i="1"/>
  <c r="AX69" i="1"/>
  <c r="BV69" i="1"/>
  <c r="DR69" i="1"/>
  <c r="AZ69" i="1"/>
  <c r="BX69" i="1"/>
  <c r="BA69" i="1"/>
  <c r="BB69" i="1"/>
  <c r="BG69" i="1"/>
  <c r="BP69" i="1"/>
  <c r="CN69" i="1"/>
  <c r="DL69" i="1"/>
  <c r="BQ69" i="1"/>
  <c r="CB69" i="1"/>
  <c r="CZ69" i="1"/>
  <c r="CC69" i="1"/>
  <c r="CD69" i="1"/>
  <c r="DZ69" i="1"/>
  <c r="CF69" i="1"/>
  <c r="DD69" i="1"/>
  <c r="CG69" i="1"/>
  <c r="DE69" i="1"/>
  <c r="CI69" i="1"/>
  <c r="DG69" i="1"/>
  <c r="CJ69" i="1"/>
  <c r="DH69" i="1"/>
  <c r="CL69" i="1"/>
  <c r="EC69" i="1"/>
  <c r="DX69" i="1"/>
  <c r="EE69" i="1"/>
  <c r="A70" i="1"/>
  <c r="C70" i="1"/>
  <c r="E70" i="1"/>
  <c r="CK70" i="1"/>
  <c r="AK70" i="1"/>
  <c r="AU70" i="1"/>
  <c r="BS70" i="1"/>
  <c r="CQ70" i="1"/>
  <c r="AV70" i="1"/>
  <c r="BT70" i="1"/>
  <c r="AW70" i="1"/>
  <c r="BU70" i="1"/>
  <c r="DQ70" i="1"/>
  <c r="AX70" i="1"/>
  <c r="BV70" i="1"/>
  <c r="DR70" i="1"/>
  <c r="AZ70" i="1"/>
  <c r="BX70" i="1"/>
  <c r="BA70" i="1"/>
  <c r="BB70" i="1"/>
  <c r="BG70" i="1"/>
  <c r="BP70" i="1"/>
  <c r="CN70" i="1"/>
  <c r="DL70" i="1"/>
  <c r="BQ70" i="1"/>
  <c r="CB70" i="1"/>
  <c r="CC70" i="1"/>
  <c r="DY70" i="1"/>
  <c r="CD70" i="1"/>
  <c r="DZ70" i="1"/>
  <c r="CF70" i="1"/>
  <c r="DD70" i="1"/>
  <c r="CG70" i="1"/>
  <c r="DE70" i="1"/>
  <c r="CI70" i="1"/>
  <c r="DG70" i="1"/>
  <c r="CJ70" i="1"/>
  <c r="DH70" i="1"/>
  <c r="CL70" i="1"/>
  <c r="DJ70" i="1"/>
  <c r="A41" i="1"/>
  <c r="C41" i="1"/>
  <c r="E41" i="1"/>
  <c r="AK41" i="1"/>
  <c r="AU41" i="1"/>
  <c r="BS41" i="1"/>
  <c r="AV41" i="1"/>
  <c r="BT41" i="1"/>
  <c r="AW41" i="1"/>
  <c r="BU41" i="1"/>
  <c r="DQ41" i="1"/>
  <c r="AX41" i="1"/>
  <c r="BV41" i="1"/>
  <c r="DR41" i="1"/>
  <c r="AZ41" i="1"/>
  <c r="BX41" i="1"/>
  <c r="BA41" i="1"/>
  <c r="BB41" i="1"/>
  <c r="BG41" i="1"/>
  <c r="BP41" i="1"/>
  <c r="CN41" i="1"/>
  <c r="BQ41" i="1"/>
  <c r="CB41" i="1"/>
  <c r="CZ41" i="1"/>
  <c r="CC41" i="1"/>
  <c r="DY41" i="1"/>
  <c r="CD41" i="1"/>
  <c r="DB41" i="1"/>
  <c r="CF41" i="1"/>
  <c r="DD41" i="1"/>
  <c r="CG41" i="1"/>
  <c r="DE41" i="1"/>
  <c r="CI41" i="1"/>
  <c r="DG41" i="1"/>
  <c r="CJ41" i="1"/>
  <c r="DH41" i="1"/>
  <c r="CL41" i="1"/>
  <c r="AI38" i="1"/>
  <c r="AJ38" i="1"/>
  <c r="AI32" i="1"/>
  <c r="AJ32" i="1"/>
  <c r="A32" i="1"/>
  <c r="C32" i="1"/>
  <c r="D32" i="1"/>
  <c r="E32" i="1"/>
  <c r="AU32" i="1"/>
  <c r="BS32" i="1"/>
  <c r="CQ32" i="1"/>
  <c r="AV32" i="1"/>
  <c r="BT32" i="1"/>
  <c r="AW32" i="1"/>
  <c r="BU32" i="1"/>
  <c r="AX32" i="1"/>
  <c r="BV32" i="1"/>
  <c r="DR32" i="1"/>
  <c r="AZ32" i="1"/>
  <c r="BX32" i="1"/>
  <c r="BA32" i="1"/>
  <c r="BB32" i="1"/>
  <c r="BG32" i="1"/>
  <c r="BP32" i="1"/>
  <c r="CN32" i="1"/>
  <c r="BQ32" i="1"/>
  <c r="CB32" i="1"/>
  <c r="CC32" i="1"/>
  <c r="DY32" i="1"/>
  <c r="CD32" i="1"/>
  <c r="DB32" i="1"/>
  <c r="CF32" i="1"/>
  <c r="DD32" i="1"/>
  <c r="CG32" i="1"/>
  <c r="DE32" i="1"/>
  <c r="CI32" i="1"/>
  <c r="DG32" i="1"/>
  <c r="CJ32" i="1"/>
  <c r="DH32" i="1"/>
  <c r="CL32" i="1"/>
  <c r="A33" i="1"/>
  <c r="C33" i="1"/>
  <c r="D33" i="1"/>
  <c r="E33" i="1"/>
  <c r="AF33" i="1"/>
  <c r="AK33" i="1"/>
  <c r="AU33" i="1"/>
  <c r="BS33" i="1"/>
  <c r="DO33" i="1"/>
  <c r="AV33" i="1"/>
  <c r="BT33" i="1"/>
  <c r="DP33" i="1"/>
  <c r="AW33" i="1"/>
  <c r="BU33" i="1"/>
  <c r="AX33" i="1"/>
  <c r="BV33" i="1"/>
  <c r="AZ33" i="1"/>
  <c r="BX33" i="1"/>
  <c r="BA33" i="1"/>
  <c r="BB33" i="1"/>
  <c r="BG33" i="1"/>
  <c r="BP33" i="1"/>
  <c r="CN33" i="1"/>
  <c r="EE33" i="1"/>
  <c r="BQ33" i="1"/>
  <c r="CB33" i="1"/>
  <c r="CC33" i="1"/>
  <c r="DY33" i="1"/>
  <c r="CD33" i="1"/>
  <c r="CF33" i="1"/>
  <c r="DD33" i="1"/>
  <c r="CG33" i="1"/>
  <c r="DE33" i="1"/>
  <c r="CI33" i="1"/>
  <c r="DG33" i="1"/>
  <c r="CJ33" i="1"/>
  <c r="DH33" i="1"/>
  <c r="CL33" i="1"/>
  <c r="A34" i="1"/>
  <c r="C34" i="1"/>
  <c r="D34" i="1"/>
  <c r="E34" i="1"/>
  <c r="AK34" i="1"/>
  <c r="AU34" i="1"/>
  <c r="BS34" i="1"/>
  <c r="AV34" i="1"/>
  <c r="BT34" i="1"/>
  <c r="AW34" i="1"/>
  <c r="AX34" i="1"/>
  <c r="BV34" i="1"/>
  <c r="AZ34" i="1"/>
  <c r="BA34" i="1"/>
  <c r="BB34" i="1"/>
  <c r="BG34" i="1"/>
  <c r="BP34" i="1"/>
  <c r="CN34" i="1"/>
  <c r="BQ34" i="1"/>
  <c r="BU34" i="1"/>
  <c r="DQ34" i="1"/>
  <c r="BX34" i="1"/>
  <c r="CB34" i="1"/>
  <c r="CZ34" i="1"/>
  <c r="CC34" i="1"/>
  <c r="CD34" i="1"/>
  <c r="DB34" i="1"/>
  <c r="CF34" i="1"/>
  <c r="DD34" i="1"/>
  <c r="CG34" i="1"/>
  <c r="DE34" i="1"/>
  <c r="CI34" i="1"/>
  <c r="DG34" i="1"/>
  <c r="CJ34" i="1"/>
  <c r="DH34" i="1"/>
  <c r="CL34" i="1"/>
  <c r="A35" i="1"/>
  <c r="C35" i="1"/>
  <c r="D35" i="1"/>
  <c r="E35" i="1"/>
  <c r="AK35" i="1"/>
  <c r="AU35" i="1"/>
  <c r="BS35" i="1"/>
  <c r="AV35" i="1"/>
  <c r="BT35" i="1"/>
  <c r="CR35" i="1"/>
  <c r="AW35" i="1"/>
  <c r="BU35" i="1"/>
  <c r="AX35" i="1"/>
  <c r="BV35" i="1"/>
  <c r="DR35" i="1"/>
  <c r="AZ35" i="1"/>
  <c r="BX35" i="1"/>
  <c r="BA35" i="1"/>
  <c r="BB35" i="1"/>
  <c r="BG35" i="1"/>
  <c r="BP35" i="1"/>
  <c r="CN35" i="1"/>
  <c r="DL35" i="1"/>
  <c r="BQ35" i="1"/>
  <c r="CB35" i="1"/>
  <c r="CZ35" i="1"/>
  <c r="CC35" i="1"/>
  <c r="CD35" i="1"/>
  <c r="CF35" i="1"/>
  <c r="DD35" i="1"/>
  <c r="CG35" i="1"/>
  <c r="DE35" i="1"/>
  <c r="CI35" i="1"/>
  <c r="DG35" i="1"/>
  <c r="CJ35" i="1"/>
  <c r="DH35" i="1"/>
  <c r="CL35" i="1"/>
  <c r="EC35" i="1"/>
  <c r="A36" i="1"/>
  <c r="C36" i="1"/>
  <c r="E36" i="1"/>
  <c r="AE36" i="1"/>
  <c r="AK36" i="1"/>
  <c r="AU36" i="1"/>
  <c r="BS36" i="1"/>
  <c r="AV36" i="1"/>
  <c r="BT36" i="1"/>
  <c r="AW36" i="1"/>
  <c r="BU36" i="1"/>
  <c r="AX36" i="1"/>
  <c r="BV36" i="1"/>
  <c r="CT36" i="1"/>
  <c r="AZ36" i="1"/>
  <c r="BX36" i="1"/>
  <c r="DT36" i="1"/>
  <c r="BA36" i="1"/>
  <c r="BB36" i="1"/>
  <c r="BG36" i="1"/>
  <c r="BP36" i="1"/>
  <c r="CN36" i="1"/>
  <c r="EE36" i="1"/>
  <c r="BQ36" i="1"/>
  <c r="CB36" i="1"/>
  <c r="DX36" i="1"/>
  <c r="CC36" i="1"/>
  <c r="DA36" i="1"/>
  <c r="CD36" i="1"/>
  <c r="CF36" i="1"/>
  <c r="DD36" i="1"/>
  <c r="CG36" i="1"/>
  <c r="DE36" i="1"/>
  <c r="CI36" i="1"/>
  <c r="DG36" i="1"/>
  <c r="CJ36" i="1"/>
  <c r="DH36" i="1"/>
  <c r="CL36" i="1"/>
  <c r="DJ36" i="1"/>
  <c r="A37" i="1"/>
  <c r="C37" i="1"/>
  <c r="E37" i="1"/>
  <c r="CK37" i="1"/>
  <c r="AK37" i="1"/>
  <c r="AU37" i="1"/>
  <c r="BS37" i="1"/>
  <c r="AV37" i="1"/>
  <c r="BT37" i="1"/>
  <c r="CR37" i="1"/>
  <c r="AW37" i="1"/>
  <c r="BU37" i="1"/>
  <c r="AX37" i="1"/>
  <c r="AZ37" i="1"/>
  <c r="BX37" i="1"/>
  <c r="CV37" i="1"/>
  <c r="BA37" i="1"/>
  <c r="BB37" i="1"/>
  <c r="BG37" i="1"/>
  <c r="BP37" i="1"/>
  <c r="CN37" i="1"/>
  <c r="DL37" i="1"/>
  <c r="BQ37" i="1"/>
  <c r="BV37" i="1"/>
  <c r="CB37" i="1"/>
  <c r="CC37" i="1"/>
  <c r="CD37" i="1"/>
  <c r="CF37" i="1"/>
  <c r="DD37" i="1"/>
  <c r="CG37" i="1"/>
  <c r="DE37" i="1"/>
  <c r="CI37" i="1"/>
  <c r="DG37" i="1"/>
  <c r="CJ37" i="1"/>
  <c r="DH37" i="1"/>
  <c r="CL37" i="1"/>
  <c r="EC37" i="1"/>
  <c r="A38" i="1"/>
  <c r="C38" i="1"/>
  <c r="E38" i="1"/>
  <c r="CY38" i="1"/>
  <c r="AU38" i="1"/>
  <c r="BS38" i="1"/>
  <c r="AV38" i="1"/>
  <c r="BT38" i="1"/>
  <c r="CR38" i="1"/>
  <c r="AW38" i="1"/>
  <c r="BU38" i="1"/>
  <c r="CS38" i="1"/>
  <c r="AX38" i="1"/>
  <c r="BV38" i="1"/>
  <c r="AZ38" i="1"/>
  <c r="BX38" i="1"/>
  <c r="BA38" i="1"/>
  <c r="BB38" i="1"/>
  <c r="BG38" i="1"/>
  <c r="BP38" i="1"/>
  <c r="CN38" i="1"/>
  <c r="EE38" i="1"/>
  <c r="BQ38" i="1"/>
  <c r="CB38" i="1"/>
  <c r="DX38" i="1"/>
  <c r="CC38" i="1"/>
  <c r="DY38" i="1"/>
  <c r="CD38" i="1"/>
  <c r="CF38" i="1"/>
  <c r="DD38" i="1"/>
  <c r="CG38" i="1"/>
  <c r="DE38" i="1"/>
  <c r="CI38" i="1"/>
  <c r="DG38" i="1"/>
  <c r="CJ38" i="1"/>
  <c r="DH38" i="1"/>
  <c r="CL38" i="1"/>
  <c r="A39" i="1"/>
  <c r="C39" i="1"/>
  <c r="E39" i="1"/>
  <c r="CY39" i="1"/>
  <c r="AK39" i="1"/>
  <c r="AU39" i="1"/>
  <c r="BS39" i="1"/>
  <c r="DO39" i="1"/>
  <c r="AV39" i="1"/>
  <c r="BT39" i="1"/>
  <c r="CR39" i="1"/>
  <c r="AW39" i="1"/>
  <c r="BU39" i="1"/>
  <c r="AX39" i="1"/>
  <c r="BV39" i="1"/>
  <c r="CT39" i="1"/>
  <c r="AZ39" i="1"/>
  <c r="BX39" i="1"/>
  <c r="BA39" i="1"/>
  <c r="BB39" i="1"/>
  <c r="BG39" i="1"/>
  <c r="BP39" i="1"/>
  <c r="CN39" i="1"/>
  <c r="BQ39" i="1"/>
  <c r="CB39" i="1"/>
  <c r="CZ39" i="1"/>
  <c r="CC39" i="1"/>
  <c r="DY39" i="1"/>
  <c r="CD39" i="1"/>
  <c r="CF39" i="1"/>
  <c r="DD39" i="1"/>
  <c r="CG39" i="1"/>
  <c r="DE39" i="1"/>
  <c r="CI39" i="1"/>
  <c r="DG39" i="1"/>
  <c r="CJ39" i="1"/>
  <c r="DH39" i="1"/>
  <c r="CL39" i="1"/>
  <c r="A40" i="1"/>
  <c r="C40" i="1"/>
  <c r="E40" i="1"/>
  <c r="BC40" i="1"/>
  <c r="AK40" i="1"/>
  <c r="AU40" i="1"/>
  <c r="BS40" i="1"/>
  <c r="AV40" i="1"/>
  <c r="BT40" i="1"/>
  <c r="AW40" i="1"/>
  <c r="BU40" i="1"/>
  <c r="AX40" i="1"/>
  <c r="BV40" i="1"/>
  <c r="DR40" i="1"/>
  <c r="AZ40" i="1"/>
  <c r="BX40" i="1"/>
  <c r="DT40" i="1"/>
  <c r="BA40" i="1"/>
  <c r="BB40" i="1"/>
  <c r="BG40" i="1"/>
  <c r="BP40" i="1"/>
  <c r="CN40" i="1"/>
  <c r="BQ40" i="1"/>
  <c r="CB40" i="1"/>
  <c r="DX40" i="1"/>
  <c r="CC40" i="1"/>
  <c r="CD40" i="1"/>
  <c r="CF40" i="1"/>
  <c r="DD40" i="1"/>
  <c r="CG40" i="1"/>
  <c r="DE40" i="1"/>
  <c r="CI40" i="1"/>
  <c r="DG40" i="1"/>
  <c r="CJ40" i="1"/>
  <c r="DH40" i="1"/>
  <c r="CL40" i="1"/>
  <c r="DJ40" i="1"/>
  <c r="BQ31" i="1"/>
  <c r="BP31" i="1"/>
  <c r="CN31" i="1"/>
  <c r="DL31" i="1"/>
  <c r="BG31" i="1"/>
  <c r="BB31" i="1"/>
  <c r="BA31" i="1"/>
  <c r="AZ31" i="1"/>
  <c r="BX31" i="1"/>
  <c r="DT31" i="1"/>
  <c r="AX31" i="1"/>
  <c r="BV31" i="1"/>
  <c r="CT31" i="1"/>
  <c r="AW31" i="1"/>
  <c r="BU31" i="1"/>
  <c r="DQ31" i="1"/>
  <c r="AV31" i="1"/>
  <c r="BT31" i="1"/>
  <c r="AU31" i="1"/>
  <c r="BS31" i="1"/>
  <c r="AK31" i="1"/>
  <c r="D31" i="1"/>
  <c r="E31" i="1"/>
  <c r="BC31" i="1"/>
  <c r="C31" i="1"/>
  <c r="A31" i="1"/>
  <c r="CB31" i="1"/>
  <c r="CZ31" i="1"/>
  <c r="CC31" i="1"/>
  <c r="DY31" i="1"/>
  <c r="CD31" i="1"/>
  <c r="DB31" i="1"/>
  <c r="CF31" i="1"/>
  <c r="DD31" i="1"/>
  <c r="CG31" i="1"/>
  <c r="DE31" i="1"/>
  <c r="CI31" i="1"/>
  <c r="DG31" i="1"/>
  <c r="CJ31" i="1"/>
  <c r="DH31" i="1"/>
  <c r="CL31" i="1"/>
  <c r="EC31" i="1"/>
  <c r="FV131" i="1"/>
  <c r="HH131" i="1"/>
  <c r="HG131" i="1"/>
  <c r="CK36" i="1"/>
  <c r="AT126" i="1"/>
  <c r="AS126" i="1"/>
  <c r="BJ126" i="1"/>
  <c r="CH126" i="1"/>
  <c r="DF126" i="1"/>
  <c r="ED130" i="1"/>
  <c r="DK130" i="1"/>
  <c r="DY62" i="1"/>
  <c r="AD53" i="1"/>
  <c r="DS122" i="1"/>
  <c r="CU122" i="1"/>
  <c r="AT128" i="1"/>
  <c r="AS128" i="1"/>
  <c r="BJ128" i="1"/>
  <c r="CH128" i="1"/>
  <c r="DF128" i="1"/>
  <c r="DS126" i="1"/>
  <c r="CU126" i="1"/>
  <c r="EM127" i="1"/>
  <c r="EL127" i="1"/>
  <c r="ED126" i="1"/>
  <c r="DK126" i="1"/>
  <c r="ED125" i="1"/>
  <c r="DK125" i="1"/>
  <c r="ED119" i="1"/>
  <c r="DK119" i="1"/>
  <c r="AT120" i="1"/>
  <c r="AS120" i="1"/>
  <c r="BJ120" i="1"/>
  <c r="CH120" i="1"/>
  <c r="DF120" i="1"/>
  <c r="EL122" i="1"/>
  <c r="EM122" i="1"/>
  <c r="CZ58" i="1"/>
  <c r="EL120" i="1"/>
  <c r="EM120" i="1"/>
  <c r="DK121" i="1"/>
  <c r="ED121" i="1"/>
  <c r="CU124" i="1"/>
  <c r="DS124" i="1"/>
  <c r="DS130" i="1"/>
  <c r="CU130" i="1"/>
  <c r="DI53" i="1"/>
  <c r="DZ87" i="1"/>
  <c r="CU125" i="1"/>
  <c r="DS125" i="1"/>
  <c r="DS120" i="1"/>
  <c r="CU120" i="1"/>
  <c r="CU119" i="1"/>
  <c r="DS119" i="1"/>
  <c r="DA87" i="1"/>
  <c r="FH87" i="1"/>
  <c r="DS128" i="1"/>
  <c r="CU128" i="1"/>
  <c r="DS129" i="1"/>
  <c r="CU129" i="1"/>
  <c r="AT121" i="1"/>
  <c r="AS121" i="1"/>
  <c r="BJ121" i="1"/>
  <c r="CH121" i="1"/>
  <c r="DF121" i="1"/>
  <c r="CA36" i="1"/>
  <c r="CK53" i="1"/>
  <c r="DK124" i="1"/>
  <c r="ED124" i="1"/>
  <c r="AT130" i="1"/>
  <c r="AS130" i="1"/>
  <c r="BJ130" i="1"/>
  <c r="CH130" i="1"/>
  <c r="DF130" i="1"/>
  <c r="DS121" i="1"/>
  <c r="CU121" i="1"/>
  <c r="EI127" i="1"/>
  <c r="EJ127" i="1"/>
  <c r="EK127" i="1"/>
  <c r="ED128" i="1"/>
  <c r="DK128" i="1"/>
  <c r="DW100" i="1"/>
  <c r="AT124" i="1"/>
  <c r="AS124" i="1"/>
  <c r="BJ124" i="1"/>
  <c r="CH124" i="1"/>
  <c r="DF124" i="1"/>
  <c r="AT119" i="1"/>
  <c r="AS119" i="1"/>
  <c r="BJ119" i="1"/>
  <c r="CH119" i="1"/>
  <c r="DF119" i="1"/>
  <c r="CA53" i="1"/>
  <c r="ED123" i="1"/>
  <c r="DK123" i="1"/>
  <c r="AT129" i="1"/>
  <c r="AS129" i="1"/>
  <c r="BJ129" i="1"/>
  <c r="CH129" i="1"/>
  <c r="DF129" i="1"/>
  <c r="CU123" i="1"/>
  <c r="DS123" i="1"/>
  <c r="AT125" i="1"/>
  <c r="AS125" i="1"/>
  <c r="BJ125" i="1"/>
  <c r="CH125" i="1"/>
  <c r="DF125" i="1"/>
  <c r="DK129" i="1"/>
  <c r="ED129" i="1"/>
  <c r="CY115" i="1"/>
  <c r="EC57" i="1"/>
  <c r="DI112" i="1"/>
  <c r="DL92" i="1"/>
  <c r="DA38" i="1"/>
  <c r="FH38" i="1"/>
  <c r="DW41" i="1"/>
  <c r="DB66" i="1"/>
  <c r="CZ91" i="1"/>
  <c r="DL101" i="1"/>
  <c r="EE99" i="1"/>
  <c r="DX99" i="1"/>
  <c r="DY94" i="1"/>
  <c r="CK92" i="1"/>
  <c r="CS66" i="1"/>
  <c r="CZ74" i="1"/>
  <c r="CZ38" i="1"/>
  <c r="CZ61" i="1"/>
  <c r="CZ48" i="1"/>
  <c r="DA107" i="1"/>
  <c r="CT66" i="1"/>
  <c r="CZ54" i="1"/>
  <c r="AF46" i="1"/>
  <c r="CZ88" i="1"/>
  <c r="CZ105" i="1"/>
  <c r="DJ56" i="1"/>
  <c r="CK107" i="1"/>
  <c r="DB111" i="1"/>
  <c r="CV53" i="1"/>
  <c r="DY115" i="1"/>
  <c r="CZ113" i="1"/>
  <c r="BC107" i="1"/>
  <c r="EC40" i="1"/>
  <c r="DO57" i="1"/>
  <c r="DY110" i="1"/>
  <c r="CV62" i="1"/>
  <c r="FH59" i="1"/>
  <c r="DW54" i="1"/>
  <c r="EC47" i="1"/>
  <c r="EB105" i="1"/>
  <c r="DZ105" i="1"/>
  <c r="DZ67" i="1"/>
  <c r="DA118" i="1"/>
  <c r="GS118" i="1"/>
  <c r="DJ37" i="1"/>
  <c r="CY46" i="1"/>
  <c r="DA73" i="1"/>
  <c r="FH73" i="1"/>
  <c r="DW91" i="1"/>
  <c r="DA90" i="1"/>
  <c r="FH90" i="1"/>
  <c r="DP68" i="1"/>
  <c r="DA65" i="1"/>
  <c r="EC59" i="1"/>
  <c r="DZ118" i="1"/>
  <c r="DA48" i="1"/>
  <c r="FH48" i="1"/>
  <c r="DY74" i="1"/>
  <c r="DX63" i="1"/>
  <c r="DW61" i="1"/>
  <c r="AE59" i="1"/>
  <c r="DI74" i="1"/>
  <c r="EB103" i="1"/>
  <c r="DB70" i="1"/>
  <c r="DX62" i="1"/>
  <c r="DP59" i="1"/>
  <c r="DJ117" i="1"/>
  <c r="CT70" i="1"/>
  <c r="CY53" i="1"/>
  <c r="BC53" i="1"/>
  <c r="EC51" i="1"/>
  <c r="DZ50" i="1"/>
  <c r="CY74" i="1"/>
  <c r="BC74" i="1"/>
  <c r="DZ73" i="1"/>
  <c r="DB86" i="1"/>
  <c r="DY83" i="1"/>
  <c r="DA82" i="1"/>
  <c r="GS82" i="1"/>
  <c r="EB107" i="1"/>
  <c r="DY97" i="1"/>
  <c r="DA117" i="1"/>
  <c r="FH117" i="1"/>
  <c r="EC79" i="1"/>
  <c r="CK73" i="1"/>
  <c r="DI91" i="1"/>
  <c r="EC83" i="1"/>
  <c r="DL97" i="1"/>
  <c r="DW115" i="1"/>
  <c r="EC58" i="1"/>
  <c r="DJ77" i="1"/>
  <c r="DP103" i="1"/>
  <c r="DI115" i="1"/>
  <c r="CK115" i="1"/>
  <c r="CA115" i="1"/>
  <c r="DB114" i="1"/>
  <c r="DX59" i="1"/>
  <c r="CR47" i="1"/>
  <c r="CR79" i="1"/>
  <c r="CA91" i="1"/>
  <c r="AF91" i="1"/>
  <c r="DB90" i="1"/>
  <c r="EC86" i="1"/>
  <c r="DB83" i="1"/>
  <c r="CY102" i="1"/>
  <c r="BC102" i="1"/>
  <c r="DP98" i="1"/>
  <c r="DA93" i="1"/>
  <c r="FH93" i="1"/>
  <c r="EB115" i="1"/>
  <c r="EE48" i="1"/>
  <c r="DL48" i="1"/>
  <c r="CS47" i="1"/>
  <c r="EN47" i="1"/>
  <c r="DQ47" i="1"/>
  <c r="CZ93" i="1"/>
  <c r="DX93" i="1"/>
  <c r="DY112" i="1"/>
  <c r="DA112" i="1"/>
  <c r="CT112" i="1"/>
  <c r="DR112" i="1"/>
  <c r="DP67" i="1"/>
  <c r="CR67" i="1"/>
  <c r="DA60" i="1"/>
  <c r="FH60" i="1"/>
  <c r="DY60" i="1"/>
  <c r="DB78" i="1"/>
  <c r="DZ78" i="1"/>
  <c r="DY89" i="1"/>
  <c r="DA89" i="1"/>
  <c r="GS89" i="1"/>
  <c r="DZ82" i="1"/>
  <c r="DB82" i="1"/>
  <c r="DJ108" i="1"/>
  <c r="DZ40" i="1"/>
  <c r="DB40" i="1"/>
  <c r="EC65" i="1"/>
  <c r="DZ60" i="1"/>
  <c r="DQ75" i="1"/>
  <c r="EE74" i="1"/>
  <c r="DL74" i="1"/>
  <c r="DZ72" i="1"/>
  <c r="DB72" i="1"/>
  <c r="CT90" i="1"/>
  <c r="DR90" i="1"/>
  <c r="DW109" i="1"/>
  <c r="AD109" i="1"/>
  <c r="DZ94" i="1"/>
  <c r="DB94" i="1"/>
  <c r="CQ94" i="1"/>
  <c r="DO94" i="1"/>
  <c r="DW47" i="1"/>
  <c r="CY47" i="1"/>
  <c r="CZ75" i="1"/>
  <c r="DX75" i="1"/>
  <c r="CR85" i="1"/>
  <c r="DP85" i="1"/>
  <c r="EC41" i="1"/>
  <c r="DJ41" i="1"/>
  <c r="DB53" i="1"/>
  <c r="DZ53" i="1"/>
  <c r="DJ44" i="1"/>
  <c r="EC44" i="1"/>
  <c r="DB81" i="1"/>
  <c r="DZ81" i="1"/>
  <c r="DX84" i="1"/>
  <c r="CZ84" i="1"/>
  <c r="CQ100" i="1"/>
  <c r="DO100" i="1"/>
  <c r="DP99" i="1"/>
  <c r="CR99" i="1"/>
  <c r="AD96" i="1"/>
  <c r="CY96" i="1"/>
  <c r="DA39" i="1"/>
  <c r="GS39" i="1"/>
  <c r="DA67" i="1"/>
  <c r="GS67" i="1"/>
  <c r="DY67" i="1"/>
  <c r="CZ65" i="1"/>
  <c r="DX65" i="1"/>
  <c r="AD43" i="1"/>
  <c r="EB43" i="1"/>
  <c r="DA106" i="1"/>
  <c r="DY106" i="1"/>
  <c r="DA52" i="1"/>
  <c r="GS52" i="1"/>
  <c r="DY45" i="1"/>
  <c r="DJ80" i="1"/>
  <c r="DY64" i="1"/>
  <c r="DY55" i="1"/>
  <c r="CT44" i="1"/>
  <c r="DJ43" i="1"/>
  <c r="EC42" i="1"/>
  <c r="EC74" i="1"/>
  <c r="DL86" i="1"/>
  <c r="EN86" i="1"/>
  <c r="DX85" i="1"/>
  <c r="CZ109" i="1"/>
  <c r="EC98" i="1"/>
  <c r="AD73" i="1"/>
  <c r="EC72" i="1"/>
  <c r="DB71" i="1"/>
  <c r="DZ91" i="1"/>
  <c r="CA117" i="1"/>
  <c r="CY58" i="1"/>
  <c r="BC58" i="1"/>
  <c r="CR71" i="1"/>
  <c r="DP71" i="1"/>
  <c r="CQ104" i="1"/>
  <c r="DO104" i="1"/>
  <c r="DR97" i="1"/>
  <c r="CT97" i="1"/>
  <c r="DL116" i="1"/>
  <c r="EE116" i="1"/>
  <c r="AE118" i="1"/>
  <c r="AD118" i="1"/>
  <c r="EB118" i="1"/>
  <c r="AF118" i="1"/>
  <c r="DI118" i="1"/>
  <c r="AD59" i="1"/>
  <c r="DW59" i="1"/>
  <c r="DW58" i="1"/>
  <c r="DO55" i="1"/>
  <c r="CQ55" i="1"/>
  <c r="DR50" i="1"/>
  <c r="CT50" i="1"/>
  <c r="AE77" i="1"/>
  <c r="AD77" i="1"/>
  <c r="DQ73" i="1"/>
  <c r="CS73" i="1"/>
  <c r="CT108" i="1"/>
  <c r="CV107" i="1"/>
  <c r="DT107" i="1"/>
  <c r="DO107" i="1"/>
  <c r="CQ107" i="1"/>
  <c r="CT98" i="1"/>
  <c r="DR98" i="1"/>
  <c r="DW118" i="1"/>
  <c r="CY68" i="1"/>
  <c r="DW68" i="1"/>
  <c r="CT60" i="1"/>
  <c r="DR60" i="1"/>
  <c r="CY59" i="1"/>
  <c r="CK59" i="1"/>
  <c r="CA59" i="1"/>
  <c r="CR58" i="1"/>
  <c r="DI57" i="1"/>
  <c r="AF57" i="1"/>
  <c r="CY49" i="1"/>
  <c r="AD49" i="1"/>
  <c r="CK49" i="1"/>
  <c r="DP73" i="1"/>
  <c r="CR73" i="1"/>
  <c r="DT89" i="1"/>
  <c r="EE83" i="1"/>
  <c r="DL83" i="1"/>
  <c r="CA110" i="1"/>
  <c r="CK118" i="1"/>
  <c r="BC118" i="1"/>
  <c r="DQ68" i="1"/>
  <c r="AF60" i="1"/>
  <c r="AE60" i="1"/>
  <c r="CV59" i="1"/>
  <c r="AD58" i="1"/>
  <c r="AF45" i="1"/>
  <c r="BC45" i="1"/>
  <c r="DR79" i="1"/>
  <c r="DQ78" i="1"/>
  <c r="CS78" i="1"/>
  <c r="EN78" i="1"/>
  <c r="EB77" i="1"/>
  <c r="CA77" i="1"/>
  <c r="DI73" i="1"/>
  <c r="CR86" i="1"/>
  <c r="AF85" i="1"/>
  <c r="DI85" i="1"/>
  <c r="CK85" i="1"/>
  <c r="AD102" i="1"/>
  <c r="AE102" i="1"/>
  <c r="CA102" i="1"/>
  <c r="AF102" i="1"/>
  <c r="DW102" i="1"/>
  <c r="DR101" i="1"/>
  <c r="DQ118" i="1"/>
  <c r="CS118" i="1"/>
  <c r="CK95" i="1"/>
  <c r="DW112" i="1"/>
  <c r="EC82" i="1"/>
  <c r="DJ82" i="1"/>
  <c r="DJ67" i="1"/>
  <c r="EC67" i="1"/>
  <c r="EC61" i="1"/>
  <c r="DA58" i="1"/>
  <c r="GS58" i="1"/>
  <c r="DY58" i="1"/>
  <c r="CZ51" i="1"/>
  <c r="DX51" i="1"/>
  <c r="EC49" i="1"/>
  <c r="DJ49" i="1"/>
  <c r="CZ49" i="1"/>
  <c r="DX49" i="1"/>
  <c r="DA80" i="1"/>
  <c r="FH80" i="1"/>
  <c r="DY80" i="1"/>
  <c r="CZ86" i="1"/>
  <c r="DX86" i="1"/>
  <c r="EB104" i="1"/>
  <c r="AD104" i="1"/>
  <c r="DI104" i="1"/>
  <c r="DX34" i="1"/>
  <c r="CZ68" i="1"/>
  <c r="DB64" i="1"/>
  <c r="DZ64" i="1"/>
  <c r="DO61" i="1"/>
  <c r="CQ61" i="1"/>
  <c r="DX55" i="1"/>
  <c r="CZ55" i="1"/>
  <c r="EB48" i="1"/>
  <c r="CA48" i="1"/>
  <c r="DZ45" i="1"/>
  <c r="DB45" i="1"/>
  <c r="DB79" i="1"/>
  <c r="DZ79" i="1"/>
  <c r="DT73" i="1"/>
  <c r="CV73" i="1"/>
  <c r="EE91" i="1"/>
  <c r="DL91" i="1"/>
  <c r="CZ87" i="1"/>
  <c r="DX87" i="1"/>
  <c r="DB109" i="1"/>
  <c r="DZ109" i="1"/>
  <c r="BC101" i="1"/>
  <c r="AF101" i="1"/>
  <c r="CA101" i="1"/>
  <c r="CK101" i="1"/>
  <c r="DW101" i="1"/>
  <c r="AE101" i="1"/>
  <c r="DA95" i="1"/>
  <c r="GS95" i="1"/>
  <c r="DY95" i="1"/>
  <c r="EC93" i="1"/>
  <c r="DJ93" i="1"/>
  <c r="CV92" i="1"/>
  <c r="DT92" i="1"/>
  <c r="DO92" i="1"/>
  <c r="CQ92" i="1"/>
  <c r="DJ55" i="1"/>
  <c r="EC55" i="1"/>
  <c r="DO54" i="1"/>
  <c r="CQ54" i="1"/>
  <c r="DL49" i="1"/>
  <c r="EE49" i="1"/>
  <c r="CV49" i="1"/>
  <c r="DT49" i="1"/>
  <c r="DA47" i="1"/>
  <c r="DY47" i="1"/>
  <c r="GS77" i="1"/>
  <c r="FH77" i="1"/>
  <c r="DP35" i="1"/>
  <c r="DB57" i="1"/>
  <c r="DZ57" i="1"/>
  <c r="DA53" i="1"/>
  <c r="DY53" i="1"/>
  <c r="AF51" i="1"/>
  <c r="CA51" i="1"/>
  <c r="CS50" i="1"/>
  <c r="DA44" i="1"/>
  <c r="GS44" i="1"/>
  <c r="DY44" i="1"/>
  <c r="DY77" i="1"/>
  <c r="DJ39" i="1"/>
  <c r="EC39" i="1"/>
  <c r="EC70" i="1"/>
  <c r="CQ63" i="1"/>
  <c r="GS62" i="1"/>
  <c r="FH62" i="1"/>
  <c r="CT57" i="1"/>
  <c r="DR57" i="1"/>
  <c r="DB52" i="1"/>
  <c r="CZ78" i="1"/>
  <c r="DX78" i="1"/>
  <c r="CQ78" i="1"/>
  <c r="DO78" i="1"/>
  <c r="CV103" i="1"/>
  <c r="DT103" i="1"/>
  <c r="DY98" i="1"/>
  <c r="DA98" i="1"/>
  <c r="GS98" i="1"/>
  <c r="AD46" i="1"/>
  <c r="AE46" i="1"/>
  <c r="CK46" i="1"/>
  <c r="EB46" i="1"/>
  <c r="DT75" i="1"/>
  <c r="CV75" i="1"/>
  <c r="AE74" i="1"/>
  <c r="AD74" i="1"/>
  <c r="CK74" i="1"/>
  <c r="EE90" i="1"/>
  <c r="DL90" i="1"/>
  <c r="DW88" i="1"/>
  <c r="AE88" i="1"/>
  <c r="BC109" i="1"/>
  <c r="EB109" i="1"/>
  <c r="AE109" i="1"/>
  <c r="CK109" i="1"/>
  <c r="CV105" i="1"/>
  <c r="DT105" i="1"/>
  <c r="DB104" i="1"/>
  <c r="DZ104" i="1"/>
  <c r="DA103" i="1"/>
  <c r="DY103" i="1"/>
  <c r="AD99" i="1"/>
  <c r="CK99" i="1"/>
  <c r="DW99" i="1"/>
  <c r="DJ92" i="1"/>
  <c r="EC92" i="1"/>
  <c r="DX92" i="1"/>
  <c r="CZ92" i="1"/>
  <c r="DR117" i="1"/>
  <c r="CT117" i="1"/>
  <c r="DJ35" i="1"/>
  <c r="DA70" i="1"/>
  <c r="FH70" i="1"/>
  <c r="CT52" i="1"/>
  <c r="DI46" i="1"/>
  <c r="BC44" i="1"/>
  <c r="BC43" i="1"/>
  <c r="DY79" i="1"/>
  <c r="DA76" i="1"/>
  <c r="FH76" i="1"/>
  <c r="DJ91" i="1"/>
  <c r="EC91" i="1"/>
  <c r="AD89" i="1"/>
  <c r="BC89" i="1"/>
  <c r="CK89" i="1"/>
  <c r="EB89" i="1"/>
  <c r="DL88" i="1"/>
  <c r="EN88" i="1"/>
  <c r="EE88" i="1"/>
  <c r="DP88" i="1"/>
  <c r="CR88" i="1"/>
  <c r="CR84" i="1"/>
  <c r="DP84" i="1"/>
  <c r="DT83" i="1"/>
  <c r="CV83" i="1"/>
  <c r="CQ83" i="1"/>
  <c r="DO83" i="1"/>
  <c r="DI109" i="1"/>
  <c r="CZ103" i="1"/>
  <c r="DX103" i="1"/>
  <c r="CZ102" i="1"/>
  <c r="DX102" i="1"/>
  <c r="AD100" i="1"/>
  <c r="CK100" i="1"/>
  <c r="DI100" i="1"/>
  <c r="EB99" i="1"/>
  <c r="DJ95" i="1"/>
  <c r="CK94" i="1"/>
  <c r="CA94" i="1"/>
  <c r="CZ116" i="1"/>
  <c r="DX116" i="1"/>
  <c r="GS79" i="1"/>
  <c r="FH79" i="1"/>
  <c r="DJ62" i="1"/>
  <c r="BC60" i="1"/>
  <c r="DL59" i="1"/>
  <c r="CA58" i="1"/>
  <c r="DX56" i="1"/>
  <c r="DX44" i="1"/>
  <c r="DZ42" i="1"/>
  <c r="DB42" i="1"/>
  <c r="CA74" i="1"/>
  <c r="CS91" i="1"/>
  <c r="DQ91" i="1"/>
  <c r="DZ89" i="1"/>
  <c r="DB89" i="1"/>
  <c r="CA109" i="1"/>
  <c r="DZ108" i="1"/>
  <c r="DB108" i="1"/>
  <c r="AF105" i="1"/>
  <c r="AE105" i="1"/>
  <c r="DI105" i="1"/>
  <c r="DA101" i="1"/>
  <c r="FH101" i="1"/>
  <c r="DY101" i="1"/>
  <c r="DZ100" i="1"/>
  <c r="DB98" i="1"/>
  <c r="DZ98" i="1"/>
  <c r="EE98" i="1"/>
  <c r="DL98" i="1"/>
  <c r="DI94" i="1"/>
  <c r="EB94" i="1"/>
  <c r="DT93" i="1"/>
  <c r="DO93" i="1"/>
  <c r="CQ93" i="1"/>
  <c r="CZ115" i="1"/>
  <c r="DX115" i="1"/>
  <c r="CK114" i="1"/>
  <c r="DW114" i="1"/>
  <c r="DZ112" i="1"/>
  <c r="DB112" i="1"/>
  <c r="EE112" i="1"/>
  <c r="DL112" i="1"/>
  <c r="DT112" i="1"/>
  <c r="CV112" i="1"/>
  <c r="DZ117" i="1"/>
  <c r="DQ117" i="1"/>
  <c r="CK117" i="1"/>
  <c r="DJ116" i="1"/>
  <c r="AD82" i="1"/>
  <c r="DJ107" i="1"/>
  <c r="DB95" i="1"/>
  <c r="AE112" i="1"/>
  <c r="CQ64" i="1"/>
  <c r="DO64" i="1"/>
  <c r="AE67" i="1"/>
  <c r="DW67" i="1"/>
  <c r="AF67" i="1"/>
  <c r="AE64" i="1"/>
  <c r="DI64" i="1"/>
  <c r="CT55" i="1"/>
  <c r="DR55" i="1"/>
  <c r="DR49" i="1"/>
  <c r="CT49" i="1"/>
  <c r="AD42" i="1"/>
  <c r="AE42" i="1"/>
  <c r="EB42" i="1"/>
  <c r="DT72" i="1"/>
  <c r="CV72" i="1"/>
  <c r="CQ72" i="1"/>
  <c r="DO72" i="1"/>
  <c r="DT91" i="1"/>
  <c r="CV91" i="1"/>
  <c r="CT41" i="1"/>
  <c r="AF70" i="1"/>
  <c r="BC70" i="1"/>
  <c r="DI70" i="1"/>
  <c r="BC67" i="1"/>
  <c r="CT67" i="1"/>
  <c r="DR67" i="1"/>
  <c r="DR62" i="1"/>
  <c r="CT62" i="1"/>
  <c r="EE60" i="1"/>
  <c r="DL60" i="1"/>
  <c r="EE53" i="1"/>
  <c r="DL53" i="1"/>
  <c r="CQ47" i="1"/>
  <c r="CQ77" i="1"/>
  <c r="DL73" i="1"/>
  <c r="EE73" i="1"/>
  <c r="EB97" i="1"/>
  <c r="CA97" i="1"/>
  <c r="CR118" i="1"/>
  <c r="DP118" i="1"/>
  <c r="EB67" i="1"/>
  <c r="DQ65" i="1"/>
  <c r="BC64" i="1"/>
  <c r="CV55" i="1"/>
  <c r="DT55" i="1"/>
  <c r="AF52" i="1"/>
  <c r="CK52" i="1"/>
  <c r="DW52" i="1"/>
  <c r="BC52" i="1"/>
  <c r="DT46" i="1"/>
  <c r="CV46" i="1"/>
  <c r="DL42" i="1"/>
  <c r="EE42" i="1"/>
  <c r="DR81" i="1"/>
  <c r="CT81" i="1"/>
  <c r="DR80" i="1"/>
  <c r="CT80" i="1"/>
  <c r="CV88" i="1"/>
  <c r="DT88" i="1"/>
  <c r="CS109" i="1"/>
  <c r="DQ109" i="1"/>
  <c r="CT104" i="1"/>
  <c r="DR104" i="1"/>
  <c r="DT98" i="1"/>
  <c r="CV98" i="1"/>
  <c r="DT96" i="1"/>
  <c r="CV96" i="1"/>
  <c r="DO96" i="1"/>
  <c r="CQ96" i="1"/>
  <c r="CV110" i="1"/>
  <c r="DT110" i="1"/>
  <c r="CV69" i="1"/>
  <c r="DT69" i="1"/>
  <c r="DI67" i="1"/>
  <c r="CY67" i="1"/>
  <c r="CK67" i="1"/>
  <c r="CA67" i="1"/>
  <c r="EE67" i="1"/>
  <c r="DL67" i="1"/>
  <c r="EN67" i="1"/>
  <c r="AD67" i="1"/>
  <c r="DL63" i="1"/>
  <c r="EE63" i="1"/>
  <c r="EN57" i="1"/>
  <c r="CR56" i="1"/>
  <c r="DP56" i="1"/>
  <c r="DI52" i="1"/>
  <c r="CS51" i="1"/>
  <c r="EN51" i="1"/>
  <c r="CS48" i="1"/>
  <c r="DQ48" i="1"/>
  <c r="DL46" i="1"/>
  <c r="CR42" i="1"/>
  <c r="AD81" i="1"/>
  <c r="AF81" i="1"/>
  <c r="CK81" i="1"/>
  <c r="CT76" i="1"/>
  <c r="DR76" i="1"/>
  <c r="DQ74" i="1"/>
  <c r="CS74" i="1"/>
  <c r="BC84" i="1"/>
  <c r="DW84" i="1"/>
  <c r="CQ109" i="1"/>
  <c r="EE100" i="1"/>
  <c r="CR96" i="1"/>
  <c r="DP96" i="1"/>
  <c r="CR94" i="1"/>
  <c r="DP94" i="1"/>
  <c r="DP117" i="1"/>
  <c r="CR117" i="1"/>
  <c r="DW116" i="1"/>
  <c r="CQ87" i="1"/>
  <c r="DO87" i="1"/>
  <c r="AD98" i="1"/>
  <c r="AE98" i="1"/>
  <c r="AF98" i="1"/>
  <c r="DW98" i="1"/>
  <c r="CK98" i="1"/>
  <c r="CY98" i="1"/>
  <c r="BC90" i="1"/>
  <c r="CA90" i="1"/>
  <c r="CK90" i="1"/>
  <c r="DW90" i="1"/>
  <c r="DP97" i="1"/>
  <c r="CR97" i="1"/>
  <c r="DL114" i="1"/>
  <c r="EE114" i="1"/>
  <c r="CQ114" i="1"/>
  <c r="DO114" i="1"/>
  <c r="DQ62" i="1"/>
  <c r="DW60" i="1"/>
  <c r="CK60" i="1"/>
  <c r="CA60" i="1"/>
  <c r="CK57" i="1"/>
  <c r="BC57" i="1"/>
  <c r="DQ54" i="1"/>
  <c r="DW53" i="1"/>
  <c r="AF53" i="1"/>
  <c r="DO49" i="1"/>
  <c r="CY48" i="1"/>
  <c r="CR46" i="1"/>
  <c r="CR75" i="1"/>
  <c r="DP75" i="1"/>
  <c r="DO73" i="1"/>
  <c r="CQ73" i="1"/>
  <c r="AE83" i="1"/>
  <c r="CK83" i="1"/>
  <c r="CS108" i="1"/>
  <c r="DQ108" i="1"/>
  <c r="CS105" i="1"/>
  <c r="AF100" i="1"/>
  <c r="EB100" i="1"/>
  <c r="CS98" i="1"/>
  <c r="DQ98" i="1"/>
  <c r="AE92" i="1"/>
  <c r="DW92" i="1"/>
  <c r="EB112" i="1"/>
  <c r="DI58" i="1"/>
  <c r="DW57" i="1"/>
  <c r="EB53" i="1"/>
  <c r="EE51" i="1"/>
  <c r="CY51" i="1"/>
  <c r="CQ46" i="1"/>
  <c r="BC46" i="1"/>
  <c r="DW43" i="1"/>
  <c r="CS81" i="1"/>
  <c r="DW77" i="1"/>
  <c r="CY77" i="1"/>
  <c r="CK77" i="1"/>
  <c r="CQ76" i="1"/>
  <c r="AF74" i="1"/>
  <c r="EB74" i="1"/>
  <c r="CV85" i="1"/>
  <c r="CS84" i="1"/>
  <c r="DQ84" i="1"/>
  <c r="CS83" i="1"/>
  <c r="CT109" i="1"/>
  <c r="DR109" i="1"/>
  <c r="AF109" i="1"/>
  <c r="AD105" i="1"/>
  <c r="CY105" i="1"/>
  <c r="CR92" i="1"/>
  <c r="DL117" i="1"/>
  <c r="EN117" i="1"/>
  <c r="CT116" i="1"/>
  <c r="AE115" i="1"/>
  <c r="AF115" i="1"/>
  <c r="DI113" i="1"/>
  <c r="CK112" i="1"/>
  <c r="CA112" i="1"/>
  <c r="CQ118" i="1"/>
  <c r="DL64" i="1"/>
  <c r="EE64" i="1"/>
  <c r="DT58" i="1"/>
  <c r="CV58" i="1"/>
  <c r="CS64" i="1"/>
  <c r="DQ64" i="1"/>
  <c r="EE61" i="1"/>
  <c r="DL61" i="1"/>
  <c r="DL66" i="1"/>
  <c r="EN66" i="1"/>
  <c r="EE66" i="1"/>
  <c r="DO68" i="1"/>
  <c r="CQ68" i="1"/>
  <c r="DP55" i="1"/>
  <c r="CR55" i="1"/>
  <c r="EE79" i="1"/>
  <c r="DL79" i="1"/>
  <c r="DL56" i="1"/>
  <c r="EE56" i="1"/>
  <c r="CV56" i="1"/>
  <c r="DT56" i="1"/>
  <c r="DL55" i="1"/>
  <c r="CR54" i="1"/>
  <c r="DJ53" i="1"/>
  <c r="EC53" i="1"/>
  <c r="DJ52" i="1"/>
  <c r="DQ52" i="1"/>
  <c r="CS52" i="1"/>
  <c r="DB49" i="1"/>
  <c r="CQ48" i="1"/>
  <c r="EE47" i="1"/>
  <c r="GS46" i="1"/>
  <c r="FH46" i="1"/>
  <c r="DJ45" i="1"/>
  <c r="EC45" i="1"/>
  <c r="DQ45" i="1"/>
  <c r="CS45" i="1"/>
  <c r="CV43" i="1"/>
  <c r="DT43" i="1"/>
  <c r="DO81" i="1"/>
  <c r="AF78" i="1"/>
  <c r="EB78" i="1"/>
  <c r="DW78" i="1"/>
  <c r="DI78" i="1"/>
  <c r="BC78" i="1"/>
  <c r="CV77" i="1"/>
  <c r="CR77" i="1"/>
  <c r="DP77" i="1"/>
  <c r="DX73" i="1"/>
  <c r="CZ73" i="1"/>
  <c r="EC71" i="1"/>
  <c r="DJ71" i="1"/>
  <c r="CR105" i="1"/>
  <c r="DP105" i="1"/>
  <c r="DX110" i="1"/>
  <c r="CZ110" i="1"/>
  <c r="CR110" i="1"/>
  <c r="DP110" i="1"/>
  <c r="CV118" i="1"/>
  <c r="DT118" i="1"/>
  <c r="AD65" i="1"/>
  <c r="BC65" i="1"/>
  <c r="CY65" i="1"/>
  <c r="AE65" i="1"/>
  <c r="CA65" i="1"/>
  <c r="EB65" i="1"/>
  <c r="AF63" i="1"/>
  <c r="DI63" i="1"/>
  <c r="DW63" i="1"/>
  <c r="CY63" i="1"/>
  <c r="CS60" i="1"/>
  <c r="DQ60" i="1"/>
  <c r="DZ59" i="1"/>
  <c r="DB59" i="1"/>
  <c r="DZ32" i="1"/>
  <c r="CV67" i="1"/>
  <c r="DW65" i="1"/>
  <c r="DT60" i="1"/>
  <c r="CV60" i="1"/>
  <c r="DR59" i="1"/>
  <c r="CT59" i="1"/>
  <c r="DL52" i="1"/>
  <c r="EE52" i="1"/>
  <c r="CR49" i="1"/>
  <c r="DP49" i="1"/>
  <c r="CZ46" i="1"/>
  <c r="DX46" i="1"/>
  <c r="DY72" i="1"/>
  <c r="DA72" i="1"/>
  <c r="FH72" i="1"/>
  <c r="DO91" i="1"/>
  <c r="CQ91" i="1"/>
  <c r="EC89" i="1"/>
  <c r="DJ89" i="1"/>
  <c r="CZ89" i="1"/>
  <c r="DX89" i="1"/>
  <c r="AD93" i="1"/>
  <c r="DW93" i="1"/>
  <c r="BC93" i="1"/>
  <c r="CY93" i="1"/>
  <c r="EB93" i="1"/>
  <c r="CK93" i="1"/>
  <c r="EC68" i="1"/>
  <c r="AF68" i="1"/>
  <c r="AD68" i="1"/>
  <c r="CA68" i="1"/>
  <c r="AE68" i="1"/>
  <c r="CK68" i="1"/>
  <c r="CR66" i="1"/>
  <c r="CV65" i="1"/>
  <c r="DJ64" i="1"/>
  <c r="CT63" i="1"/>
  <c r="CK63" i="1"/>
  <c r="CQ62" i="1"/>
  <c r="CR62" i="1"/>
  <c r="DP62" i="1"/>
  <c r="CY61" i="1"/>
  <c r="CT56" i="1"/>
  <c r="AF54" i="1"/>
  <c r="AE54" i="1"/>
  <c r="CK54" i="1"/>
  <c r="CY54" i="1"/>
  <c r="EB54" i="1"/>
  <c r="EC50" i="1"/>
  <c r="DJ50" i="1"/>
  <c r="DL81" i="1"/>
  <c r="EE81" i="1"/>
  <c r="CV80" i="1"/>
  <c r="DT80" i="1"/>
  <c r="AE79" i="1"/>
  <c r="CA79" i="1"/>
  <c r="CK79" i="1"/>
  <c r="AF79" i="1"/>
  <c r="DW79" i="1"/>
  <c r="BC79" i="1"/>
  <c r="EE102" i="1"/>
  <c r="DL102" i="1"/>
  <c r="DY102" i="1"/>
  <c r="DA102" i="1"/>
  <c r="FH102" i="1"/>
  <c r="DT102" i="1"/>
  <c r="CV102" i="1"/>
  <c r="DO98" i="1"/>
  <c r="CQ98" i="1"/>
  <c r="DA40" i="1"/>
  <c r="GS40" i="1"/>
  <c r="DY40" i="1"/>
  <c r="DZ37" i="1"/>
  <c r="DB37" i="1"/>
  <c r="AE41" i="1"/>
  <c r="CK41" i="1"/>
  <c r="EE65" i="1"/>
  <c r="DL65" i="1"/>
  <c r="EN65" i="1"/>
  <c r="CV61" i="1"/>
  <c r="DT61" i="1"/>
  <c r="AD61" i="1"/>
  <c r="CK61" i="1"/>
  <c r="AE61" i="1"/>
  <c r="DI61" i="1"/>
  <c r="EB61" i="1"/>
  <c r="DJ38" i="1"/>
  <c r="EC38" i="1"/>
  <c r="DA33" i="1"/>
  <c r="FH33" i="1"/>
  <c r="CS70" i="1"/>
  <c r="EN70" i="1"/>
  <c r="DI65" i="1"/>
  <c r="BC63" i="1"/>
  <c r="DZ56" i="1"/>
  <c r="DB56" i="1"/>
  <c r="DT47" i="1"/>
  <c r="CV47" i="1"/>
  <c r="DX42" i="1"/>
  <c r="CZ42" i="1"/>
  <c r="DW80" i="1"/>
  <c r="CY80" i="1"/>
  <c r="EB80" i="1"/>
  <c r="EE75" i="1"/>
  <c r="DL75" i="1"/>
  <c r="EN75" i="1"/>
  <c r="DO75" i="1"/>
  <c r="CQ75" i="1"/>
  <c r="CS90" i="1"/>
  <c r="DQ90" i="1"/>
  <c r="CT87" i="1"/>
  <c r="DR87" i="1"/>
  <c r="DJ85" i="1"/>
  <c r="EC85" i="1"/>
  <c r="DY85" i="1"/>
  <c r="DA85" i="1"/>
  <c r="CS85" i="1"/>
  <c r="DQ85" i="1"/>
  <c r="DT68" i="1"/>
  <c r="DA68" i="1"/>
  <c r="FH68" i="1"/>
  <c r="DY68" i="1"/>
  <c r="DP63" i="1"/>
  <c r="CA62" i="1"/>
  <c r="DW62" i="1"/>
  <c r="EB62" i="1"/>
  <c r="DP53" i="1"/>
  <c r="CR53" i="1"/>
  <c r="DO51" i="1"/>
  <c r="CZ47" i="1"/>
  <c r="EC81" i="1"/>
  <c r="DJ81" i="1"/>
  <c r="DO80" i="1"/>
  <c r="CQ80" i="1"/>
  <c r="CS79" i="1"/>
  <c r="DQ79" i="1"/>
  <c r="DX72" i="1"/>
  <c r="CZ72" i="1"/>
  <c r="CY71" i="1"/>
  <c r="EB71" i="1"/>
  <c r="CK71" i="1"/>
  <c r="AD71" i="1"/>
  <c r="DA91" i="1"/>
  <c r="FH91" i="1"/>
  <c r="DY91" i="1"/>
  <c r="DZ41" i="1"/>
  <c r="EE70" i="1"/>
  <c r="DB69" i="1"/>
  <c r="EB68" i="1"/>
  <c r="DP65" i="1"/>
  <c r="AF65" i="1"/>
  <c r="FH64" i="1"/>
  <c r="AF64" i="1"/>
  <c r="CA64" i="1"/>
  <c r="CK64" i="1"/>
  <c r="DW64" i="1"/>
  <c r="EB63" i="1"/>
  <c r="AD63" i="1"/>
  <c r="CY62" i="1"/>
  <c r="CA61" i="1"/>
  <c r="CS61" i="1"/>
  <c r="DQ61" i="1"/>
  <c r="AF61" i="1"/>
  <c r="EC60" i="1"/>
  <c r="CR60" i="1"/>
  <c r="CQ59" i="1"/>
  <c r="CQ58" i="1"/>
  <c r="DB58" i="1"/>
  <c r="DZ58" i="1"/>
  <c r="AE58" i="1"/>
  <c r="CK58" i="1"/>
  <c r="AF58" i="1"/>
  <c r="EB58" i="1"/>
  <c r="EE57" i="1"/>
  <c r="CQ56" i="1"/>
  <c r="CK56" i="1"/>
  <c r="CY56" i="1"/>
  <c r="EB56" i="1"/>
  <c r="CS55" i="1"/>
  <c r="DQ55" i="1"/>
  <c r="CA54" i="1"/>
  <c r="CV54" i="1"/>
  <c r="DT54" i="1"/>
  <c r="DZ51" i="1"/>
  <c r="CK51" i="1"/>
  <c r="BC51" i="1"/>
  <c r="DW51" i="1"/>
  <c r="EB51" i="1"/>
  <c r="DI50" i="1"/>
  <c r="BC50" i="1"/>
  <c r="CK50" i="1"/>
  <c r="DW50" i="1"/>
  <c r="DP48" i="1"/>
  <c r="AD47" i="1"/>
  <c r="CK47" i="1"/>
  <c r="EB47" i="1"/>
  <c r="DY46" i="1"/>
  <c r="DO45" i="1"/>
  <c r="CR43" i="1"/>
  <c r="DP43" i="1"/>
  <c r="DX81" i="1"/>
  <c r="CR80" i="1"/>
  <c r="AD78" i="1"/>
  <c r="CR76" i="1"/>
  <c r="DP76" i="1"/>
  <c r="CZ71" i="1"/>
  <c r="DX71" i="1"/>
  <c r="DR71" i="1"/>
  <c r="CT71" i="1"/>
  <c r="CR91" i="1"/>
  <c r="DP91" i="1"/>
  <c r="CQ88" i="1"/>
  <c r="DL84" i="1"/>
  <c r="EE84" i="1"/>
  <c r="DA84" i="1"/>
  <c r="DY84" i="1"/>
  <c r="CT84" i="1"/>
  <c r="DR84" i="1"/>
  <c r="BC108" i="1"/>
  <c r="AE108" i="1"/>
  <c r="DW108" i="1"/>
  <c r="CA108" i="1"/>
  <c r="CK108" i="1"/>
  <c r="DZ107" i="1"/>
  <c r="DB107" i="1"/>
  <c r="CQ106" i="1"/>
  <c r="DO106" i="1"/>
  <c r="AF104" i="1"/>
  <c r="CY104" i="1"/>
  <c r="CA104" i="1"/>
  <c r="CK104" i="1"/>
  <c r="DW104" i="1"/>
  <c r="BC104" i="1"/>
  <c r="DR103" i="1"/>
  <c r="CT103" i="1"/>
  <c r="CQ99" i="1"/>
  <c r="DO99" i="1"/>
  <c r="CS115" i="1"/>
  <c r="DQ115" i="1"/>
  <c r="DR47" i="1"/>
  <c r="CT47" i="1"/>
  <c r="DI45" i="1"/>
  <c r="CK45" i="1"/>
  <c r="DW45" i="1"/>
  <c r="DR77" i="1"/>
  <c r="CT77" i="1"/>
  <c r="DJ75" i="1"/>
  <c r="EC75" i="1"/>
  <c r="CV74" i="1"/>
  <c r="DT74" i="1"/>
  <c r="DT86" i="1"/>
  <c r="CV86" i="1"/>
  <c r="AE84" i="1"/>
  <c r="CA84" i="1"/>
  <c r="DI84" i="1"/>
  <c r="AF84" i="1"/>
  <c r="CK84" i="1"/>
  <c r="AD84" i="1"/>
  <c r="EB84" i="1"/>
  <c r="CY84" i="1"/>
  <c r="CQ103" i="1"/>
  <c r="DO103" i="1"/>
  <c r="DR99" i="1"/>
  <c r="CT99" i="1"/>
  <c r="AE97" i="1"/>
  <c r="CY97" i="1"/>
  <c r="CK97" i="1"/>
  <c r="DW97" i="1"/>
  <c r="AD97" i="1"/>
  <c r="DQ96" i="1"/>
  <c r="DJ84" i="1"/>
  <c r="EC84" i="1"/>
  <c r="CV106" i="1"/>
  <c r="DT106" i="1"/>
  <c r="DJ105" i="1"/>
  <c r="EC105" i="1"/>
  <c r="EC103" i="1"/>
  <c r="DJ103" i="1"/>
  <c r="CV99" i="1"/>
  <c r="DT99" i="1"/>
  <c r="DJ96" i="1"/>
  <c r="EC96" i="1"/>
  <c r="CR115" i="1"/>
  <c r="DP115" i="1"/>
  <c r="EC112" i="1"/>
  <c r="DJ112" i="1"/>
  <c r="EC111" i="1"/>
  <c r="DJ111" i="1"/>
  <c r="CZ111" i="1"/>
  <c r="DX111" i="1"/>
  <c r="DY61" i="1"/>
  <c r="DY59" i="1"/>
  <c r="DA57" i="1"/>
  <c r="GS57" i="1"/>
  <c r="DY54" i="1"/>
  <c r="DR51" i="1"/>
  <c r="DA51" i="1"/>
  <c r="GS51" i="1"/>
  <c r="DT48" i="1"/>
  <c r="DR45" i="1"/>
  <c r="DB44" i="1"/>
  <c r="DZ44" i="1"/>
  <c r="DY43" i="1"/>
  <c r="DA43" i="1"/>
  <c r="GS43" i="1"/>
  <c r="DA42" i="1"/>
  <c r="DY42" i="1"/>
  <c r="DZ75" i="1"/>
  <c r="DB75" i="1"/>
  <c r="AD75" i="1"/>
  <c r="CA75" i="1"/>
  <c r="EB75" i="1"/>
  <c r="CK75" i="1"/>
  <c r="DJ73" i="1"/>
  <c r="EC73" i="1"/>
  <c r="AE73" i="1"/>
  <c r="BC73" i="1"/>
  <c r="DW73" i="1"/>
  <c r="EB73" i="1"/>
  <c r="AF73" i="1"/>
  <c r="CA73" i="1"/>
  <c r="CY73" i="1"/>
  <c r="DY71" i="1"/>
  <c r="DA71" i="1"/>
  <c r="GS71" i="1"/>
  <c r="CV71" i="1"/>
  <c r="DT71" i="1"/>
  <c r="DO71" i="1"/>
  <c r="CQ71" i="1"/>
  <c r="DJ90" i="1"/>
  <c r="EC90" i="1"/>
  <c r="DA88" i="1"/>
  <c r="DY88" i="1"/>
  <c r="DR82" i="1"/>
  <c r="CT82" i="1"/>
  <c r="CV82" i="1"/>
  <c r="DT82" i="1"/>
  <c r="EE108" i="1"/>
  <c r="DL108" i="1"/>
  <c r="DL104" i="1"/>
  <c r="EE104" i="1"/>
  <c r="CS101" i="1"/>
  <c r="DQ101" i="1"/>
  <c r="DP101" i="1"/>
  <c r="CR101" i="1"/>
  <c r="CA46" i="1"/>
  <c r="DB43" i="1"/>
  <c r="CK42" i="1"/>
  <c r="EB81" i="1"/>
  <c r="DW81" i="1"/>
  <c r="DI81" i="1"/>
  <c r="CY81" i="1"/>
  <c r="BC81" i="1"/>
  <c r="DQ80" i="1"/>
  <c r="DX76" i="1"/>
  <c r="CK91" i="1"/>
  <c r="BC91" i="1"/>
  <c r="CR89" i="1"/>
  <c r="DP89" i="1"/>
  <c r="AD88" i="1"/>
  <c r="CK88" i="1"/>
  <c r="EE85" i="1"/>
  <c r="DL85" i="1"/>
  <c r="AD85" i="1"/>
  <c r="BC85" i="1"/>
  <c r="CY85" i="1"/>
  <c r="AE85" i="1"/>
  <c r="CA85" i="1"/>
  <c r="EB85" i="1"/>
  <c r="EE109" i="1"/>
  <c r="DL109" i="1"/>
  <c r="DP107" i="1"/>
  <c r="AD107" i="1"/>
  <c r="FH105" i="1"/>
  <c r="DY105" i="1"/>
  <c r="DJ104" i="1"/>
  <c r="EC104" i="1"/>
  <c r="CS102" i="1"/>
  <c r="DQ102" i="1"/>
  <c r="DA99" i="1"/>
  <c r="DY99" i="1"/>
  <c r="DQ95" i="1"/>
  <c r="CS95" i="1"/>
  <c r="EN95" i="1"/>
  <c r="DR94" i="1"/>
  <c r="DI117" i="1"/>
  <c r="CT114" i="1"/>
  <c r="DR114" i="1"/>
  <c r="CR113" i="1"/>
  <c r="DP113" i="1"/>
  <c r="AE91" i="1"/>
  <c r="CY91" i="1"/>
  <c r="EB91" i="1"/>
  <c r="DO89" i="1"/>
  <c r="CQ89" i="1"/>
  <c r="AF87" i="1"/>
  <c r="CY87" i="1"/>
  <c r="DI87" i="1"/>
  <c r="DW87" i="1"/>
  <c r="EB87" i="1"/>
  <c r="DB84" i="1"/>
  <c r="DZ84" i="1"/>
  <c r="DX83" i="1"/>
  <c r="CZ83" i="1"/>
  <c r="CR82" i="1"/>
  <c r="DP82" i="1"/>
  <c r="DJ109" i="1"/>
  <c r="EC109" i="1"/>
  <c r="DA109" i="1"/>
  <c r="GS109" i="1"/>
  <c r="DY109" i="1"/>
  <c r="CR109" i="1"/>
  <c r="DP109" i="1"/>
  <c r="AD106" i="1"/>
  <c r="CK106" i="1"/>
  <c r="EB106" i="1"/>
  <c r="AE106" i="1"/>
  <c r="DW106" i="1"/>
  <c r="DQ104" i="1"/>
  <c r="CS104" i="1"/>
  <c r="DP102" i="1"/>
  <c r="CR102" i="1"/>
  <c r="EC101" i="1"/>
  <c r="DJ101" i="1"/>
  <c r="DQ100" i="1"/>
  <c r="CS100" i="1"/>
  <c r="EN100" i="1"/>
  <c r="EE96" i="1"/>
  <c r="DL96" i="1"/>
  <c r="EN96" i="1"/>
  <c r="DA96" i="1"/>
  <c r="DY96" i="1"/>
  <c r="AD117" i="1"/>
  <c r="AF117" i="1"/>
  <c r="BC117" i="1"/>
  <c r="DW117" i="1"/>
  <c r="CQ113" i="1"/>
  <c r="DO113" i="1"/>
  <c r="AE113" i="1"/>
  <c r="EB113" i="1"/>
  <c r="CY113" i="1"/>
  <c r="DW113" i="1"/>
  <c r="CK113" i="1"/>
  <c r="CZ118" i="1"/>
  <c r="DX118" i="1"/>
  <c r="DX107" i="1"/>
  <c r="DW105" i="1"/>
  <c r="CK105" i="1"/>
  <c r="BC105" i="1"/>
  <c r="EB102" i="1"/>
  <c r="CK102" i="1"/>
  <c r="EC99" i="1"/>
  <c r="DJ99" i="1"/>
  <c r="DX98" i="1"/>
  <c r="CZ98" i="1"/>
  <c r="DX97" i="1"/>
  <c r="DZ96" i="1"/>
  <c r="EE95" i="1"/>
  <c r="DO95" i="1"/>
  <c r="DJ94" i="1"/>
  <c r="EC94" i="1"/>
  <c r="DT117" i="1"/>
  <c r="CV117" i="1"/>
  <c r="DO115" i="1"/>
  <c r="CQ115" i="1"/>
  <c r="CS112" i="1"/>
  <c r="DQ112" i="1"/>
  <c r="CT111" i="1"/>
  <c r="DR111" i="1"/>
  <c r="AE110" i="1"/>
  <c r="AD110" i="1"/>
  <c r="DI110" i="1"/>
  <c r="DW110" i="1"/>
  <c r="EB110" i="1"/>
  <c r="AE99" i="1"/>
  <c r="CA99" i="1"/>
  <c r="CY99" i="1"/>
  <c r="CQ97" i="1"/>
  <c r="DO97" i="1"/>
  <c r="AE96" i="1"/>
  <c r="BC96" i="1"/>
  <c r="CA96" i="1"/>
  <c r="DI96" i="1"/>
  <c r="EB96" i="1"/>
  <c r="AF96" i="1"/>
  <c r="CK96" i="1"/>
  <c r="DW96" i="1"/>
  <c r="DT95" i="1"/>
  <c r="CV95" i="1"/>
  <c r="CR93" i="1"/>
  <c r="DP93" i="1"/>
  <c r="CT93" i="1"/>
  <c r="DR93" i="1"/>
  <c r="DB116" i="1"/>
  <c r="DZ116" i="1"/>
  <c r="CQ116" i="1"/>
  <c r="DO116" i="1"/>
  <c r="EC114" i="1"/>
  <c r="DJ114" i="1"/>
  <c r="CZ114" i="1"/>
  <c r="DX114" i="1"/>
  <c r="CQ110" i="1"/>
  <c r="DO110" i="1"/>
  <c r="EB98" i="1"/>
  <c r="DI98" i="1"/>
  <c r="CA98" i="1"/>
  <c r="BC98" i="1"/>
  <c r="FH97" i="1"/>
  <c r="EC118" i="1"/>
  <c r="DJ118" i="1"/>
  <c r="CT118" i="1"/>
  <c r="DR118" i="1"/>
  <c r="DL118" i="1"/>
  <c r="EE118" i="1"/>
  <c r="CA118" i="1"/>
  <c r="CQ117" i="1"/>
  <c r="DO117" i="1"/>
  <c r="FH115" i="1"/>
  <c r="GS115" i="1"/>
  <c r="CZ117" i="1"/>
  <c r="DP116" i="1"/>
  <c r="CR116" i="1"/>
  <c r="DR115" i="1"/>
  <c r="CT115" i="1"/>
  <c r="DL115" i="1"/>
  <c r="EE115" i="1"/>
  <c r="CR112" i="1"/>
  <c r="DP112" i="1"/>
  <c r="DQ116" i="1"/>
  <c r="CS116" i="1"/>
  <c r="EC115" i="1"/>
  <c r="DJ115" i="1"/>
  <c r="DZ113" i="1"/>
  <c r="DB113" i="1"/>
  <c r="DT116" i="1"/>
  <c r="CV116" i="1"/>
  <c r="DT115" i="1"/>
  <c r="DQ114" i="1"/>
  <c r="CS114" i="1"/>
  <c r="DR113" i="1"/>
  <c r="CT113" i="1"/>
  <c r="DY116" i="1"/>
  <c r="DA116" i="1"/>
  <c r="AD116" i="1"/>
  <c r="CY116" i="1"/>
  <c r="EB116" i="1"/>
  <c r="AE116" i="1"/>
  <c r="CA116" i="1"/>
  <c r="AF116" i="1"/>
  <c r="BC116" i="1"/>
  <c r="DI116" i="1"/>
  <c r="DZ115" i="1"/>
  <c r="DB115" i="1"/>
  <c r="DT113" i="1"/>
  <c r="DP114" i="1"/>
  <c r="CR114" i="1"/>
  <c r="EC113" i="1"/>
  <c r="DJ113" i="1"/>
  <c r="CQ112" i="1"/>
  <c r="DO112" i="1"/>
  <c r="EB117" i="1"/>
  <c r="CY117" i="1"/>
  <c r="AD115" i="1"/>
  <c r="DT114" i="1"/>
  <c r="CV114" i="1"/>
  <c r="DQ113" i="1"/>
  <c r="CS113" i="1"/>
  <c r="CZ112" i="1"/>
  <c r="DX112" i="1"/>
  <c r="DP111" i="1"/>
  <c r="CR111" i="1"/>
  <c r="DY114" i="1"/>
  <c r="DA114" i="1"/>
  <c r="AD114" i="1"/>
  <c r="CY114" i="1"/>
  <c r="EB114" i="1"/>
  <c r="AE114" i="1"/>
  <c r="CA114" i="1"/>
  <c r="AF114" i="1"/>
  <c r="BC114" i="1"/>
  <c r="DI114" i="1"/>
  <c r="DL113" i="1"/>
  <c r="EE113" i="1"/>
  <c r="AD112" i="1"/>
  <c r="CY112" i="1"/>
  <c r="DT111" i="1"/>
  <c r="CV111" i="1"/>
  <c r="DQ110" i="1"/>
  <c r="CS110" i="1"/>
  <c r="DA113" i="1"/>
  <c r="BC113" i="1"/>
  <c r="AF113" i="1"/>
  <c r="DY111" i="1"/>
  <c r="DA111" i="1"/>
  <c r="AD111" i="1"/>
  <c r="CY111" i="1"/>
  <c r="EB111" i="1"/>
  <c r="AE111" i="1"/>
  <c r="CA111" i="1"/>
  <c r="AF111" i="1"/>
  <c r="BC111" i="1"/>
  <c r="DI111" i="1"/>
  <c r="EC110" i="1"/>
  <c r="DJ110" i="1"/>
  <c r="DZ110" i="1"/>
  <c r="DB110" i="1"/>
  <c r="DL110" i="1"/>
  <c r="EE110" i="1"/>
  <c r="CA113" i="1"/>
  <c r="AF112" i="1"/>
  <c r="EE111" i="1"/>
  <c r="DO111" i="1"/>
  <c r="DQ111" i="1"/>
  <c r="CS111" i="1"/>
  <c r="FH110" i="1"/>
  <c r="GS110" i="1"/>
  <c r="DR110" i="1"/>
  <c r="CT110" i="1"/>
  <c r="BC110" i="1"/>
  <c r="AF110" i="1"/>
  <c r="CQ108" i="1"/>
  <c r="DO108" i="1"/>
  <c r="DJ106" i="1"/>
  <c r="EC106" i="1"/>
  <c r="DR106" i="1"/>
  <c r="CT106" i="1"/>
  <c r="DT104" i="1"/>
  <c r="CV104" i="1"/>
  <c r="CS99" i="1"/>
  <c r="DQ99" i="1"/>
  <c r="CV108" i="1"/>
  <c r="DX108" i="1"/>
  <c r="CZ108" i="1"/>
  <c r="CR106" i="1"/>
  <c r="CT96" i="1"/>
  <c r="DR96" i="1"/>
  <c r="FH108" i="1"/>
  <c r="GS108" i="1"/>
  <c r="DP108" i="1"/>
  <c r="CR108" i="1"/>
  <c r="DZ106" i="1"/>
  <c r="DB106" i="1"/>
  <c r="CS106" i="1"/>
  <c r="DQ106" i="1"/>
  <c r="DP104" i="1"/>
  <c r="CR104" i="1"/>
  <c r="DO102" i="1"/>
  <c r="CQ102" i="1"/>
  <c r="DT101" i="1"/>
  <c r="CV101" i="1"/>
  <c r="DQ93" i="1"/>
  <c r="CS93" i="1"/>
  <c r="CV109" i="1"/>
  <c r="CT107" i="1"/>
  <c r="DR107" i="1"/>
  <c r="DL107" i="1"/>
  <c r="EE107" i="1"/>
  <c r="DO105" i="1"/>
  <c r="CQ105" i="1"/>
  <c r="CV100" i="1"/>
  <c r="DT100" i="1"/>
  <c r="AD108" i="1"/>
  <c r="CY108" i="1"/>
  <c r="EB108" i="1"/>
  <c r="AE107" i="1"/>
  <c r="CA107" i="1"/>
  <c r="AF103" i="1"/>
  <c r="BC103" i="1"/>
  <c r="DI103" i="1"/>
  <c r="AD103" i="1"/>
  <c r="CK103" i="1"/>
  <c r="AE103" i="1"/>
  <c r="EC102" i="1"/>
  <c r="CQ101" i="1"/>
  <c r="DO101" i="1"/>
  <c r="DX100" i="1"/>
  <c r="DZ99" i="1"/>
  <c r="DB99" i="1"/>
  <c r="CS97" i="1"/>
  <c r="DQ97" i="1"/>
  <c r="CS92" i="1"/>
  <c r="DQ92" i="1"/>
  <c r="DI108" i="1"/>
  <c r="CY107" i="1"/>
  <c r="AF106" i="1"/>
  <c r="BC106" i="1"/>
  <c r="DI106" i="1"/>
  <c r="CA103" i="1"/>
  <c r="DR95" i="1"/>
  <c r="CZ95" i="1"/>
  <c r="DT94" i="1"/>
  <c r="DR92" i="1"/>
  <c r="CT92" i="1"/>
  <c r="AF108" i="1"/>
  <c r="DI107" i="1"/>
  <c r="CS107" i="1"/>
  <c r="AF107" i="1"/>
  <c r="CY106" i="1"/>
  <c r="CA106" i="1"/>
  <c r="DR105" i="1"/>
  <c r="DL105" i="1"/>
  <c r="DA104" i="1"/>
  <c r="DX104" i="1"/>
  <c r="CZ104" i="1"/>
  <c r="DL103" i="1"/>
  <c r="EE103" i="1"/>
  <c r="DR102" i="1"/>
  <c r="DX101" i="1"/>
  <c r="CZ101" i="1"/>
  <c r="EC100" i="1"/>
  <c r="DJ100" i="1"/>
  <c r="DY100" i="1"/>
  <c r="DA100" i="1"/>
  <c r="DT97" i="1"/>
  <c r="DJ97" i="1"/>
  <c r="EC97" i="1"/>
  <c r="DZ97" i="1"/>
  <c r="DB97" i="1"/>
  <c r="DX96" i="1"/>
  <c r="CZ96" i="1"/>
  <c r="FH94" i="1"/>
  <c r="GS94" i="1"/>
  <c r="DQ94" i="1"/>
  <c r="CS94" i="1"/>
  <c r="DB102" i="1"/>
  <c r="DZ102" i="1"/>
  <c r="CT100" i="1"/>
  <c r="DR100" i="1"/>
  <c r="CR100" i="1"/>
  <c r="DP100" i="1"/>
  <c r="AD95" i="1"/>
  <c r="CY95" i="1"/>
  <c r="EB95" i="1"/>
  <c r="AF95" i="1"/>
  <c r="BC95" i="1"/>
  <c r="CA95" i="1"/>
  <c r="DI95" i="1"/>
  <c r="DW95" i="1"/>
  <c r="CZ94" i="1"/>
  <c r="DX94" i="1"/>
  <c r="AD101" i="1"/>
  <c r="CY101" i="1"/>
  <c r="EB101" i="1"/>
  <c r="AE100" i="1"/>
  <c r="CA100" i="1"/>
  <c r="DP95" i="1"/>
  <c r="CR95" i="1"/>
  <c r="DL94" i="1"/>
  <c r="EE94" i="1"/>
  <c r="AD94" i="1"/>
  <c r="CY94" i="1"/>
  <c r="AF94" i="1"/>
  <c r="AE94" i="1"/>
  <c r="DW94" i="1"/>
  <c r="AF92" i="1"/>
  <c r="BC92" i="1"/>
  <c r="DI92" i="1"/>
  <c r="CA92" i="1"/>
  <c r="CY92" i="1"/>
  <c r="AE104" i="1"/>
  <c r="DB103" i="1"/>
  <c r="DI101" i="1"/>
  <c r="CY100" i="1"/>
  <c r="AF99" i="1"/>
  <c r="BC99" i="1"/>
  <c r="DI99" i="1"/>
  <c r="DB93" i="1"/>
  <c r="DL93" i="1"/>
  <c r="EE93" i="1"/>
  <c r="EB92" i="1"/>
  <c r="DB92" i="1"/>
  <c r="DA92" i="1"/>
  <c r="DY92" i="1"/>
  <c r="AF97" i="1"/>
  <c r="BC97" i="1"/>
  <c r="DI97" i="1"/>
  <c r="AE93" i="1"/>
  <c r="CA93" i="1"/>
  <c r="AF93" i="1"/>
  <c r="DI93" i="1"/>
  <c r="CT91" i="1"/>
  <c r="DR91" i="1"/>
  <c r="DP90" i="1"/>
  <c r="CR90" i="1"/>
  <c r="DQ87" i="1"/>
  <c r="CS87" i="1"/>
  <c r="DT90" i="1"/>
  <c r="CV90" i="1"/>
  <c r="CQ90" i="1"/>
  <c r="DO90" i="1"/>
  <c r="CR87" i="1"/>
  <c r="DP87" i="1"/>
  <c r="DL89" i="1"/>
  <c r="EE89" i="1"/>
  <c r="DR88" i="1"/>
  <c r="CT88" i="1"/>
  <c r="DA86" i="1"/>
  <c r="DY86" i="1"/>
  <c r="AF86" i="1"/>
  <c r="BC86" i="1"/>
  <c r="DI86" i="1"/>
  <c r="AE86" i="1"/>
  <c r="CA86" i="1"/>
  <c r="CT85" i="1"/>
  <c r="DR85" i="1"/>
  <c r="DO82" i="1"/>
  <c r="CQ82" i="1"/>
  <c r="CZ90" i="1"/>
  <c r="AD90" i="1"/>
  <c r="CY90" i="1"/>
  <c r="EB90" i="1"/>
  <c r="DR89" i="1"/>
  <c r="AE89" i="1"/>
  <c r="CA89" i="1"/>
  <c r="EC88" i="1"/>
  <c r="DB88" i="1"/>
  <c r="DT87" i="1"/>
  <c r="EB86" i="1"/>
  <c r="CT86" i="1"/>
  <c r="AE82" i="1"/>
  <c r="CA82" i="1"/>
  <c r="AF82" i="1"/>
  <c r="DI82" i="1"/>
  <c r="DW82" i="1"/>
  <c r="CK82" i="1"/>
  <c r="CY82" i="1"/>
  <c r="DI90" i="1"/>
  <c r="CY89" i="1"/>
  <c r="DQ88" i="1"/>
  <c r="AF88" i="1"/>
  <c r="BC88" i="1"/>
  <c r="DI88" i="1"/>
  <c r="EE87" i="1"/>
  <c r="DJ87" i="1"/>
  <c r="CY86" i="1"/>
  <c r="CK86" i="1"/>
  <c r="DB85" i="1"/>
  <c r="DZ85" i="1"/>
  <c r="CT83" i="1"/>
  <c r="EB82" i="1"/>
  <c r="DL82" i="1"/>
  <c r="EE82" i="1"/>
  <c r="CZ82" i="1"/>
  <c r="DX82" i="1"/>
  <c r="GS90" i="1"/>
  <c r="AF90" i="1"/>
  <c r="DI89" i="1"/>
  <c r="CS89" i="1"/>
  <c r="AF89" i="1"/>
  <c r="CY88" i="1"/>
  <c r="CA88" i="1"/>
  <c r="AE87" i="1"/>
  <c r="CA87" i="1"/>
  <c r="AD87" i="1"/>
  <c r="BC87" i="1"/>
  <c r="CK87" i="1"/>
  <c r="DQ86" i="1"/>
  <c r="CQ86" i="1"/>
  <c r="AD86" i="1"/>
  <c r="DO85" i="1"/>
  <c r="CQ85" i="1"/>
  <c r="DT84" i="1"/>
  <c r="CV84" i="1"/>
  <c r="DO84" i="1"/>
  <c r="CQ84" i="1"/>
  <c r="FH83" i="1"/>
  <c r="GS83" i="1"/>
  <c r="AD83" i="1"/>
  <c r="CY83" i="1"/>
  <c r="EB83" i="1"/>
  <c r="AF83" i="1"/>
  <c r="DQ82" i="1"/>
  <c r="CS82" i="1"/>
  <c r="DW83" i="1"/>
  <c r="DI83" i="1"/>
  <c r="CA83" i="1"/>
  <c r="DP83" i="1"/>
  <c r="CR83" i="1"/>
  <c r="CR81" i="1"/>
  <c r="DP81" i="1"/>
  <c r="CV81" i="1"/>
  <c r="DT81" i="1"/>
  <c r="CS77" i="1"/>
  <c r="DQ77" i="1"/>
  <c r="DO74" i="1"/>
  <c r="CQ74" i="1"/>
  <c r="CQ79" i="1"/>
  <c r="DO79" i="1"/>
  <c r="CV76" i="1"/>
  <c r="DT76" i="1"/>
  <c r="AE76" i="1"/>
  <c r="CA76" i="1"/>
  <c r="AD76" i="1"/>
  <c r="BC76" i="1"/>
  <c r="CK76" i="1"/>
  <c r="AF76" i="1"/>
  <c r="CY76" i="1"/>
  <c r="DQ71" i="1"/>
  <c r="CS71" i="1"/>
  <c r="AF80" i="1"/>
  <c r="BC80" i="1"/>
  <c r="DI80" i="1"/>
  <c r="AD80" i="1"/>
  <c r="CK80" i="1"/>
  <c r="AE80" i="1"/>
  <c r="EC78" i="1"/>
  <c r="DJ78" i="1"/>
  <c r="DY78" i="1"/>
  <c r="DA78" i="1"/>
  <c r="CR78" i="1"/>
  <c r="DP78" i="1"/>
  <c r="DL77" i="1"/>
  <c r="EE77" i="1"/>
  <c r="DR75" i="1"/>
  <c r="CT75" i="1"/>
  <c r="CA80" i="1"/>
  <c r="DT79" i="1"/>
  <c r="CV79" i="1"/>
  <c r="EE78" i="1"/>
  <c r="DW76" i="1"/>
  <c r="DQ76" i="1"/>
  <c r="CS76" i="1"/>
  <c r="CT74" i="1"/>
  <c r="DR74" i="1"/>
  <c r="DL72" i="1"/>
  <c r="EE72" i="1"/>
  <c r="DY81" i="1"/>
  <c r="DA81" i="1"/>
  <c r="DL80" i="1"/>
  <c r="EE80" i="1"/>
  <c r="DT78" i="1"/>
  <c r="EB76" i="1"/>
  <c r="DI76" i="1"/>
  <c r="DB76" i="1"/>
  <c r="DZ76" i="1"/>
  <c r="GS74" i="1"/>
  <c r="FH74" i="1"/>
  <c r="CT72" i="1"/>
  <c r="DR72" i="1"/>
  <c r="AD72" i="1"/>
  <c r="CY72" i="1"/>
  <c r="EB72" i="1"/>
  <c r="AF72" i="1"/>
  <c r="CA72" i="1"/>
  <c r="DI72" i="1"/>
  <c r="DW72" i="1"/>
  <c r="AE71" i="1"/>
  <c r="CA71" i="1"/>
  <c r="AF71" i="1"/>
  <c r="DI71" i="1"/>
  <c r="DW71" i="1"/>
  <c r="CZ79" i="1"/>
  <c r="AD79" i="1"/>
  <c r="CY79" i="1"/>
  <c r="EB79" i="1"/>
  <c r="DR78" i="1"/>
  <c r="AE78" i="1"/>
  <c r="CA78" i="1"/>
  <c r="DB77" i="1"/>
  <c r="CR74" i="1"/>
  <c r="DB74" i="1"/>
  <c r="DZ74" i="1"/>
  <c r="DR73" i="1"/>
  <c r="CS72" i="1"/>
  <c r="CK72" i="1"/>
  <c r="DL71" i="1"/>
  <c r="EE71" i="1"/>
  <c r="BC71" i="1"/>
  <c r="AE81" i="1"/>
  <c r="CA81" i="1"/>
  <c r="DB80" i="1"/>
  <c r="DI79" i="1"/>
  <c r="CY78" i="1"/>
  <c r="AF77" i="1"/>
  <c r="BC77" i="1"/>
  <c r="DI77" i="1"/>
  <c r="EE76" i="1"/>
  <c r="DJ76" i="1"/>
  <c r="DA75" i="1"/>
  <c r="DY75" i="1"/>
  <c r="AF75" i="1"/>
  <c r="BC75" i="1"/>
  <c r="DI75" i="1"/>
  <c r="AE75" i="1"/>
  <c r="BC72" i="1"/>
  <c r="DP72" i="1"/>
  <c r="CR72" i="1"/>
  <c r="DT70" i="1"/>
  <c r="CV70" i="1"/>
  <c r="DY69" i="1"/>
  <c r="DA69" i="1"/>
  <c r="AE69" i="1"/>
  <c r="CA69" i="1"/>
  <c r="AF69" i="1"/>
  <c r="BC69" i="1"/>
  <c r="DI69" i="1"/>
  <c r="DO67" i="1"/>
  <c r="CQ67" i="1"/>
  <c r="AF66" i="1"/>
  <c r="BC66" i="1"/>
  <c r="AE66" i="1"/>
  <c r="CY66" i="1"/>
  <c r="EB66" i="1"/>
  <c r="CA66" i="1"/>
  <c r="DJ69" i="1"/>
  <c r="DR68" i="1"/>
  <c r="CT68" i="1"/>
  <c r="DI66" i="1"/>
  <c r="DX66" i="1"/>
  <c r="CZ66" i="1"/>
  <c r="DL62" i="1"/>
  <c r="EE62" i="1"/>
  <c r="DR61" i="1"/>
  <c r="DW70" i="1"/>
  <c r="DO70" i="1"/>
  <c r="DP69" i="1"/>
  <c r="CY69" i="1"/>
  <c r="CQ69" i="1"/>
  <c r="DL68" i="1"/>
  <c r="EN68" i="1"/>
  <c r="DQ67" i="1"/>
  <c r="CZ67" i="1"/>
  <c r="DO66" i="1"/>
  <c r="CK66" i="1"/>
  <c r="DB65" i="1"/>
  <c r="DZ65" i="1"/>
  <c r="DT64" i="1"/>
  <c r="CV64" i="1"/>
  <c r="DJ63" i="1"/>
  <c r="CS63" i="1"/>
  <c r="FH61" i="1"/>
  <c r="GS61" i="1"/>
  <c r="DB61" i="1"/>
  <c r="DZ61" i="1"/>
  <c r="EE58" i="1"/>
  <c r="DL58" i="1"/>
  <c r="DX70" i="1"/>
  <c r="CZ70" i="1"/>
  <c r="DP70" i="1"/>
  <c r="CR70" i="1"/>
  <c r="CT65" i="1"/>
  <c r="DR65" i="1"/>
  <c r="CT69" i="1"/>
  <c r="CK69" i="1"/>
  <c r="DQ69" i="1"/>
  <c r="CS69" i="1"/>
  <c r="DW66" i="1"/>
  <c r="DA66" i="1"/>
  <c r="DY63" i="1"/>
  <c r="DA63" i="1"/>
  <c r="DX60" i="1"/>
  <c r="CZ60" i="1"/>
  <c r="CS59" i="1"/>
  <c r="DQ59" i="1"/>
  <c r="AD70" i="1"/>
  <c r="CY70" i="1"/>
  <c r="EB70" i="1"/>
  <c r="AE70" i="1"/>
  <c r="CA70" i="1"/>
  <c r="DW69" i="1"/>
  <c r="AD69" i="1"/>
  <c r="DZ68" i="1"/>
  <c r="DB68" i="1"/>
  <c r="DT66" i="1"/>
  <c r="CV66" i="1"/>
  <c r="AD66" i="1"/>
  <c r="DO65" i="1"/>
  <c r="CQ65" i="1"/>
  <c r="CR64" i="1"/>
  <c r="CT64" i="1"/>
  <c r="DR64" i="1"/>
  <c r="DZ63" i="1"/>
  <c r="DT63" i="1"/>
  <c r="AF62" i="1"/>
  <c r="BC62" i="1"/>
  <c r="DI62" i="1"/>
  <c r="AD62" i="1"/>
  <c r="CK62" i="1"/>
  <c r="AE62" i="1"/>
  <c r="CR61" i="1"/>
  <c r="CQ60" i="1"/>
  <c r="DO60" i="1"/>
  <c r="CS58" i="1"/>
  <c r="CQ53" i="1"/>
  <c r="DO53" i="1"/>
  <c r="AD60" i="1"/>
  <c r="CY60" i="1"/>
  <c r="EB60" i="1"/>
  <c r="EE54" i="1"/>
  <c r="DL54" i="1"/>
  <c r="EN54" i="1"/>
  <c r="DX53" i="1"/>
  <c r="CZ53" i="1"/>
  <c r="CZ52" i="1"/>
  <c r="DX52" i="1"/>
  <c r="DQ44" i="1"/>
  <c r="CS44" i="1"/>
  <c r="CQ44" i="1"/>
  <c r="DO44" i="1"/>
  <c r="DR42" i="1"/>
  <c r="CT42" i="1"/>
  <c r="DI68" i="1"/>
  <c r="BC68" i="1"/>
  <c r="CZ64" i="1"/>
  <c r="AD64" i="1"/>
  <c r="CY64" i="1"/>
  <c r="EB64" i="1"/>
  <c r="AE63" i="1"/>
  <c r="CA63" i="1"/>
  <c r="DB62" i="1"/>
  <c r="DI60" i="1"/>
  <c r="CT58" i="1"/>
  <c r="DR58" i="1"/>
  <c r="CV57" i="1"/>
  <c r="DT57" i="1"/>
  <c r="CS56" i="1"/>
  <c r="DQ56" i="1"/>
  <c r="DJ54" i="1"/>
  <c r="EC54" i="1"/>
  <c r="DB54" i="1"/>
  <c r="DZ54" i="1"/>
  <c r="CZ57" i="1"/>
  <c r="DX57" i="1"/>
  <c r="CR57" i="1"/>
  <c r="DP57" i="1"/>
  <c r="DA56" i="1"/>
  <c r="DY56" i="1"/>
  <c r="AF56" i="1"/>
  <c r="BC56" i="1"/>
  <c r="DI56" i="1"/>
  <c r="AE56" i="1"/>
  <c r="CA56" i="1"/>
  <c r="CS53" i="1"/>
  <c r="DQ53" i="1"/>
  <c r="CR52" i="1"/>
  <c r="DP52" i="1"/>
  <c r="CQ52" i="1"/>
  <c r="DO52" i="1"/>
  <c r="DP51" i="1"/>
  <c r="CR51" i="1"/>
  <c r="AE55" i="1"/>
  <c r="CA55" i="1"/>
  <c r="AF55" i="1"/>
  <c r="CK55" i="1"/>
  <c r="DW55" i="1"/>
  <c r="AD55" i="1"/>
  <c r="BC55" i="1"/>
  <c r="DI55" i="1"/>
  <c r="DJ48" i="1"/>
  <c r="EC48" i="1"/>
  <c r="AF59" i="1"/>
  <c r="BC59" i="1"/>
  <c r="DI59" i="1"/>
  <c r="AE57" i="1"/>
  <c r="CA57" i="1"/>
  <c r="AD57" i="1"/>
  <c r="CY57" i="1"/>
  <c r="EB57" i="1"/>
  <c r="DW56" i="1"/>
  <c r="AD56" i="1"/>
  <c r="GS55" i="1"/>
  <c r="EB55" i="1"/>
  <c r="CY55" i="1"/>
  <c r="DB55" i="1"/>
  <c r="DZ55" i="1"/>
  <c r="FH54" i="1"/>
  <c r="CT54" i="1"/>
  <c r="DR54" i="1"/>
  <c r="CT53" i="1"/>
  <c r="DR53" i="1"/>
  <c r="CV52" i="1"/>
  <c r="DT52" i="1"/>
  <c r="AE52" i="1"/>
  <c r="CA52" i="1"/>
  <c r="AD52" i="1"/>
  <c r="CY52" i="1"/>
  <c r="EB52" i="1"/>
  <c r="DL50" i="1"/>
  <c r="EE50" i="1"/>
  <c r="DY50" i="1"/>
  <c r="DA50" i="1"/>
  <c r="DT50" i="1"/>
  <c r="CV50" i="1"/>
  <c r="DP50" i="1"/>
  <c r="CR50" i="1"/>
  <c r="DR48" i="1"/>
  <c r="CT48" i="1"/>
  <c r="DI54" i="1"/>
  <c r="BC54" i="1"/>
  <c r="CQ50" i="1"/>
  <c r="DO50" i="1"/>
  <c r="DZ47" i="1"/>
  <c r="DB47" i="1"/>
  <c r="CV51" i="1"/>
  <c r="DT51" i="1"/>
  <c r="DQ49" i="1"/>
  <c r="CS49" i="1"/>
  <c r="DJ46" i="1"/>
  <c r="EC46" i="1"/>
  <c r="DZ46" i="1"/>
  <c r="DB46" i="1"/>
  <c r="DR46" i="1"/>
  <c r="CT46" i="1"/>
  <c r="AD51" i="1"/>
  <c r="AD50" i="1"/>
  <c r="CY50" i="1"/>
  <c r="EB50" i="1"/>
  <c r="AE50" i="1"/>
  <c r="CA50" i="1"/>
  <c r="DY49" i="1"/>
  <c r="DA49" i="1"/>
  <c r="AE49" i="1"/>
  <c r="CA49" i="1"/>
  <c r="AF49" i="1"/>
  <c r="BC49" i="1"/>
  <c r="DI49" i="1"/>
  <c r="DZ48" i="1"/>
  <c r="DB48" i="1"/>
  <c r="AE48" i="1"/>
  <c r="AD48" i="1"/>
  <c r="BC48" i="1"/>
  <c r="DI48" i="1"/>
  <c r="AF48" i="1"/>
  <c r="CK48" i="1"/>
  <c r="DW48" i="1"/>
  <c r="DT44" i="1"/>
  <c r="CV44" i="1"/>
  <c r="CR44" i="1"/>
  <c r="DP44" i="1"/>
  <c r="DO43" i="1"/>
  <c r="CQ43" i="1"/>
  <c r="DO42" i="1"/>
  <c r="CQ42" i="1"/>
  <c r="CV42" i="1"/>
  <c r="DT42" i="1"/>
  <c r="AE51" i="1"/>
  <c r="DX50" i="1"/>
  <c r="CZ50" i="1"/>
  <c r="AF50" i="1"/>
  <c r="CS46" i="1"/>
  <c r="DQ46" i="1"/>
  <c r="DT45" i="1"/>
  <c r="CV45" i="1"/>
  <c r="DL45" i="1"/>
  <c r="EE45" i="1"/>
  <c r="AD44" i="1"/>
  <c r="CY44" i="1"/>
  <c r="AF44" i="1"/>
  <c r="DI44" i="1"/>
  <c r="CA44" i="1"/>
  <c r="AE44" i="1"/>
  <c r="CK44" i="1"/>
  <c r="EB44" i="1"/>
  <c r="AE47" i="1"/>
  <c r="CA47" i="1"/>
  <c r="AF47" i="1"/>
  <c r="BC47" i="1"/>
  <c r="DI47" i="1"/>
  <c r="FH45" i="1"/>
  <c r="GS45" i="1"/>
  <c r="CZ43" i="1"/>
  <c r="DX43" i="1"/>
  <c r="CT43" i="1"/>
  <c r="DR43" i="1"/>
  <c r="DL43" i="1"/>
  <c r="EE43" i="1"/>
  <c r="AD45" i="1"/>
  <c r="CY45" i="1"/>
  <c r="EB45" i="1"/>
  <c r="AE45" i="1"/>
  <c r="CA45" i="1"/>
  <c r="EE44" i="1"/>
  <c r="CK43" i="1"/>
  <c r="DQ43" i="1"/>
  <c r="CS43" i="1"/>
  <c r="DX45" i="1"/>
  <c r="CZ45" i="1"/>
  <c r="DP45" i="1"/>
  <c r="CR45" i="1"/>
  <c r="AE43" i="1"/>
  <c r="CA43" i="1"/>
  <c r="AF43" i="1"/>
  <c r="DI43" i="1"/>
  <c r="CY43" i="1"/>
  <c r="CS42" i="1"/>
  <c r="DQ42" i="1"/>
  <c r="AF42" i="1"/>
  <c r="BC42" i="1"/>
  <c r="DI42" i="1"/>
  <c r="CY42" i="1"/>
  <c r="CA42" i="1"/>
  <c r="CR41" i="1"/>
  <c r="DP41" i="1"/>
  <c r="DL41" i="1"/>
  <c r="EE41" i="1"/>
  <c r="CV41" i="1"/>
  <c r="DT41" i="1"/>
  <c r="CQ41" i="1"/>
  <c r="DO41" i="1"/>
  <c r="DI41" i="1"/>
  <c r="DA41" i="1"/>
  <c r="CS41" i="1"/>
  <c r="BC41" i="1"/>
  <c r="EB41" i="1"/>
  <c r="DX41" i="1"/>
  <c r="CY41" i="1"/>
  <c r="AD41" i="1"/>
  <c r="AF41" i="1"/>
  <c r="CA41" i="1"/>
  <c r="DT37" i="1"/>
  <c r="EB37" i="1"/>
  <c r="CK40" i="1"/>
  <c r="CA40" i="1"/>
  <c r="AE40" i="1"/>
  <c r="DW40" i="1"/>
  <c r="BC38" i="1"/>
  <c r="AF38" i="1"/>
  <c r="DL32" i="1"/>
  <c r="EE32" i="1"/>
  <c r="EE37" i="1"/>
  <c r="DW36" i="1"/>
  <c r="EE35" i="1"/>
  <c r="DO32" i="1"/>
  <c r="DR36" i="1"/>
  <c r="DP39" i="1"/>
  <c r="BC36" i="1"/>
  <c r="AD36" i="1"/>
  <c r="CT40" i="1"/>
  <c r="DP38" i="1"/>
  <c r="DI33" i="1"/>
  <c r="CY33" i="1"/>
  <c r="CK33" i="1"/>
  <c r="BC33" i="1"/>
  <c r="GS38" i="1"/>
  <c r="EC36" i="1"/>
  <c r="DI36" i="1"/>
  <c r="AF36" i="1"/>
  <c r="EB33" i="1"/>
  <c r="CQ33" i="1"/>
  <c r="CA33" i="1"/>
  <c r="AE33" i="1"/>
  <c r="DA32" i="1"/>
  <c r="FH32" i="1"/>
  <c r="CZ40" i="1"/>
  <c r="DW38" i="1"/>
  <c r="EB36" i="1"/>
  <c r="CY36" i="1"/>
  <c r="DX35" i="1"/>
  <c r="DZ34" i="1"/>
  <c r="CS34" i="1"/>
  <c r="AD33" i="1"/>
  <c r="CT32" i="1"/>
  <c r="CV39" i="1"/>
  <c r="DT39" i="1"/>
  <c r="GS36" i="1"/>
  <c r="FH36" i="1"/>
  <c r="FH39" i="1"/>
  <c r="CV38" i="1"/>
  <c r="DT38" i="1"/>
  <c r="DB36" i="1"/>
  <c r="DZ36" i="1"/>
  <c r="DX31" i="1"/>
  <c r="EE40" i="1"/>
  <c r="DL40" i="1"/>
  <c r="EB39" i="1"/>
  <c r="CQ39" i="1"/>
  <c r="CZ37" i="1"/>
  <c r="DX37" i="1"/>
  <c r="DP36" i="1"/>
  <c r="CR36" i="1"/>
  <c r="CV35" i="1"/>
  <c r="DT35" i="1"/>
  <c r="EC32" i="1"/>
  <c r="DJ32" i="1"/>
  <c r="CY31" i="1"/>
  <c r="AE31" i="1"/>
  <c r="AD38" i="1"/>
  <c r="CK38" i="1"/>
  <c r="AE38" i="1"/>
  <c r="DI38" i="1"/>
  <c r="DZ35" i="1"/>
  <c r="DB35" i="1"/>
  <c r="DO34" i="1"/>
  <c r="CQ34" i="1"/>
  <c r="CV33" i="1"/>
  <c r="DT33" i="1"/>
  <c r="CS40" i="1"/>
  <c r="DQ40" i="1"/>
  <c r="DW39" i="1"/>
  <c r="EB38" i="1"/>
  <c r="CA38" i="1"/>
  <c r="DY36" i="1"/>
  <c r="CR33" i="1"/>
  <c r="DX33" i="1"/>
  <c r="CZ33" i="1"/>
  <c r="DQ32" i="1"/>
  <c r="CS32" i="1"/>
  <c r="CK32" i="1"/>
  <c r="DW32" i="1"/>
  <c r="CV40" i="1"/>
  <c r="DX39" i="1"/>
  <c r="DR39" i="1"/>
  <c r="DQ38" i="1"/>
  <c r="DW33" i="1"/>
  <c r="DL33" i="1"/>
  <c r="AE35" i="1"/>
  <c r="CA35" i="1"/>
  <c r="AF35" i="1"/>
  <c r="BC35" i="1"/>
  <c r="DI35" i="1"/>
  <c r="AD35" i="1"/>
  <c r="DW35" i="1"/>
  <c r="CY35" i="1"/>
  <c r="EB35" i="1"/>
  <c r="CK35" i="1"/>
  <c r="DJ34" i="1"/>
  <c r="EC34" i="1"/>
  <c r="CS36" i="1"/>
  <c r="DQ36" i="1"/>
  <c r="DQ35" i="1"/>
  <c r="CS35" i="1"/>
  <c r="DP40" i="1"/>
  <c r="CR40" i="1"/>
  <c r="DB38" i="1"/>
  <c r="DZ38" i="1"/>
  <c r="DO38" i="1"/>
  <c r="CQ38" i="1"/>
  <c r="DY37" i="1"/>
  <c r="DA37" i="1"/>
  <c r="DR37" i="1"/>
  <c r="CT37" i="1"/>
  <c r="CQ37" i="1"/>
  <c r="DO37" i="1"/>
  <c r="CV36" i="1"/>
  <c r="DQ39" i="1"/>
  <c r="CS39" i="1"/>
  <c r="CQ40" i="1"/>
  <c r="DO40" i="1"/>
  <c r="AD40" i="1"/>
  <c r="CY40" i="1"/>
  <c r="EB40" i="1"/>
  <c r="AF40" i="1"/>
  <c r="DI40" i="1"/>
  <c r="DL39" i="1"/>
  <c r="EE39" i="1"/>
  <c r="DQ37" i="1"/>
  <c r="CS37" i="1"/>
  <c r="AE39" i="1"/>
  <c r="CA39" i="1"/>
  <c r="AF39" i="1"/>
  <c r="DI39" i="1"/>
  <c r="AD39" i="1"/>
  <c r="BC39" i="1"/>
  <c r="CK39" i="1"/>
  <c r="CT38" i="1"/>
  <c r="DR38" i="1"/>
  <c r="AE37" i="1"/>
  <c r="CA37" i="1"/>
  <c r="AF37" i="1"/>
  <c r="BC37" i="1"/>
  <c r="DI37" i="1"/>
  <c r="CY37" i="1"/>
  <c r="AD37" i="1"/>
  <c r="DW37" i="1"/>
  <c r="DL36" i="1"/>
  <c r="DO36" i="1"/>
  <c r="CQ36" i="1"/>
  <c r="DP32" i="1"/>
  <c r="CR32" i="1"/>
  <c r="DZ39" i="1"/>
  <c r="DB39" i="1"/>
  <c r="DY34" i="1"/>
  <c r="DA34" i="1"/>
  <c r="CV34" i="1"/>
  <c r="DT34" i="1"/>
  <c r="DL34" i="1"/>
  <c r="EE34" i="1"/>
  <c r="AD34" i="1"/>
  <c r="AE34" i="1"/>
  <c r="CA34" i="1"/>
  <c r="CY34" i="1"/>
  <c r="DW34" i="1"/>
  <c r="EB34" i="1"/>
  <c r="AF34" i="1"/>
  <c r="BC34" i="1"/>
  <c r="CK34" i="1"/>
  <c r="DI34" i="1"/>
  <c r="DY35" i="1"/>
  <c r="DA35" i="1"/>
  <c r="DO35" i="1"/>
  <c r="CQ35" i="1"/>
  <c r="DR33" i="1"/>
  <c r="CT33" i="1"/>
  <c r="CS33" i="1"/>
  <c r="DQ33" i="1"/>
  <c r="DT32" i="1"/>
  <c r="CV32" i="1"/>
  <c r="AD32" i="1"/>
  <c r="CY32" i="1"/>
  <c r="EB32" i="1"/>
  <c r="AE32" i="1"/>
  <c r="CA32" i="1"/>
  <c r="AF32" i="1"/>
  <c r="DI32" i="1"/>
  <c r="BC32" i="1"/>
  <c r="DL38" i="1"/>
  <c r="EN38" i="1"/>
  <c r="DP37" i="1"/>
  <c r="CZ36" i="1"/>
  <c r="CT35" i="1"/>
  <c r="CT34" i="1"/>
  <c r="DR34" i="1"/>
  <c r="CR34" i="1"/>
  <c r="DP34" i="1"/>
  <c r="DJ33" i="1"/>
  <c r="EC33" i="1"/>
  <c r="DZ33" i="1"/>
  <c r="DB33" i="1"/>
  <c r="DX32" i="1"/>
  <c r="CZ32" i="1"/>
  <c r="EB31" i="1"/>
  <c r="CK31" i="1"/>
  <c r="AF31" i="1"/>
  <c r="CV31" i="1"/>
  <c r="AD31" i="1"/>
  <c r="DW31" i="1"/>
  <c r="CA31" i="1"/>
  <c r="DI31" i="1"/>
  <c r="EE31" i="1"/>
  <c r="CR31" i="1"/>
  <c r="DP31" i="1"/>
  <c r="DO31" i="1"/>
  <c r="CQ31" i="1"/>
  <c r="DZ31" i="1"/>
  <c r="DR31" i="1"/>
  <c r="DA31" i="1"/>
  <c r="CS31" i="1"/>
  <c r="DJ31" i="1"/>
  <c r="EK129" i="1"/>
  <c r="EI129" i="1"/>
  <c r="EJ129" i="1"/>
  <c r="EI123" i="1"/>
  <c r="EJ123" i="1"/>
  <c r="EK123" i="1"/>
  <c r="EL121" i="1"/>
  <c r="EM121" i="1"/>
  <c r="FP127" i="1"/>
  <c r="FQ127" i="1"/>
  <c r="EI128" i="1"/>
  <c r="EJ128" i="1"/>
  <c r="EK128" i="1"/>
  <c r="EN55" i="1"/>
  <c r="EI120" i="1"/>
  <c r="EJ120" i="1"/>
  <c r="EK120" i="1"/>
  <c r="EM124" i="1"/>
  <c r="EL124" i="1"/>
  <c r="FH82" i="1"/>
  <c r="EL125" i="1"/>
  <c r="EM125" i="1"/>
  <c r="EL130" i="1"/>
  <c r="EM130" i="1"/>
  <c r="EI121" i="1"/>
  <c r="EJ121" i="1"/>
  <c r="EK121" i="1"/>
  <c r="FP122" i="1"/>
  <c r="FQ122" i="1"/>
  <c r="EI122" i="1"/>
  <c r="EJ122" i="1"/>
  <c r="EK122" i="1"/>
  <c r="EL119" i="1"/>
  <c r="EM119" i="1"/>
  <c r="EM123" i="1"/>
  <c r="EL123" i="1"/>
  <c r="EI125" i="1"/>
  <c r="EJ125" i="1"/>
  <c r="EK125" i="1"/>
  <c r="EL128" i="1"/>
  <c r="EM128" i="1"/>
  <c r="EK130" i="1"/>
  <c r="EI130" i="1"/>
  <c r="EJ130" i="1"/>
  <c r="FP120" i="1"/>
  <c r="FQ120" i="1"/>
  <c r="EK119" i="1"/>
  <c r="EI119" i="1"/>
  <c r="EJ119" i="1"/>
  <c r="GS87" i="1"/>
  <c r="EM129" i="1"/>
  <c r="EL129" i="1"/>
  <c r="EI124" i="1"/>
  <c r="EJ124" i="1"/>
  <c r="EK124" i="1"/>
  <c r="EI126" i="1"/>
  <c r="EJ126" i="1"/>
  <c r="EK126" i="1"/>
  <c r="GK127" i="1"/>
  <c r="GW127" i="1"/>
  <c r="GF127" i="1"/>
  <c r="GR127" i="1"/>
  <c r="EY127" i="1"/>
  <c r="FK127" i="1"/>
  <c r="EZ127" i="1"/>
  <c r="FL127" i="1"/>
  <c r="GE127" i="1"/>
  <c r="GQ127" i="1"/>
  <c r="GH127" i="1"/>
  <c r="GT127" i="1"/>
  <c r="GM127" i="1"/>
  <c r="GY127" i="1"/>
  <c r="GG127" i="1"/>
  <c r="FA127" i="1"/>
  <c r="FM127" i="1"/>
  <c r="GJ127" i="1"/>
  <c r="GV127" i="1"/>
  <c r="FB127" i="1"/>
  <c r="FN127" i="1"/>
  <c r="ER127" i="1"/>
  <c r="FD127" i="1"/>
  <c r="EU127" i="1"/>
  <c r="FG127" i="1"/>
  <c r="EX127" i="1"/>
  <c r="FJ127" i="1"/>
  <c r="EV127" i="1"/>
  <c r="ET127" i="1"/>
  <c r="FF127" i="1"/>
  <c r="ES127" i="1"/>
  <c r="FE127" i="1"/>
  <c r="EW127" i="1"/>
  <c r="FI127" i="1"/>
  <c r="GD127" i="1"/>
  <c r="GP127" i="1"/>
  <c r="GI127" i="1"/>
  <c r="GU127" i="1"/>
  <c r="GL127" i="1"/>
  <c r="GX127" i="1"/>
  <c r="GC127" i="1"/>
  <c r="GO127" i="1"/>
  <c r="EM126" i="1"/>
  <c r="EL126" i="1"/>
  <c r="GS65" i="1"/>
  <c r="FH65" i="1"/>
  <c r="FH107" i="1"/>
  <c r="GS107" i="1"/>
  <c r="FH95" i="1"/>
  <c r="FH44" i="1"/>
  <c r="GS48" i="1"/>
  <c r="GS70" i="1"/>
  <c r="FH98" i="1"/>
  <c r="FH118" i="1"/>
  <c r="EN90" i="1"/>
  <c r="FH52" i="1"/>
  <c r="EN83" i="1"/>
  <c r="GS73" i="1"/>
  <c r="EN74" i="1"/>
  <c r="EN48" i="1"/>
  <c r="EN91" i="1"/>
  <c r="AH38" i="1"/>
  <c r="GS117" i="1"/>
  <c r="EN52" i="1"/>
  <c r="FH89" i="1"/>
  <c r="FH109" i="1"/>
  <c r="EN109" i="1"/>
  <c r="GS32" i="1"/>
  <c r="GS60" i="1"/>
  <c r="GS76" i="1"/>
  <c r="GS93" i="1"/>
  <c r="EN73" i="1"/>
  <c r="GS91" i="1"/>
  <c r="EN60" i="1"/>
  <c r="FH67" i="1"/>
  <c r="FH106" i="1"/>
  <c r="GS106" i="1"/>
  <c r="GS112" i="1"/>
  <c r="FH112" i="1"/>
  <c r="FH58" i="1"/>
  <c r="EN81" i="1"/>
  <c r="EN98" i="1"/>
  <c r="EN112" i="1"/>
  <c r="EN108" i="1"/>
  <c r="AH110" i="1"/>
  <c r="GS72" i="1"/>
  <c r="GS101" i="1"/>
  <c r="FH40" i="1"/>
  <c r="GS33" i="1"/>
  <c r="FH43" i="1"/>
  <c r="EN84" i="1"/>
  <c r="GS80" i="1"/>
  <c r="GS103" i="1"/>
  <c r="FH103" i="1"/>
  <c r="FH53" i="1"/>
  <c r="GS53" i="1"/>
  <c r="EN102" i="1"/>
  <c r="FH47" i="1"/>
  <c r="GS47" i="1"/>
  <c r="EN45" i="1"/>
  <c r="EN104" i="1"/>
  <c r="EN61" i="1"/>
  <c r="EN105" i="1"/>
  <c r="EN115" i="1"/>
  <c r="EN85" i="1"/>
  <c r="GS102" i="1"/>
  <c r="FH42" i="1"/>
  <c r="GS42" i="1"/>
  <c r="FH51" i="1"/>
  <c r="FH57" i="1"/>
  <c r="EN64" i="1"/>
  <c r="FH71" i="1"/>
  <c r="GS84" i="1"/>
  <c r="FH84" i="1"/>
  <c r="FH99" i="1"/>
  <c r="GS99" i="1"/>
  <c r="FH85" i="1"/>
  <c r="GS85" i="1"/>
  <c r="GS68" i="1"/>
  <c r="GS96" i="1"/>
  <c r="FH96" i="1"/>
  <c r="EN101" i="1"/>
  <c r="FH88" i="1"/>
  <c r="GS88" i="1"/>
  <c r="EN79" i="1"/>
  <c r="EN118" i="1"/>
  <c r="AN110" i="1"/>
  <c r="AO110" i="1"/>
  <c r="AP110" i="1"/>
  <c r="EN114" i="1"/>
  <c r="FH111" i="1"/>
  <c r="GS111" i="1"/>
  <c r="EN110" i="1"/>
  <c r="EN116" i="1"/>
  <c r="EN111" i="1"/>
  <c r="FH114" i="1"/>
  <c r="GS114" i="1"/>
  <c r="EN113" i="1"/>
  <c r="FH113" i="1"/>
  <c r="GS113" i="1"/>
  <c r="FH116" i="1"/>
  <c r="GS116" i="1"/>
  <c r="FH100" i="1"/>
  <c r="GS100" i="1"/>
  <c r="GS92" i="1"/>
  <c r="FH92" i="1"/>
  <c r="EN103" i="1"/>
  <c r="EN92" i="1"/>
  <c r="EN99" i="1"/>
  <c r="EN94" i="1"/>
  <c r="FH104" i="1"/>
  <c r="GS104" i="1"/>
  <c r="EN107" i="1"/>
  <c r="EN97" i="1"/>
  <c r="EN93" i="1"/>
  <c r="EN106" i="1"/>
  <c r="EN82" i="1"/>
  <c r="EN89" i="1"/>
  <c r="EN87" i="1"/>
  <c r="FH86" i="1"/>
  <c r="GS86" i="1"/>
  <c r="EN80" i="1"/>
  <c r="EN76" i="1"/>
  <c r="EN72" i="1"/>
  <c r="FH78" i="1"/>
  <c r="GS78" i="1"/>
  <c r="EN71" i="1"/>
  <c r="EN77" i="1"/>
  <c r="FH75" i="1"/>
  <c r="GS75" i="1"/>
  <c r="FH81" i="1"/>
  <c r="GS81" i="1"/>
  <c r="EN44" i="1"/>
  <c r="EN59" i="1"/>
  <c r="EN63" i="1"/>
  <c r="EN49" i="1"/>
  <c r="FH50" i="1"/>
  <c r="GS50" i="1"/>
  <c r="EN53" i="1"/>
  <c r="EN58" i="1"/>
  <c r="EN69" i="1"/>
  <c r="EN62" i="1"/>
  <c r="FH69" i="1"/>
  <c r="GS69" i="1"/>
  <c r="EN43" i="1"/>
  <c r="EN50" i="1"/>
  <c r="FH63" i="1"/>
  <c r="GS63" i="1"/>
  <c r="EN42" i="1"/>
  <c r="EN46" i="1"/>
  <c r="FH49" i="1"/>
  <c r="GS49" i="1"/>
  <c r="FH56" i="1"/>
  <c r="GS56" i="1"/>
  <c r="EN56" i="1"/>
  <c r="FH66" i="1"/>
  <c r="GS66" i="1"/>
  <c r="FH41" i="1"/>
  <c r="GS41" i="1"/>
  <c r="EN41" i="1"/>
  <c r="AH32" i="1"/>
  <c r="AL32" i="1"/>
  <c r="EN40" i="1"/>
  <c r="EN32" i="1"/>
  <c r="AO32" i="1"/>
  <c r="AP32" i="1"/>
  <c r="AN32" i="1"/>
  <c r="FH34" i="1"/>
  <c r="GS34" i="1"/>
  <c r="EN36" i="1"/>
  <c r="EN35" i="1"/>
  <c r="EN34" i="1"/>
  <c r="FH35" i="1"/>
  <c r="GS35" i="1"/>
  <c r="EN39" i="1"/>
  <c r="EN37" i="1"/>
  <c r="FH37" i="1"/>
  <c r="GS37" i="1"/>
  <c r="AN38" i="1"/>
  <c r="AP38" i="1"/>
  <c r="AO38" i="1"/>
  <c r="EN33" i="1"/>
  <c r="FH31" i="1"/>
  <c r="GS31" i="1"/>
  <c r="EN31" i="1"/>
  <c r="ER122" i="1"/>
  <c r="FD122" i="1"/>
  <c r="GC122" i="1"/>
  <c r="GO122" i="1"/>
  <c r="GD122" i="1"/>
  <c r="GP122" i="1"/>
  <c r="GL122" i="1"/>
  <c r="GX122" i="1"/>
  <c r="FA122" i="1"/>
  <c r="FM122" i="1"/>
  <c r="ET122" i="1"/>
  <c r="FF122" i="1"/>
  <c r="ES122" i="1"/>
  <c r="FE122" i="1"/>
  <c r="GG122" i="1"/>
  <c r="GM122" i="1"/>
  <c r="GY122" i="1"/>
  <c r="EX122" i="1"/>
  <c r="FJ122" i="1"/>
  <c r="GF122" i="1"/>
  <c r="GR122" i="1"/>
  <c r="EW122" i="1"/>
  <c r="FI122" i="1"/>
  <c r="EY122" i="1"/>
  <c r="FK122" i="1"/>
  <c r="GK122" i="1"/>
  <c r="GW122" i="1"/>
  <c r="EV122" i="1"/>
  <c r="FB122" i="1"/>
  <c r="FN122" i="1"/>
  <c r="GE122" i="1"/>
  <c r="GQ122" i="1"/>
  <c r="EU122" i="1"/>
  <c r="FG122" i="1"/>
  <c r="GI122" i="1"/>
  <c r="GU122" i="1"/>
  <c r="GH122" i="1"/>
  <c r="GT122" i="1"/>
  <c r="GJ122" i="1"/>
  <c r="GV122" i="1"/>
  <c r="EZ122" i="1"/>
  <c r="FL122" i="1"/>
  <c r="GD121" i="1"/>
  <c r="GP121" i="1"/>
  <c r="GM121" i="1"/>
  <c r="GY121" i="1"/>
  <c r="FA121" i="1"/>
  <c r="FM121" i="1"/>
  <c r="GF121" i="1"/>
  <c r="GR121" i="1"/>
  <c r="EW121" i="1"/>
  <c r="FI121" i="1"/>
  <c r="EV121" i="1"/>
  <c r="GG121" i="1"/>
  <c r="GI121" i="1"/>
  <c r="GU121" i="1"/>
  <c r="EZ121" i="1"/>
  <c r="FL121" i="1"/>
  <c r="ER121" i="1"/>
  <c r="FD121" i="1"/>
  <c r="GJ121" i="1"/>
  <c r="GV121" i="1"/>
  <c r="FB121" i="1"/>
  <c r="FN121" i="1"/>
  <c r="GC121" i="1"/>
  <c r="GO121" i="1"/>
  <c r="GK121" i="1"/>
  <c r="GW121" i="1"/>
  <c r="EX121" i="1"/>
  <c r="FJ121" i="1"/>
  <c r="ET121" i="1"/>
  <c r="FF121" i="1"/>
  <c r="EU121" i="1"/>
  <c r="FG121" i="1"/>
  <c r="GL121" i="1"/>
  <c r="GX121" i="1"/>
  <c r="GH121" i="1"/>
  <c r="GT121" i="1"/>
  <c r="EY121" i="1"/>
  <c r="FK121" i="1"/>
  <c r="ES121" i="1"/>
  <c r="FE121" i="1"/>
  <c r="GE121" i="1"/>
  <c r="GQ121" i="1"/>
  <c r="EW126" i="1"/>
  <c r="FI126" i="1"/>
  <c r="ES126" i="1"/>
  <c r="FE126" i="1"/>
  <c r="GJ126" i="1"/>
  <c r="GV126" i="1"/>
  <c r="ET126" i="1"/>
  <c r="FF126" i="1"/>
  <c r="GF126" i="1"/>
  <c r="GR126" i="1"/>
  <c r="GG126" i="1"/>
  <c r="GH126" i="1"/>
  <c r="GT126" i="1"/>
  <c r="GL126" i="1"/>
  <c r="GX126" i="1"/>
  <c r="GC126" i="1"/>
  <c r="GO126" i="1"/>
  <c r="GI126" i="1"/>
  <c r="GU126" i="1"/>
  <c r="EX126" i="1"/>
  <c r="FJ126" i="1"/>
  <c r="EU126" i="1"/>
  <c r="FG126" i="1"/>
  <c r="GE126" i="1"/>
  <c r="GQ126" i="1"/>
  <c r="EZ126" i="1"/>
  <c r="FL126" i="1"/>
  <c r="GK126" i="1"/>
  <c r="GW126" i="1"/>
  <c r="GM126" i="1"/>
  <c r="GY126" i="1"/>
  <c r="EY126" i="1"/>
  <c r="FK126" i="1"/>
  <c r="EV126" i="1"/>
  <c r="GD126" i="1"/>
  <c r="GP126" i="1"/>
  <c r="FA126" i="1"/>
  <c r="FM126" i="1"/>
  <c r="ER126" i="1"/>
  <c r="FD126" i="1"/>
  <c r="FB126" i="1"/>
  <c r="FN126" i="1"/>
  <c r="GL130" i="1"/>
  <c r="GX130" i="1"/>
  <c r="GI130" i="1"/>
  <c r="GU130" i="1"/>
  <c r="EZ130" i="1"/>
  <c r="FL130" i="1"/>
  <c r="GC130" i="1"/>
  <c r="GO130" i="1"/>
  <c r="EX130" i="1"/>
  <c r="FJ130" i="1"/>
  <c r="EW130" i="1"/>
  <c r="FI130" i="1"/>
  <c r="EU130" i="1"/>
  <c r="FG130" i="1"/>
  <c r="GH130" i="1"/>
  <c r="GT130" i="1"/>
  <c r="FA130" i="1"/>
  <c r="FM130" i="1"/>
  <c r="GM130" i="1"/>
  <c r="GY130" i="1"/>
  <c r="ET130" i="1"/>
  <c r="FF130" i="1"/>
  <c r="GD130" i="1"/>
  <c r="GP130" i="1"/>
  <c r="GJ130" i="1"/>
  <c r="GV130" i="1"/>
  <c r="ES130" i="1"/>
  <c r="FE130" i="1"/>
  <c r="GK130" i="1"/>
  <c r="GW130" i="1"/>
  <c r="ER130" i="1"/>
  <c r="FD130" i="1"/>
  <c r="FB130" i="1"/>
  <c r="FN130" i="1"/>
  <c r="EV130" i="1"/>
  <c r="GF130" i="1"/>
  <c r="GR130" i="1"/>
  <c r="GG130" i="1"/>
  <c r="GE130" i="1"/>
  <c r="GQ130" i="1"/>
  <c r="EY130" i="1"/>
  <c r="FK130" i="1"/>
  <c r="FV127" i="1"/>
  <c r="FW127" i="1"/>
  <c r="FP128" i="1"/>
  <c r="FQ128" i="1"/>
  <c r="FP130" i="1"/>
  <c r="FQ130" i="1"/>
  <c r="FP121" i="1"/>
  <c r="FQ121" i="1"/>
  <c r="EY124" i="1"/>
  <c r="FK124" i="1"/>
  <c r="EW124" i="1"/>
  <c r="FI124" i="1"/>
  <c r="GE124" i="1"/>
  <c r="GQ124" i="1"/>
  <c r="GL124" i="1"/>
  <c r="GX124" i="1"/>
  <c r="FB124" i="1"/>
  <c r="FN124" i="1"/>
  <c r="GI124" i="1"/>
  <c r="GU124" i="1"/>
  <c r="GK124" i="1"/>
  <c r="GW124" i="1"/>
  <c r="GM124" i="1"/>
  <c r="GY124" i="1"/>
  <c r="ES124" i="1"/>
  <c r="FE124" i="1"/>
  <c r="GF124" i="1"/>
  <c r="GR124" i="1"/>
  <c r="ER124" i="1"/>
  <c r="FD124" i="1"/>
  <c r="EX124" i="1"/>
  <c r="FJ124" i="1"/>
  <c r="GG124" i="1"/>
  <c r="ET124" i="1"/>
  <c r="FF124" i="1"/>
  <c r="GH124" i="1"/>
  <c r="GT124" i="1"/>
  <c r="GJ124" i="1"/>
  <c r="GV124" i="1"/>
  <c r="GC124" i="1"/>
  <c r="GO124" i="1"/>
  <c r="GD124" i="1"/>
  <c r="GP124" i="1"/>
  <c r="EZ124" i="1"/>
  <c r="FL124" i="1"/>
  <c r="EU124" i="1"/>
  <c r="FG124" i="1"/>
  <c r="FA124" i="1"/>
  <c r="FM124" i="1"/>
  <c r="EV124" i="1"/>
  <c r="FV120" i="1"/>
  <c r="FW120" i="1"/>
  <c r="FW122" i="1"/>
  <c r="FV122" i="1"/>
  <c r="FQ125" i="1"/>
  <c r="FP125" i="1"/>
  <c r="FP123" i="1"/>
  <c r="FQ123" i="1"/>
  <c r="FP124" i="1"/>
  <c r="FQ124" i="1"/>
  <c r="ES120" i="1"/>
  <c r="FE120" i="1"/>
  <c r="GL120" i="1"/>
  <c r="GX120" i="1"/>
  <c r="GM120" i="1"/>
  <c r="GY120" i="1"/>
  <c r="GG120" i="1"/>
  <c r="EZ120" i="1"/>
  <c r="FL120" i="1"/>
  <c r="ER120" i="1"/>
  <c r="FD120" i="1"/>
  <c r="GE120" i="1"/>
  <c r="GQ120" i="1"/>
  <c r="EU120" i="1"/>
  <c r="FG120" i="1"/>
  <c r="GF120" i="1"/>
  <c r="GR120" i="1"/>
  <c r="GK120" i="1"/>
  <c r="GW120" i="1"/>
  <c r="ET120" i="1"/>
  <c r="FF120" i="1"/>
  <c r="EV120" i="1"/>
  <c r="EX120" i="1"/>
  <c r="FJ120" i="1"/>
  <c r="GD120" i="1"/>
  <c r="GP120" i="1"/>
  <c r="GH120" i="1"/>
  <c r="GT120" i="1"/>
  <c r="GI120" i="1"/>
  <c r="GU120" i="1"/>
  <c r="EY120" i="1"/>
  <c r="FK120" i="1"/>
  <c r="EW120" i="1"/>
  <c r="FI120" i="1"/>
  <c r="FA120" i="1"/>
  <c r="FM120" i="1"/>
  <c r="GJ120" i="1"/>
  <c r="GV120" i="1"/>
  <c r="FB120" i="1"/>
  <c r="FN120" i="1"/>
  <c r="GC120" i="1"/>
  <c r="GO120" i="1"/>
  <c r="GE129" i="1"/>
  <c r="GQ129" i="1"/>
  <c r="EW129" i="1"/>
  <c r="FI129" i="1"/>
  <c r="GG129" i="1"/>
  <c r="GJ129" i="1"/>
  <c r="GV129" i="1"/>
  <c r="GD129" i="1"/>
  <c r="GP129" i="1"/>
  <c r="GL129" i="1"/>
  <c r="GX129" i="1"/>
  <c r="ER129" i="1"/>
  <c r="FD129" i="1"/>
  <c r="EU129" i="1"/>
  <c r="FG129" i="1"/>
  <c r="ES129" i="1"/>
  <c r="FE129" i="1"/>
  <c r="GF129" i="1"/>
  <c r="GR129" i="1"/>
  <c r="EX129" i="1"/>
  <c r="FJ129" i="1"/>
  <c r="GI129" i="1"/>
  <c r="GU129" i="1"/>
  <c r="EV129" i="1"/>
  <c r="GK129" i="1"/>
  <c r="GW129" i="1"/>
  <c r="GC129" i="1"/>
  <c r="GO129" i="1"/>
  <c r="GH129" i="1"/>
  <c r="GT129" i="1"/>
  <c r="EY129" i="1"/>
  <c r="FK129" i="1"/>
  <c r="EZ129" i="1"/>
  <c r="FL129" i="1"/>
  <c r="GM129" i="1"/>
  <c r="GY129" i="1"/>
  <c r="FA129" i="1"/>
  <c r="FM129" i="1"/>
  <c r="ET129" i="1"/>
  <c r="FF129" i="1"/>
  <c r="FB129" i="1"/>
  <c r="FN129" i="1"/>
  <c r="HA127" i="1"/>
  <c r="HD127" i="1"/>
  <c r="HJ127" i="1"/>
  <c r="HB127" i="1"/>
  <c r="HC127" i="1"/>
  <c r="HI127" i="1"/>
  <c r="HE127" i="1"/>
  <c r="HK127" i="1"/>
  <c r="GH128" i="1"/>
  <c r="GT128" i="1"/>
  <c r="GJ128" i="1"/>
  <c r="GV128" i="1"/>
  <c r="GE128" i="1"/>
  <c r="GQ128" i="1"/>
  <c r="ER128" i="1"/>
  <c r="FD128" i="1"/>
  <c r="GI128" i="1"/>
  <c r="GU128" i="1"/>
  <c r="GL128" i="1"/>
  <c r="GX128" i="1"/>
  <c r="FA128" i="1"/>
  <c r="FM128" i="1"/>
  <c r="GM128" i="1"/>
  <c r="GY128" i="1"/>
  <c r="EV128" i="1"/>
  <c r="EW128" i="1"/>
  <c r="FI128" i="1"/>
  <c r="EX128" i="1"/>
  <c r="FJ128" i="1"/>
  <c r="EZ128" i="1"/>
  <c r="FL128" i="1"/>
  <c r="FB128" i="1"/>
  <c r="FN128" i="1"/>
  <c r="GD128" i="1"/>
  <c r="GP128" i="1"/>
  <c r="GC128" i="1"/>
  <c r="GO128" i="1"/>
  <c r="GK128" i="1"/>
  <c r="GW128" i="1"/>
  <c r="EU128" i="1"/>
  <c r="FG128" i="1"/>
  <c r="ES128" i="1"/>
  <c r="FE128" i="1"/>
  <c r="EY128" i="1"/>
  <c r="FK128" i="1"/>
  <c r="ET128" i="1"/>
  <c r="FF128" i="1"/>
  <c r="GF128" i="1"/>
  <c r="GR128" i="1"/>
  <c r="GG128" i="1"/>
  <c r="EY125" i="1"/>
  <c r="FK125" i="1"/>
  <c r="ER125" i="1"/>
  <c r="FD125" i="1"/>
  <c r="GL125" i="1"/>
  <c r="GX125" i="1"/>
  <c r="GI125" i="1"/>
  <c r="GU125" i="1"/>
  <c r="EZ125" i="1"/>
  <c r="FL125" i="1"/>
  <c r="ES125" i="1"/>
  <c r="FE125" i="1"/>
  <c r="GJ125" i="1"/>
  <c r="GV125" i="1"/>
  <c r="EW125" i="1"/>
  <c r="FI125" i="1"/>
  <c r="EX125" i="1"/>
  <c r="FJ125" i="1"/>
  <c r="GM125" i="1"/>
  <c r="GY125" i="1"/>
  <c r="GC125" i="1"/>
  <c r="GO125" i="1"/>
  <c r="GD125" i="1"/>
  <c r="GP125" i="1"/>
  <c r="GE125" i="1"/>
  <c r="GQ125" i="1"/>
  <c r="GK125" i="1"/>
  <c r="GW125" i="1"/>
  <c r="EV125" i="1"/>
  <c r="ET125" i="1"/>
  <c r="FF125" i="1"/>
  <c r="FA125" i="1"/>
  <c r="FM125" i="1"/>
  <c r="GF125" i="1"/>
  <c r="GR125" i="1"/>
  <c r="GH125" i="1"/>
  <c r="GT125" i="1"/>
  <c r="FB125" i="1"/>
  <c r="FN125" i="1"/>
  <c r="GG125" i="1"/>
  <c r="EU125" i="1"/>
  <c r="FG125" i="1"/>
  <c r="GK123" i="1"/>
  <c r="GW123" i="1"/>
  <c r="GJ123" i="1"/>
  <c r="GV123" i="1"/>
  <c r="ES123" i="1"/>
  <c r="FE123" i="1"/>
  <c r="ET123" i="1"/>
  <c r="FF123" i="1"/>
  <c r="FA123" i="1"/>
  <c r="FM123" i="1"/>
  <c r="GL123" i="1"/>
  <c r="GX123" i="1"/>
  <c r="GF123" i="1"/>
  <c r="GR123" i="1"/>
  <c r="GG123" i="1"/>
  <c r="GM123" i="1"/>
  <c r="GY123" i="1"/>
  <c r="GC123" i="1"/>
  <c r="GO123" i="1"/>
  <c r="EY123" i="1"/>
  <c r="FK123" i="1"/>
  <c r="GH123" i="1"/>
  <c r="GT123" i="1"/>
  <c r="FB123" i="1"/>
  <c r="FN123" i="1"/>
  <c r="EV123" i="1"/>
  <c r="GI123" i="1"/>
  <c r="GU123" i="1"/>
  <c r="GE123" i="1"/>
  <c r="GQ123" i="1"/>
  <c r="EX123" i="1"/>
  <c r="FJ123" i="1"/>
  <c r="GD123" i="1"/>
  <c r="GP123" i="1"/>
  <c r="EU123" i="1"/>
  <c r="FG123" i="1"/>
  <c r="ER123" i="1"/>
  <c r="FD123" i="1"/>
  <c r="EW123" i="1"/>
  <c r="FI123" i="1"/>
  <c r="EZ123" i="1"/>
  <c r="FL123" i="1"/>
  <c r="FQ129" i="1"/>
  <c r="FP129" i="1"/>
  <c r="FQ126" i="1"/>
  <c r="FP126" i="1"/>
  <c r="EU119" i="1"/>
  <c r="FG119" i="1"/>
  <c r="EW119" i="1"/>
  <c r="FI119" i="1"/>
  <c r="GJ119" i="1"/>
  <c r="GV119" i="1"/>
  <c r="FA119" i="1"/>
  <c r="FM119" i="1"/>
  <c r="GF119" i="1"/>
  <c r="GR119" i="1"/>
  <c r="EV119" i="1"/>
  <c r="GM119" i="1"/>
  <c r="GY119" i="1"/>
  <c r="EY119" i="1"/>
  <c r="FK119" i="1"/>
  <c r="GL119" i="1"/>
  <c r="GX119" i="1"/>
  <c r="ET119" i="1"/>
  <c r="FF119" i="1"/>
  <c r="GD119" i="1"/>
  <c r="GP119" i="1"/>
  <c r="GI119" i="1"/>
  <c r="GU119" i="1"/>
  <c r="EX119" i="1"/>
  <c r="FJ119" i="1"/>
  <c r="GE119" i="1"/>
  <c r="GQ119" i="1"/>
  <c r="FB119" i="1"/>
  <c r="FN119" i="1"/>
  <c r="ER119" i="1"/>
  <c r="FD119" i="1"/>
  <c r="EZ119" i="1"/>
  <c r="FL119" i="1"/>
  <c r="GC119" i="1"/>
  <c r="GO119" i="1"/>
  <c r="ES119" i="1"/>
  <c r="FE119" i="1"/>
  <c r="GG119" i="1"/>
  <c r="GH119" i="1"/>
  <c r="GT119" i="1"/>
  <c r="GK119" i="1"/>
  <c r="GW119" i="1"/>
  <c r="FP119" i="1"/>
  <c r="FQ119" i="1"/>
  <c r="AT32" i="1"/>
  <c r="AS32" i="1"/>
  <c r="AT38" i="1"/>
  <c r="AS38" i="1"/>
  <c r="AT110" i="1"/>
  <c r="AS110" i="1"/>
  <c r="HD120" i="1"/>
  <c r="HJ120" i="1"/>
  <c r="HC120" i="1"/>
  <c r="HI120" i="1"/>
  <c r="HB120" i="1"/>
  <c r="HE120" i="1"/>
  <c r="HK120" i="1"/>
  <c r="HA120" i="1"/>
  <c r="HC128" i="1"/>
  <c r="HI128" i="1"/>
  <c r="HB128" i="1"/>
  <c r="HE128" i="1"/>
  <c r="HK128" i="1"/>
  <c r="HD128" i="1"/>
  <c r="HJ128" i="1"/>
  <c r="HA128" i="1"/>
  <c r="HA124" i="1"/>
  <c r="HC124" i="1"/>
  <c r="HI124" i="1"/>
  <c r="HE124" i="1"/>
  <c r="HK124" i="1"/>
  <c r="HD124" i="1"/>
  <c r="HJ124" i="1"/>
  <c r="HB124" i="1"/>
  <c r="HC126" i="1"/>
  <c r="HI126" i="1"/>
  <c r="HD126" i="1"/>
  <c r="HJ126" i="1"/>
  <c r="HE126" i="1"/>
  <c r="HK126" i="1"/>
  <c r="HA126" i="1"/>
  <c r="HB126" i="1"/>
  <c r="HB129" i="1"/>
  <c r="HA129" i="1"/>
  <c r="HD129" i="1"/>
  <c r="HJ129" i="1"/>
  <c r="HE129" i="1"/>
  <c r="HK129" i="1"/>
  <c r="HC129" i="1"/>
  <c r="HI129" i="1"/>
  <c r="FW126" i="1"/>
  <c r="FV126" i="1"/>
  <c r="HB119" i="1"/>
  <c r="HC119" i="1"/>
  <c r="HI119" i="1"/>
  <c r="HE119" i="1"/>
  <c r="HK119" i="1"/>
  <c r="HD119" i="1"/>
  <c r="HJ119" i="1"/>
  <c r="HA119" i="1"/>
  <c r="FW124" i="1"/>
  <c r="FV124" i="1"/>
  <c r="FV121" i="1"/>
  <c r="FW121" i="1"/>
  <c r="HD123" i="1"/>
  <c r="HJ123" i="1"/>
  <c r="HA123" i="1"/>
  <c r="HC123" i="1"/>
  <c r="HI123" i="1"/>
  <c r="HB123" i="1"/>
  <c r="HE123" i="1"/>
  <c r="HK123" i="1"/>
  <c r="HG127" i="1"/>
  <c r="HH127" i="1"/>
  <c r="FV123" i="1"/>
  <c r="FW123" i="1"/>
  <c r="FW130" i="1"/>
  <c r="FV130" i="1"/>
  <c r="HC121" i="1"/>
  <c r="HI121" i="1"/>
  <c r="HE121" i="1"/>
  <c r="HK121" i="1"/>
  <c r="HA121" i="1"/>
  <c r="HB121" i="1"/>
  <c r="HD121" i="1"/>
  <c r="HJ121" i="1"/>
  <c r="FV129" i="1"/>
  <c r="FW129" i="1"/>
  <c r="HA125" i="1"/>
  <c r="HB125" i="1"/>
  <c r="HC125" i="1"/>
  <c r="HI125" i="1"/>
  <c r="HD125" i="1"/>
  <c r="HJ125" i="1"/>
  <c r="HE125" i="1"/>
  <c r="HK125" i="1"/>
  <c r="HA130" i="1"/>
  <c r="HC130" i="1"/>
  <c r="HI130" i="1"/>
  <c r="HD130" i="1"/>
  <c r="HJ130" i="1"/>
  <c r="HE130" i="1"/>
  <c r="HK130" i="1"/>
  <c r="HB130" i="1"/>
  <c r="FW119" i="1"/>
  <c r="FV119" i="1"/>
  <c r="FW125" i="1"/>
  <c r="FV125" i="1"/>
  <c r="FV128" i="1"/>
  <c r="FW128" i="1"/>
  <c r="HB122" i="1"/>
  <c r="HA122" i="1"/>
  <c r="HD122" i="1"/>
  <c r="HJ122" i="1"/>
  <c r="HC122" i="1"/>
  <c r="HI122" i="1"/>
  <c r="HE122" i="1"/>
  <c r="HK122" i="1"/>
  <c r="AD29" i="1"/>
  <c r="AE29" i="1"/>
  <c r="AF29" i="1"/>
  <c r="BC29" i="1"/>
  <c r="BS29" i="1"/>
  <c r="DO29" i="1"/>
  <c r="BT29" i="1"/>
  <c r="BU29" i="1"/>
  <c r="BV29" i="1"/>
  <c r="CT29" i="1"/>
  <c r="BX29" i="1"/>
  <c r="CA29" i="1"/>
  <c r="CB29" i="1"/>
  <c r="CC29" i="1"/>
  <c r="DA29" i="1"/>
  <c r="CD29" i="1"/>
  <c r="DB29" i="1"/>
  <c r="CF29" i="1"/>
  <c r="DD29" i="1"/>
  <c r="CG29" i="1"/>
  <c r="DE29" i="1"/>
  <c r="CI29" i="1"/>
  <c r="DG29" i="1"/>
  <c r="CJ29" i="1"/>
  <c r="DH29" i="1"/>
  <c r="CK29" i="1"/>
  <c r="CL29" i="1"/>
  <c r="DJ29" i="1"/>
  <c r="CN29" i="1"/>
  <c r="CY29" i="1"/>
  <c r="DI29" i="1"/>
  <c r="DW29" i="1"/>
  <c r="EB29" i="1"/>
  <c r="EB28" i="1"/>
  <c r="DW28" i="1"/>
  <c r="DI28" i="1"/>
  <c r="CY28" i="1"/>
  <c r="CN28" i="1"/>
  <c r="CL28" i="1"/>
  <c r="EC28" i="1"/>
  <c r="CK28" i="1"/>
  <c r="CJ28" i="1"/>
  <c r="DH28" i="1"/>
  <c r="CI28" i="1"/>
  <c r="DG28" i="1"/>
  <c r="CG28" i="1"/>
  <c r="DE28" i="1"/>
  <c r="CF28" i="1"/>
  <c r="DD28" i="1"/>
  <c r="CD28" i="1"/>
  <c r="DZ28" i="1"/>
  <c r="CC28" i="1"/>
  <c r="DY28" i="1"/>
  <c r="CB28" i="1"/>
  <c r="CA28" i="1"/>
  <c r="BX28" i="1"/>
  <c r="BV28" i="1"/>
  <c r="CT28" i="1"/>
  <c r="BU28" i="1"/>
  <c r="DQ28" i="1"/>
  <c r="BT28" i="1"/>
  <c r="BS28" i="1"/>
  <c r="CQ28" i="1"/>
  <c r="BC28" i="1"/>
  <c r="AF28" i="1"/>
  <c r="AE28" i="1"/>
  <c r="AD28" i="1"/>
  <c r="HH122" i="1"/>
  <c r="HG122" i="1"/>
  <c r="HH128" i="1"/>
  <c r="HG128" i="1"/>
  <c r="HH119" i="1"/>
  <c r="HG119" i="1"/>
  <c r="HH125" i="1"/>
  <c r="HG125" i="1"/>
  <c r="HG124" i="1"/>
  <c r="HH124" i="1"/>
  <c r="HG121" i="1"/>
  <c r="HH121" i="1"/>
  <c r="HG123" i="1"/>
  <c r="HH123" i="1"/>
  <c r="HH129" i="1"/>
  <c r="HG129" i="1"/>
  <c r="HH120" i="1"/>
  <c r="HG120" i="1"/>
  <c r="HG126" i="1"/>
  <c r="HH126" i="1"/>
  <c r="HG130" i="1"/>
  <c r="HH130" i="1"/>
  <c r="DR29" i="1"/>
  <c r="CS29" i="1"/>
  <c r="DQ29" i="1"/>
  <c r="DZ29" i="1"/>
  <c r="DY29" i="1"/>
  <c r="EC29" i="1"/>
  <c r="EE29" i="1"/>
  <c r="DL29" i="1"/>
  <c r="DX29" i="1"/>
  <c r="CZ29" i="1"/>
  <c r="DT29" i="1"/>
  <c r="CV29" i="1"/>
  <c r="DP29" i="1"/>
  <c r="CR29" i="1"/>
  <c r="FH29" i="1"/>
  <c r="GS29" i="1"/>
  <c r="CQ29" i="1"/>
  <c r="DO28" i="1"/>
  <c r="DB28" i="1"/>
  <c r="CS28" i="1"/>
  <c r="DR28" i="1"/>
  <c r="DA28" i="1"/>
  <c r="GS28" i="1"/>
  <c r="DJ28" i="1"/>
  <c r="CR28" i="1"/>
  <c r="DP28" i="1"/>
  <c r="DL28" i="1"/>
  <c r="EE28" i="1"/>
  <c r="CV28" i="1"/>
  <c r="DT28" i="1"/>
  <c r="CZ28" i="1"/>
  <c r="DX28" i="1"/>
  <c r="J15" i="7"/>
  <c r="AD5" i="1"/>
  <c r="FH28" i="1"/>
  <c r="EN29" i="1"/>
  <c r="EN28" i="1"/>
  <c r="AI18" i="1"/>
  <c r="AJ18" i="1"/>
  <c r="AI19" i="1"/>
  <c r="AJ19" i="1"/>
  <c r="AH20" i="1"/>
  <c r="AI20" i="1"/>
  <c r="AJ20" i="1"/>
  <c r="AH4" i="1"/>
  <c r="AI4" i="1"/>
  <c r="AJ4" i="1"/>
  <c r="AH6" i="1"/>
  <c r="AI6" i="1"/>
  <c r="AJ6" i="1"/>
  <c r="AL6" i="1"/>
  <c r="AK18" i="1"/>
  <c r="AK19" i="1"/>
  <c r="M3" i="5"/>
  <c r="N3" i="5"/>
  <c r="O3" i="5"/>
  <c r="M4" i="5"/>
  <c r="N4" i="5"/>
  <c r="O4" i="5"/>
  <c r="N5" i="5"/>
  <c r="O5" i="5"/>
  <c r="L9" i="5"/>
  <c r="H7" i="5"/>
  <c r="BT19" i="1"/>
  <c r="BU19" i="1"/>
  <c r="CS19" i="1"/>
  <c r="FF19" i="1"/>
  <c r="BV19" i="1"/>
  <c r="CT19" i="1"/>
  <c r="GR19" i="1"/>
  <c r="BW19" i="1"/>
  <c r="DS19" i="1"/>
  <c r="BX19" i="1"/>
  <c r="CV19" i="1"/>
  <c r="BY19" i="1"/>
  <c r="CW19" i="1"/>
  <c r="BZ19" i="1"/>
  <c r="CX19" i="1"/>
  <c r="CA19" i="1"/>
  <c r="CB19" i="1"/>
  <c r="CC19" i="1"/>
  <c r="DY19" i="1"/>
  <c r="CD19" i="1"/>
  <c r="DZ19" i="1"/>
  <c r="CE19" i="1"/>
  <c r="DC19" i="1"/>
  <c r="CF19" i="1"/>
  <c r="DD19" i="1"/>
  <c r="CG19" i="1"/>
  <c r="DE19" i="1"/>
  <c r="CI19" i="1"/>
  <c r="DG19" i="1"/>
  <c r="CJ19" i="1"/>
  <c r="DH19" i="1"/>
  <c r="CK19" i="1"/>
  <c r="CL19" i="1"/>
  <c r="DJ19" i="1"/>
  <c r="CM19" i="1"/>
  <c r="ED19" i="1"/>
  <c r="CN19" i="1"/>
  <c r="DL19" i="1"/>
  <c r="FM19" i="1"/>
  <c r="CO19" i="1"/>
  <c r="CU19" i="1"/>
  <c r="FI19" i="1"/>
  <c r="CY19" i="1"/>
  <c r="DI19" i="1"/>
  <c r="DW19" i="1"/>
  <c r="EB19" i="1"/>
  <c r="FP19" i="1"/>
  <c r="FW19" i="1"/>
  <c r="FQ19" i="1"/>
  <c r="BS20" i="1"/>
  <c r="CQ20" i="1"/>
  <c r="BT20" i="1"/>
  <c r="CR20" i="1"/>
  <c r="BU20" i="1"/>
  <c r="BV20" i="1"/>
  <c r="BW20" i="1"/>
  <c r="CU20" i="1"/>
  <c r="FI20" i="1"/>
  <c r="BX20" i="1"/>
  <c r="CV20" i="1"/>
  <c r="BY20" i="1"/>
  <c r="CW20" i="1"/>
  <c r="BZ20" i="1"/>
  <c r="CX20" i="1"/>
  <c r="CA20" i="1"/>
  <c r="CB20" i="1"/>
  <c r="DX20" i="1"/>
  <c r="CC20" i="1"/>
  <c r="CD20" i="1"/>
  <c r="DZ20" i="1"/>
  <c r="CE20" i="1"/>
  <c r="DC20" i="1"/>
  <c r="CF20" i="1"/>
  <c r="DD20" i="1"/>
  <c r="CG20" i="1"/>
  <c r="DE20" i="1"/>
  <c r="CI20" i="1"/>
  <c r="DG20" i="1"/>
  <c r="CJ20" i="1"/>
  <c r="DH20" i="1"/>
  <c r="CK20" i="1"/>
  <c r="CL20" i="1"/>
  <c r="EC20" i="1"/>
  <c r="CM20" i="1"/>
  <c r="DK20" i="1"/>
  <c r="FJ20" i="1"/>
  <c r="CN20" i="1"/>
  <c r="DL20" i="1"/>
  <c r="CO20" i="1"/>
  <c r="EF20" i="1"/>
  <c r="CY20" i="1"/>
  <c r="DI20" i="1"/>
  <c r="DW20" i="1"/>
  <c r="EB20" i="1"/>
  <c r="FP20" i="1"/>
  <c r="FW20" i="1"/>
  <c r="FQ20" i="1"/>
  <c r="BS21" i="1"/>
  <c r="BT21" i="1"/>
  <c r="CR21" i="1"/>
  <c r="BU21" i="1"/>
  <c r="BV21" i="1"/>
  <c r="BX21" i="1"/>
  <c r="CV21" i="1"/>
  <c r="BY21" i="1"/>
  <c r="CW21" i="1"/>
  <c r="CA21" i="1"/>
  <c r="CB21" i="1"/>
  <c r="CZ21" i="1"/>
  <c r="CC21" i="1"/>
  <c r="DY21" i="1"/>
  <c r="CD21" i="1"/>
  <c r="DZ21" i="1"/>
  <c r="CE21" i="1"/>
  <c r="EA21" i="1"/>
  <c r="CF21" i="1"/>
  <c r="DD21" i="1"/>
  <c r="CG21" i="1"/>
  <c r="DE21" i="1"/>
  <c r="CJ21" i="1"/>
  <c r="DH21" i="1"/>
  <c r="CK21" i="1"/>
  <c r="CL21" i="1"/>
  <c r="DJ21" i="1"/>
  <c r="CM21" i="1"/>
  <c r="DK21" i="1"/>
  <c r="GU21" i="1"/>
  <c r="CN21" i="1"/>
  <c r="EE21" i="1"/>
  <c r="CO21" i="1"/>
  <c r="EF21" i="1"/>
  <c r="CY21" i="1"/>
  <c r="DI21" i="1"/>
  <c r="DW21" i="1"/>
  <c r="EB21" i="1"/>
  <c r="FP21" i="1"/>
  <c r="FW21" i="1"/>
  <c r="FQ21" i="1"/>
  <c r="BS22" i="1"/>
  <c r="CQ22" i="1"/>
  <c r="BT22" i="1"/>
  <c r="DP22" i="1"/>
  <c r="BU22" i="1"/>
  <c r="BV22" i="1"/>
  <c r="BX22" i="1"/>
  <c r="CV22" i="1"/>
  <c r="BY22" i="1"/>
  <c r="CW22" i="1"/>
  <c r="CA22" i="1"/>
  <c r="CB22" i="1"/>
  <c r="DX22" i="1"/>
  <c r="CC22" i="1"/>
  <c r="DA22" i="1"/>
  <c r="CD22" i="1"/>
  <c r="DZ22" i="1"/>
  <c r="CE22" i="1"/>
  <c r="DC22" i="1"/>
  <c r="CF22" i="1"/>
  <c r="DD22" i="1"/>
  <c r="CG22" i="1"/>
  <c r="DE22" i="1"/>
  <c r="CJ22" i="1"/>
  <c r="DH22" i="1"/>
  <c r="CK22" i="1"/>
  <c r="CL22" i="1"/>
  <c r="EC22" i="1"/>
  <c r="CM22" i="1"/>
  <c r="ED22" i="1"/>
  <c r="CN22" i="1"/>
  <c r="CO22" i="1"/>
  <c r="EF22" i="1"/>
  <c r="CY22" i="1"/>
  <c r="DI22" i="1"/>
  <c r="DW22" i="1"/>
  <c r="EB22" i="1"/>
  <c r="FP22" i="1"/>
  <c r="FV22" i="1"/>
  <c r="FQ22" i="1"/>
  <c r="BS23" i="1"/>
  <c r="DO23" i="1"/>
  <c r="BT23" i="1"/>
  <c r="CR23" i="1"/>
  <c r="BU23" i="1"/>
  <c r="BV23" i="1"/>
  <c r="BX23" i="1"/>
  <c r="CV23" i="1"/>
  <c r="BY23" i="1"/>
  <c r="CW23" i="1"/>
  <c r="GW23" i="1"/>
  <c r="CA23" i="1"/>
  <c r="CB23" i="1"/>
  <c r="CZ23" i="1"/>
  <c r="CC23" i="1"/>
  <c r="CD23" i="1"/>
  <c r="CE23" i="1"/>
  <c r="DC23" i="1"/>
  <c r="CF23" i="1"/>
  <c r="DD23" i="1"/>
  <c r="CG23" i="1"/>
  <c r="DE23" i="1"/>
  <c r="CJ23" i="1"/>
  <c r="DH23" i="1"/>
  <c r="CK23" i="1"/>
  <c r="CL23" i="1"/>
  <c r="EC23" i="1"/>
  <c r="CM23" i="1"/>
  <c r="CN23" i="1"/>
  <c r="EE23" i="1"/>
  <c r="CO23" i="1"/>
  <c r="DM23" i="1"/>
  <c r="CY23" i="1"/>
  <c r="DI23" i="1"/>
  <c r="DR23" i="1"/>
  <c r="DW23" i="1"/>
  <c r="EB23" i="1"/>
  <c r="FP23" i="1"/>
  <c r="FW23" i="1"/>
  <c r="FQ23" i="1"/>
  <c r="BS24" i="1"/>
  <c r="CQ24" i="1"/>
  <c r="BT24" i="1"/>
  <c r="DP24" i="1"/>
  <c r="BU24" i="1"/>
  <c r="BV24" i="1"/>
  <c r="BX24" i="1"/>
  <c r="CV24" i="1"/>
  <c r="BY24" i="1"/>
  <c r="CW24" i="1"/>
  <c r="CA24" i="1"/>
  <c r="CB24" i="1"/>
  <c r="DX24" i="1"/>
  <c r="CC24" i="1"/>
  <c r="CD24" i="1"/>
  <c r="DZ24" i="1"/>
  <c r="CE24" i="1"/>
  <c r="EA24" i="1"/>
  <c r="CF24" i="1"/>
  <c r="DD24" i="1"/>
  <c r="CG24" i="1"/>
  <c r="DE24" i="1"/>
  <c r="CJ24" i="1"/>
  <c r="DH24" i="1"/>
  <c r="CK24" i="1"/>
  <c r="CL24" i="1"/>
  <c r="EC24" i="1"/>
  <c r="CM24" i="1"/>
  <c r="DK24" i="1"/>
  <c r="FJ24" i="1"/>
  <c r="CN24" i="1"/>
  <c r="DL24" i="1"/>
  <c r="CO24" i="1"/>
  <c r="EF24" i="1"/>
  <c r="CY24" i="1"/>
  <c r="DI24" i="1"/>
  <c r="DW24" i="1"/>
  <c r="EB24" i="1"/>
  <c r="FP24" i="1"/>
  <c r="FV24" i="1"/>
  <c r="FQ24" i="1"/>
  <c r="BS25" i="1"/>
  <c r="DO25" i="1"/>
  <c r="BT25" i="1"/>
  <c r="BU25" i="1"/>
  <c r="BV25" i="1"/>
  <c r="BX25" i="1"/>
  <c r="CV25" i="1"/>
  <c r="BY25" i="1"/>
  <c r="CW25" i="1"/>
  <c r="FL25" i="1"/>
  <c r="CA25" i="1"/>
  <c r="CB25" i="1"/>
  <c r="CZ25" i="1"/>
  <c r="CC25" i="1"/>
  <c r="DA25" i="1"/>
  <c r="CD25" i="1"/>
  <c r="DZ25" i="1"/>
  <c r="CE25" i="1"/>
  <c r="DC25" i="1"/>
  <c r="CF25" i="1"/>
  <c r="DD25" i="1"/>
  <c r="CG25" i="1"/>
  <c r="DE25" i="1"/>
  <c r="CJ25" i="1"/>
  <c r="DH25" i="1"/>
  <c r="CK25" i="1"/>
  <c r="CL25" i="1"/>
  <c r="DJ25" i="1"/>
  <c r="CM25" i="1"/>
  <c r="CN25" i="1"/>
  <c r="EE25" i="1"/>
  <c r="CO25" i="1"/>
  <c r="DM25" i="1"/>
  <c r="CQ25" i="1"/>
  <c r="CY25" i="1"/>
  <c r="DI25" i="1"/>
  <c r="DW25" i="1"/>
  <c r="EB25" i="1"/>
  <c r="FP25" i="1"/>
  <c r="FQ25" i="1"/>
  <c r="BS26" i="1"/>
  <c r="BT26" i="1"/>
  <c r="DP26" i="1"/>
  <c r="BU26" i="1"/>
  <c r="BV26" i="1"/>
  <c r="BX26" i="1"/>
  <c r="CV26" i="1"/>
  <c r="BY26" i="1"/>
  <c r="CW26" i="1"/>
  <c r="CA26" i="1"/>
  <c r="CB26" i="1"/>
  <c r="DX26" i="1"/>
  <c r="CC26" i="1"/>
  <c r="DY26" i="1"/>
  <c r="CD26" i="1"/>
  <c r="DZ26" i="1"/>
  <c r="CE26" i="1"/>
  <c r="CF26" i="1"/>
  <c r="DD26" i="1"/>
  <c r="CG26" i="1"/>
  <c r="DE26" i="1"/>
  <c r="CJ26" i="1"/>
  <c r="DH26" i="1"/>
  <c r="CK26" i="1"/>
  <c r="CL26" i="1"/>
  <c r="EC26" i="1"/>
  <c r="CM26" i="1"/>
  <c r="ED26" i="1"/>
  <c r="CN26" i="1"/>
  <c r="CO26" i="1"/>
  <c r="EF26" i="1"/>
  <c r="CY26" i="1"/>
  <c r="DI26" i="1"/>
  <c r="DW26" i="1"/>
  <c r="EB26" i="1"/>
  <c r="FP26" i="1"/>
  <c r="FV26" i="1"/>
  <c r="FQ26" i="1"/>
  <c r="BK26" i="1"/>
  <c r="CI26" i="1"/>
  <c r="DG26" i="1"/>
  <c r="I26" i="1"/>
  <c r="J26" i="1"/>
  <c r="K26" i="1"/>
  <c r="L26" i="1"/>
  <c r="AD26" i="1"/>
  <c r="AE26" i="1"/>
  <c r="AF26" i="1"/>
  <c r="DA19" i="1"/>
  <c r="FH19" i="1"/>
  <c r="DA21" i="1"/>
  <c r="GX19" i="1"/>
  <c r="DA26" i="1"/>
  <c r="CQ23" i="1"/>
  <c r="DC24" i="1"/>
  <c r="DO22" i="1"/>
  <c r="EC21" i="1"/>
  <c r="DQ24" i="1"/>
  <c r="DR22" i="1"/>
  <c r="DQ21" i="1"/>
  <c r="EF23" i="1"/>
  <c r="DQ19" i="1"/>
  <c r="DR26" i="1"/>
  <c r="ED21" i="1"/>
  <c r="DP21" i="1"/>
  <c r="EA20" i="1"/>
  <c r="DR20" i="1"/>
  <c r="DQ25" i="1"/>
  <c r="CT23" i="1"/>
  <c r="DM20" i="1"/>
  <c r="DQ23" i="1"/>
  <c r="CS22" i="1"/>
  <c r="CT25" i="1"/>
  <c r="DR24" i="1"/>
  <c r="EA22" i="1"/>
  <c r="CT21" i="1"/>
  <c r="DR19" i="1"/>
  <c r="DP23" i="1"/>
  <c r="DC21" i="1"/>
  <c r="EC19" i="1"/>
  <c r="DR25" i="1"/>
  <c r="EE24" i="1"/>
  <c r="CS24" i="1"/>
  <c r="EM24" i="1"/>
  <c r="DM21" i="1"/>
  <c r="EE20" i="1"/>
  <c r="DS20" i="1"/>
  <c r="EF25" i="1"/>
  <c r="ED24" i="1"/>
  <c r="DQ22" i="1"/>
  <c r="DO20" i="1"/>
  <c r="EA19" i="1"/>
  <c r="GW21" i="1"/>
  <c r="FL21" i="1"/>
  <c r="GS19" i="1"/>
  <c r="EA25" i="1"/>
  <c r="EA23" i="1"/>
  <c r="DY22" i="1"/>
  <c r="DK22" i="1"/>
  <c r="FJ22" i="1"/>
  <c r="GQ19" i="1"/>
  <c r="FG19" i="1"/>
  <c r="DK19" i="1"/>
  <c r="GU19" i="1"/>
  <c r="FL23" i="1"/>
  <c r="FV21" i="1"/>
  <c r="FJ21" i="1"/>
  <c r="DB21" i="1"/>
  <c r="FV20" i="1"/>
  <c r="ED20" i="1"/>
  <c r="DB19" i="1"/>
  <c r="DL26" i="1"/>
  <c r="FM26" i="1"/>
  <c r="EE26" i="1"/>
  <c r="DK25" i="1"/>
  <c r="FJ25" i="1"/>
  <c r="ED25" i="1"/>
  <c r="DY24" i="1"/>
  <c r="DA24" i="1"/>
  <c r="FN20" i="1"/>
  <c r="GY20" i="1"/>
  <c r="FL19" i="1"/>
  <c r="GW19" i="1"/>
  <c r="DM19" i="1"/>
  <c r="EF19" i="1"/>
  <c r="DX19" i="1"/>
  <c r="CZ19" i="1"/>
  <c r="GV19" i="1"/>
  <c r="FK19" i="1"/>
  <c r="CR19" i="1"/>
  <c r="DP19" i="1"/>
  <c r="FW25" i="1"/>
  <c r="FV25" i="1"/>
  <c r="CR25" i="1"/>
  <c r="FE25" i="1"/>
  <c r="DP25" i="1"/>
  <c r="CQ26" i="1"/>
  <c r="DO26" i="1"/>
  <c r="DY25" i="1"/>
  <c r="DB25" i="1"/>
  <c r="DO21" i="1"/>
  <c r="CQ21" i="1"/>
  <c r="GO20" i="1"/>
  <c r="FD20" i="1"/>
  <c r="DY20" i="1"/>
  <c r="DA20" i="1"/>
  <c r="FL20" i="1"/>
  <c r="GW20" i="1"/>
  <c r="CS20" i="1"/>
  <c r="EP20" i="1"/>
  <c r="FT20" i="1"/>
  <c r="FZ20" i="1"/>
  <c r="DQ20" i="1"/>
  <c r="EA26" i="1"/>
  <c r="DC26" i="1"/>
  <c r="Y26" i="1"/>
  <c r="Z26" i="1"/>
  <c r="GW25" i="1"/>
  <c r="EC25" i="1"/>
  <c r="DK23" i="1"/>
  <c r="GU23" i="1"/>
  <c r="ED23" i="1"/>
  <c r="DB23" i="1"/>
  <c r="DZ23" i="1"/>
  <c r="DL22" i="1"/>
  <c r="GX22" i="1"/>
  <c r="EE22" i="1"/>
  <c r="DA23" i="1"/>
  <c r="DY23" i="1"/>
  <c r="FL22" i="1"/>
  <c r="GW22" i="1"/>
  <c r="CS26" i="1"/>
  <c r="DQ26" i="1"/>
  <c r="DO24" i="1"/>
  <c r="DR21" i="1"/>
  <c r="DP20" i="1"/>
  <c r="CZ20" i="1"/>
  <c r="EE19" i="1"/>
  <c r="DK26" i="1"/>
  <c r="FJ26" i="1"/>
  <c r="DJ23" i="1"/>
  <c r="CS21" i="1"/>
  <c r="GT19" i="1"/>
  <c r="EN19" i="1"/>
  <c r="FR19" i="1"/>
  <c r="FX19" i="1"/>
  <c r="FV23" i="1"/>
  <c r="FW22" i="1"/>
  <c r="FV19" i="1"/>
  <c r="FE23" i="1"/>
  <c r="GP23" i="1"/>
  <c r="FL24" i="1"/>
  <c r="GW24" i="1"/>
  <c r="FN19" i="1"/>
  <c r="GY19" i="1"/>
  <c r="EO19" i="1"/>
  <c r="FS19" i="1"/>
  <c r="FY19" i="1"/>
  <c r="EP19" i="1"/>
  <c r="FT19" i="1"/>
  <c r="FZ19" i="1"/>
  <c r="FM24" i="1"/>
  <c r="GX24" i="1"/>
  <c r="FE21" i="1"/>
  <c r="GP21" i="1"/>
  <c r="FL26" i="1"/>
  <c r="GW26" i="1"/>
  <c r="DJ26" i="1"/>
  <c r="DB26" i="1"/>
  <c r="M26" i="1"/>
  <c r="N26" i="1"/>
  <c r="CT26" i="1"/>
  <c r="DJ24" i="1"/>
  <c r="DB24" i="1"/>
  <c r="CT24" i="1"/>
  <c r="DJ22" i="1"/>
  <c r="DB22" i="1"/>
  <c r="CT22" i="1"/>
  <c r="DJ20" i="1"/>
  <c r="DB20" i="1"/>
  <c r="CT20" i="1"/>
  <c r="FW26" i="1"/>
  <c r="CZ26" i="1"/>
  <c r="CR26" i="1"/>
  <c r="DX25" i="1"/>
  <c r="DL25" i="1"/>
  <c r="FW24" i="1"/>
  <c r="CZ24" i="1"/>
  <c r="CR24" i="1"/>
  <c r="DX23" i="1"/>
  <c r="DL23" i="1"/>
  <c r="CZ22" i="1"/>
  <c r="CR22" i="1"/>
  <c r="DX21" i="1"/>
  <c r="DL21" i="1"/>
  <c r="DM26" i="1"/>
  <c r="W26" i="1"/>
  <c r="X26" i="1"/>
  <c r="CS25" i="1"/>
  <c r="GU24" i="1"/>
  <c r="DM24" i="1"/>
  <c r="CS23" i="1"/>
  <c r="DM22" i="1"/>
  <c r="GU20" i="1"/>
  <c r="GT20" i="1"/>
  <c r="S26" i="1"/>
  <c r="T26" i="1"/>
  <c r="FJ19" i="1"/>
  <c r="HC19" i="1"/>
  <c r="HI19" i="1"/>
  <c r="EI20" i="1"/>
  <c r="FM22" i="1"/>
  <c r="EH22" i="1"/>
  <c r="FJ23" i="1"/>
  <c r="EK20" i="1"/>
  <c r="EZ20" i="1"/>
  <c r="EN26" i="1"/>
  <c r="FR26" i="1"/>
  <c r="FX26" i="1"/>
  <c r="EI19" i="1"/>
  <c r="EM22" i="1"/>
  <c r="GU26" i="1"/>
  <c r="GU25" i="1"/>
  <c r="HE19" i="1"/>
  <c r="HK19" i="1"/>
  <c r="EH23" i="1"/>
  <c r="EN20" i="1"/>
  <c r="EN24" i="1"/>
  <c r="FR24" i="1"/>
  <c r="FX24" i="1"/>
  <c r="EH20" i="1"/>
  <c r="HA19" i="1"/>
  <c r="HB19" i="1"/>
  <c r="EH25" i="1"/>
  <c r="EM19" i="1"/>
  <c r="GU22" i="1"/>
  <c r="EM20" i="1"/>
  <c r="GP25" i="1"/>
  <c r="EX20" i="1"/>
  <c r="FB20" i="1"/>
  <c r="GC20" i="1"/>
  <c r="GG20" i="1"/>
  <c r="GK20" i="1"/>
  <c r="EU20" i="1"/>
  <c r="FG20" i="1"/>
  <c r="GL20" i="1"/>
  <c r="GX20" i="1"/>
  <c r="GM20" i="1"/>
  <c r="EH24" i="1"/>
  <c r="EN22" i="1"/>
  <c r="FR22" i="1"/>
  <c r="FX22" i="1"/>
  <c r="GX26" i="1"/>
  <c r="EM21" i="1"/>
  <c r="GS20" i="1"/>
  <c r="FH20" i="1"/>
  <c r="FE19" i="1"/>
  <c r="GP19" i="1"/>
  <c r="EH21" i="1"/>
  <c r="EH26" i="1"/>
  <c r="EM26" i="1"/>
  <c r="EO20" i="1"/>
  <c r="FS20" i="1"/>
  <c r="FY20" i="1"/>
  <c r="FE24" i="1"/>
  <c r="GP24" i="1"/>
  <c r="HD19" i="1"/>
  <c r="HJ19" i="1"/>
  <c r="EM25" i="1"/>
  <c r="EN25" i="1"/>
  <c r="FR25" i="1"/>
  <c r="FX25" i="1"/>
  <c r="EN21" i="1"/>
  <c r="FM25" i="1"/>
  <c r="GX25" i="1"/>
  <c r="FE22" i="1"/>
  <c r="GP22" i="1"/>
  <c r="EM23" i="1"/>
  <c r="EN23" i="1"/>
  <c r="FE26" i="1"/>
  <c r="GP26" i="1"/>
  <c r="Q26" i="1"/>
  <c r="R26" i="1"/>
  <c r="O26" i="1"/>
  <c r="P26" i="1"/>
  <c r="EY20" i="1"/>
  <c r="FK20" i="1"/>
  <c r="ES20" i="1"/>
  <c r="FE20" i="1"/>
  <c r="GF20" i="1"/>
  <c r="GR20" i="1"/>
  <c r="ET20" i="1"/>
  <c r="FF20" i="1"/>
  <c r="EW20" i="1"/>
  <c r="GJ20" i="1"/>
  <c r="GV20" i="1"/>
  <c r="GE20" i="1"/>
  <c r="GQ20" i="1"/>
  <c r="HB20" i="1"/>
  <c r="ER20" i="1"/>
  <c r="FA20" i="1"/>
  <c r="FM20" i="1"/>
  <c r="EV20" i="1"/>
  <c r="GD20" i="1"/>
  <c r="GP20" i="1"/>
  <c r="EJ20" i="1"/>
  <c r="HC20" i="1"/>
  <c r="FR20" i="1"/>
  <c r="HH19" i="1"/>
  <c r="HG19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O21" i="1"/>
  <c r="P21" i="1"/>
  <c r="S21" i="1"/>
  <c r="T21" i="1"/>
  <c r="I22" i="1"/>
  <c r="J22" i="1"/>
  <c r="K22" i="1"/>
  <c r="L22" i="1"/>
  <c r="S22" i="1"/>
  <c r="T22" i="1"/>
  <c r="I23" i="1"/>
  <c r="J23" i="1"/>
  <c r="K23" i="1"/>
  <c r="L23" i="1"/>
  <c r="I24" i="1"/>
  <c r="J24" i="1"/>
  <c r="K24" i="1"/>
  <c r="L24" i="1"/>
  <c r="I25" i="1"/>
  <c r="J25" i="1"/>
  <c r="K25" i="1"/>
  <c r="L25" i="1"/>
  <c r="K3" i="1"/>
  <c r="L3" i="1"/>
  <c r="I3" i="1"/>
  <c r="J3" i="1"/>
  <c r="BK25" i="1"/>
  <c r="CI25" i="1"/>
  <c r="DG25" i="1"/>
  <c r="BK24" i="1"/>
  <c r="CI24" i="1"/>
  <c r="DG24" i="1"/>
  <c r="BK23" i="1"/>
  <c r="CI23" i="1"/>
  <c r="DG23" i="1"/>
  <c r="BK22" i="1"/>
  <c r="CI22" i="1"/>
  <c r="DG22" i="1"/>
  <c r="BK21" i="1"/>
  <c r="CI21" i="1"/>
  <c r="DG21" i="1"/>
  <c r="AN18" i="1"/>
  <c r="AT18" i="1"/>
  <c r="AS18" i="1"/>
  <c r="AO18" i="1"/>
  <c r="AP18" i="1"/>
  <c r="AN19" i="1"/>
  <c r="AT19" i="1"/>
  <c r="AS19" i="1"/>
  <c r="AO19" i="1"/>
  <c r="AP19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U20" i="1"/>
  <c r="V20" i="1"/>
  <c r="Y21" i="1"/>
  <c r="Z21" i="1"/>
  <c r="Q21" i="1"/>
  <c r="R21" i="1"/>
  <c r="O22" i="1"/>
  <c r="P22" i="1"/>
  <c r="O25" i="1"/>
  <c r="P25" i="1"/>
  <c r="EB3" i="1"/>
  <c r="DW5" i="1"/>
  <c r="EB5" i="1"/>
  <c r="DW6" i="1"/>
  <c r="EB6" i="1"/>
  <c r="DW7" i="1"/>
  <c r="EB7" i="1"/>
  <c r="DW8" i="1"/>
  <c r="EB8" i="1"/>
  <c r="DW9" i="1"/>
  <c r="EB9" i="1"/>
  <c r="DW10" i="1"/>
  <c r="EB10" i="1"/>
  <c r="DW11" i="1"/>
  <c r="EB11" i="1"/>
  <c r="DW12" i="1"/>
  <c r="EB12" i="1"/>
  <c r="DW13" i="1"/>
  <c r="EB13" i="1"/>
  <c r="DW14" i="1"/>
  <c r="EB14" i="1"/>
  <c r="DW15" i="1"/>
  <c r="EB15" i="1"/>
  <c r="DW16" i="1"/>
  <c r="EB16" i="1"/>
  <c r="DW17" i="1"/>
  <c r="EB17" i="1"/>
  <c r="DW18" i="1"/>
  <c r="EB18" i="1"/>
  <c r="DW4" i="1"/>
  <c r="EB4" i="1"/>
  <c r="CY5" i="1"/>
  <c r="DI5" i="1"/>
  <c r="CY6" i="1"/>
  <c r="DI6" i="1"/>
  <c r="CY7" i="1"/>
  <c r="DI7" i="1"/>
  <c r="CY8" i="1"/>
  <c r="DI8" i="1"/>
  <c r="CY9" i="1"/>
  <c r="DI9" i="1"/>
  <c r="CY10" i="1"/>
  <c r="DI10" i="1"/>
  <c r="CY11" i="1"/>
  <c r="DI11" i="1"/>
  <c r="CY12" i="1"/>
  <c r="DI12" i="1"/>
  <c r="CY13" i="1"/>
  <c r="DI13" i="1"/>
  <c r="CY14" i="1"/>
  <c r="DI14" i="1"/>
  <c r="CY15" i="1"/>
  <c r="DI15" i="1"/>
  <c r="CY16" i="1"/>
  <c r="DI16" i="1"/>
  <c r="CY17" i="1"/>
  <c r="DI17" i="1"/>
  <c r="CY18" i="1"/>
  <c r="DI18" i="1"/>
  <c r="DI4" i="1"/>
  <c r="CY4" i="1"/>
  <c r="CA4" i="1"/>
  <c r="CB4" i="1"/>
  <c r="DX4" i="1"/>
  <c r="CC4" i="1"/>
  <c r="DA4" i="1"/>
  <c r="O4" i="1"/>
  <c r="P4" i="1"/>
  <c r="CD4" i="1"/>
  <c r="DZ4" i="1"/>
  <c r="CE4" i="1"/>
  <c r="CF4" i="1"/>
  <c r="DD4" i="1"/>
  <c r="CG4" i="1"/>
  <c r="DE4" i="1"/>
  <c r="CI4" i="1"/>
  <c r="DG4" i="1"/>
  <c r="CJ4" i="1"/>
  <c r="DH4" i="1"/>
  <c r="CK4" i="1"/>
  <c r="CL4" i="1"/>
  <c r="EC4" i="1"/>
  <c r="CN4" i="1"/>
  <c r="EE4" i="1"/>
  <c r="CO4" i="1"/>
  <c r="EF4" i="1"/>
  <c r="CA5" i="1"/>
  <c r="CB5" i="1"/>
  <c r="CC5" i="1"/>
  <c r="CD5" i="1"/>
  <c r="CE5" i="1"/>
  <c r="CF5" i="1"/>
  <c r="DD5" i="1"/>
  <c r="CG5" i="1"/>
  <c r="DE5" i="1"/>
  <c r="CI5" i="1"/>
  <c r="DG5" i="1"/>
  <c r="CJ5" i="1"/>
  <c r="DH5" i="1"/>
  <c r="CK5" i="1"/>
  <c r="CL5" i="1"/>
  <c r="CN5" i="1"/>
  <c r="DL5" i="1"/>
  <c r="CO5" i="1"/>
  <c r="CA6" i="1"/>
  <c r="CB6" i="1"/>
  <c r="DX6" i="1"/>
  <c r="CC6" i="1"/>
  <c r="CD6" i="1"/>
  <c r="CE6" i="1"/>
  <c r="CF6" i="1"/>
  <c r="DD6" i="1"/>
  <c r="CG6" i="1"/>
  <c r="DE6" i="1"/>
  <c r="CI6" i="1"/>
  <c r="DG6" i="1"/>
  <c r="CJ6" i="1"/>
  <c r="DH6" i="1"/>
  <c r="CK6" i="1"/>
  <c r="CL6" i="1"/>
  <c r="DJ6" i="1"/>
  <c r="CN6" i="1"/>
  <c r="CO6" i="1"/>
  <c r="CA7" i="1"/>
  <c r="CB7" i="1"/>
  <c r="DX7" i="1"/>
  <c r="CC7" i="1"/>
  <c r="DY7" i="1"/>
  <c r="CD7" i="1"/>
  <c r="CE7" i="1"/>
  <c r="DC7" i="1"/>
  <c r="CF7" i="1"/>
  <c r="DD7" i="1"/>
  <c r="CG7" i="1"/>
  <c r="DE7" i="1"/>
  <c r="CI7" i="1"/>
  <c r="DG7" i="1"/>
  <c r="CJ7" i="1"/>
  <c r="DH7" i="1"/>
  <c r="CK7" i="1"/>
  <c r="CL7" i="1"/>
  <c r="CN7" i="1"/>
  <c r="CO7" i="1"/>
  <c r="CA8" i="1"/>
  <c r="CB8" i="1"/>
  <c r="CC8" i="1"/>
  <c r="DY8" i="1"/>
  <c r="CD8" i="1"/>
  <c r="DZ8" i="1"/>
  <c r="CE8" i="1"/>
  <c r="CF8" i="1"/>
  <c r="DD8" i="1"/>
  <c r="CG8" i="1"/>
  <c r="DE8" i="1"/>
  <c r="CI8" i="1"/>
  <c r="DG8" i="1"/>
  <c r="CJ8" i="1"/>
  <c r="DH8" i="1"/>
  <c r="CK8" i="1"/>
  <c r="CL8" i="1"/>
  <c r="EC8" i="1"/>
  <c r="CN8" i="1"/>
  <c r="CO8" i="1"/>
  <c r="CA9" i="1"/>
  <c r="CB9" i="1"/>
  <c r="CC9" i="1"/>
  <c r="CD9" i="1"/>
  <c r="DZ9" i="1"/>
  <c r="CE9" i="1"/>
  <c r="EA9" i="1"/>
  <c r="CF9" i="1"/>
  <c r="DD9" i="1"/>
  <c r="CG9" i="1"/>
  <c r="DE9" i="1"/>
  <c r="CI9" i="1"/>
  <c r="DG9" i="1"/>
  <c r="CJ9" i="1"/>
  <c r="DH9" i="1"/>
  <c r="CK9" i="1"/>
  <c r="CL9" i="1"/>
  <c r="EC9" i="1"/>
  <c r="CO9" i="1"/>
  <c r="CA10" i="1"/>
  <c r="CB10" i="1"/>
  <c r="CC10" i="1"/>
  <c r="CD10" i="1"/>
  <c r="CE10" i="1"/>
  <c r="EA10" i="1"/>
  <c r="CF10" i="1"/>
  <c r="DD10" i="1"/>
  <c r="CG10" i="1"/>
  <c r="DE10" i="1"/>
  <c r="CI10" i="1"/>
  <c r="DG10" i="1"/>
  <c r="CJ10" i="1"/>
  <c r="DH10" i="1"/>
  <c r="CK10" i="1"/>
  <c r="CL10" i="1"/>
  <c r="DJ10" i="1"/>
  <c r="CO10" i="1"/>
  <c r="CA11" i="1"/>
  <c r="CB11" i="1"/>
  <c r="CC11" i="1"/>
  <c r="CD11" i="1"/>
  <c r="CE11" i="1"/>
  <c r="DC11" i="1"/>
  <c r="CF11" i="1"/>
  <c r="DD11" i="1"/>
  <c r="CG11" i="1"/>
  <c r="DE11" i="1"/>
  <c r="CI11" i="1"/>
  <c r="DG11" i="1"/>
  <c r="CJ11" i="1"/>
  <c r="DH11" i="1"/>
  <c r="CK11" i="1"/>
  <c r="CL11" i="1"/>
  <c r="CN11" i="1"/>
  <c r="EE11" i="1"/>
  <c r="CO11" i="1"/>
  <c r="EF11" i="1"/>
  <c r="CA12" i="1"/>
  <c r="CB12" i="1"/>
  <c r="DX12" i="1"/>
  <c r="CC12" i="1"/>
  <c r="DA12" i="1"/>
  <c r="O12" i="1"/>
  <c r="P12" i="1"/>
  <c r="CD12" i="1"/>
  <c r="DZ12" i="1"/>
  <c r="CE12" i="1"/>
  <c r="CF12" i="1"/>
  <c r="DD12" i="1"/>
  <c r="CG12" i="1"/>
  <c r="DE12" i="1"/>
  <c r="CI12" i="1"/>
  <c r="DG12" i="1"/>
  <c r="CJ12" i="1"/>
  <c r="DH12" i="1"/>
  <c r="CK12" i="1"/>
  <c r="CL12" i="1"/>
  <c r="EC12" i="1"/>
  <c r="CN12" i="1"/>
  <c r="CO12" i="1"/>
  <c r="EF12" i="1"/>
  <c r="CA13" i="1"/>
  <c r="CB13" i="1"/>
  <c r="CC13" i="1"/>
  <c r="DY13" i="1"/>
  <c r="CD13" i="1"/>
  <c r="CE13" i="1"/>
  <c r="EA13" i="1"/>
  <c r="CF13" i="1"/>
  <c r="DD13" i="1"/>
  <c r="CG13" i="1"/>
  <c r="DE13" i="1"/>
  <c r="CI13" i="1"/>
  <c r="DG13" i="1"/>
  <c r="CJ13" i="1"/>
  <c r="DH13" i="1"/>
  <c r="CK13" i="1"/>
  <c r="CL13" i="1"/>
  <c r="CN13" i="1"/>
  <c r="DL13" i="1"/>
  <c r="CO13" i="1"/>
  <c r="CA14" i="1"/>
  <c r="CB14" i="1"/>
  <c r="DX14" i="1"/>
  <c r="CC14" i="1"/>
  <c r="CD14" i="1"/>
  <c r="DZ14" i="1"/>
  <c r="CE14" i="1"/>
  <c r="CF14" i="1"/>
  <c r="DD14" i="1"/>
  <c r="CG14" i="1"/>
  <c r="DE14" i="1"/>
  <c r="CI14" i="1"/>
  <c r="DG14" i="1"/>
  <c r="CJ14" i="1"/>
  <c r="DH14" i="1"/>
  <c r="CK14" i="1"/>
  <c r="CL14" i="1"/>
  <c r="DJ14" i="1"/>
  <c r="CN14" i="1"/>
  <c r="EE14" i="1"/>
  <c r="CO14" i="1"/>
  <c r="CA15" i="1"/>
  <c r="CB15" i="1"/>
  <c r="DX15" i="1"/>
  <c r="CC15" i="1"/>
  <c r="DY15" i="1"/>
  <c r="CD15" i="1"/>
  <c r="CE15" i="1"/>
  <c r="DC15" i="1"/>
  <c r="CF15" i="1"/>
  <c r="DD15" i="1"/>
  <c r="CG15" i="1"/>
  <c r="DE15" i="1"/>
  <c r="CI15" i="1"/>
  <c r="DG15" i="1"/>
  <c r="CJ15" i="1"/>
  <c r="DH15" i="1"/>
  <c r="CK15" i="1"/>
  <c r="CL15" i="1"/>
  <c r="CN15" i="1"/>
  <c r="CO15" i="1"/>
  <c r="EF15" i="1"/>
  <c r="CA16" i="1"/>
  <c r="CB16" i="1"/>
  <c r="DX16" i="1"/>
  <c r="CC16" i="1"/>
  <c r="DY16" i="1"/>
  <c r="CD16" i="1"/>
  <c r="DZ16" i="1"/>
  <c r="CE16" i="1"/>
  <c r="CF16" i="1"/>
  <c r="DD16" i="1"/>
  <c r="CG16" i="1"/>
  <c r="DE16" i="1"/>
  <c r="CI16" i="1"/>
  <c r="DG16" i="1"/>
  <c r="CJ16" i="1"/>
  <c r="DH16" i="1"/>
  <c r="CK16" i="1"/>
  <c r="CL16" i="1"/>
  <c r="EC16" i="1"/>
  <c r="CN16" i="1"/>
  <c r="EE16" i="1"/>
  <c r="CO16" i="1"/>
  <c r="EF16" i="1"/>
  <c r="CA17" i="1"/>
  <c r="CB17" i="1"/>
  <c r="CC17" i="1"/>
  <c r="DY17" i="1"/>
  <c r="CD17" i="1"/>
  <c r="DZ17" i="1"/>
  <c r="CE17" i="1"/>
  <c r="EA17" i="1"/>
  <c r="CF17" i="1"/>
  <c r="DD17" i="1"/>
  <c r="CG17" i="1"/>
  <c r="DE17" i="1"/>
  <c r="CI17" i="1"/>
  <c r="DG17" i="1"/>
  <c r="CJ17" i="1"/>
  <c r="DH17" i="1"/>
  <c r="CK17" i="1"/>
  <c r="CL17" i="1"/>
  <c r="EC17" i="1"/>
  <c r="CN17" i="1"/>
  <c r="DL17" i="1"/>
  <c r="CO17" i="1"/>
  <c r="EF17" i="1"/>
  <c r="CA18" i="1"/>
  <c r="CB18" i="1"/>
  <c r="DX18" i="1"/>
  <c r="CC18" i="1"/>
  <c r="CD18" i="1"/>
  <c r="DZ18" i="1"/>
  <c r="CE18" i="1"/>
  <c r="EA18" i="1"/>
  <c r="CF18" i="1"/>
  <c r="DD18" i="1"/>
  <c r="CG18" i="1"/>
  <c r="DE18" i="1"/>
  <c r="CI18" i="1"/>
  <c r="DG18" i="1"/>
  <c r="CJ18" i="1"/>
  <c r="DH18" i="1"/>
  <c r="CK18" i="1"/>
  <c r="CL18" i="1"/>
  <c r="DJ18" i="1"/>
  <c r="CM18" i="1"/>
  <c r="ED18" i="1"/>
  <c r="CN18" i="1"/>
  <c r="EE18" i="1"/>
  <c r="CO18" i="1"/>
  <c r="EF18" i="1"/>
  <c r="CO3" i="1"/>
  <c r="EF3" i="1"/>
  <c r="CL3" i="1"/>
  <c r="CJ3" i="1"/>
  <c r="DH3" i="1"/>
  <c r="CG3" i="1"/>
  <c r="DE3" i="1"/>
  <c r="CF3" i="1"/>
  <c r="DD3" i="1"/>
  <c r="G19" i="2"/>
  <c r="G17" i="2"/>
  <c r="G18" i="2"/>
  <c r="G16" i="2"/>
  <c r="G15" i="2"/>
  <c r="CE3" i="1"/>
  <c r="EA3" i="1"/>
  <c r="CD3" i="1"/>
  <c r="DZ3" i="1"/>
  <c r="CB3" i="1"/>
  <c r="DX3" i="1"/>
  <c r="CY3" i="1"/>
  <c r="DI3" i="1"/>
  <c r="HE20" i="1"/>
  <c r="HK20" i="1"/>
  <c r="HD20" i="1"/>
  <c r="HJ20" i="1"/>
  <c r="HA20" i="1"/>
  <c r="HG20" i="1"/>
  <c r="CO101" i="1"/>
  <c r="CO38" i="1"/>
  <c r="CO99" i="1"/>
  <c r="CO58" i="1"/>
  <c r="CO37" i="1"/>
  <c r="CO85" i="1"/>
  <c r="CO31" i="1"/>
  <c r="CO104" i="1"/>
  <c r="CO67" i="1"/>
  <c r="CO75" i="1"/>
  <c r="CO54" i="1"/>
  <c r="CO35" i="1"/>
  <c r="CO61" i="1"/>
  <c r="CO97" i="1"/>
  <c r="CO111" i="1"/>
  <c r="CO92" i="1"/>
  <c r="CO102" i="1"/>
  <c r="CO100" i="1"/>
  <c r="CO70" i="1"/>
  <c r="CO51" i="1"/>
  <c r="CO64" i="1"/>
  <c r="CO43" i="1"/>
  <c r="CO95" i="1"/>
  <c r="CO49" i="1"/>
  <c r="CO86" i="1"/>
  <c r="CO84" i="1"/>
  <c r="CO63" i="1"/>
  <c r="CO74" i="1"/>
  <c r="CO113" i="1"/>
  <c r="CO98" i="1"/>
  <c r="CO60" i="1"/>
  <c r="CO94" i="1"/>
  <c r="CO57" i="1"/>
  <c r="CO110" i="1"/>
  <c r="CO91" i="1"/>
  <c r="CO45" i="1"/>
  <c r="CO118" i="1"/>
  <c r="CO55" i="1"/>
  <c r="CO46" i="1"/>
  <c r="CO53" i="1"/>
  <c r="CO112" i="1"/>
  <c r="CO52" i="1"/>
  <c r="CO78" i="1"/>
  <c r="CO36" i="1"/>
  <c r="CO33" i="1"/>
  <c r="CO88" i="1"/>
  <c r="CO50" i="1"/>
  <c r="CO93" i="1"/>
  <c r="CO77" i="1"/>
  <c r="CO109" i="1"/>
  <c r="CO68" i="1"/>
  <c r="CO76" i="1"/>
  <c r="CO44" i="1"/>
  <c r="CO107" i="1"/>
  <c r="CO40" i="1"/>
  <c r="CO90" i="1"/>
  <c r="CO117" i="1"/>
  <c r="CO47" i="1"/>
  <c r="CO89" i="1"/>
  <c r="CO59" i="1"/>
  <c r="CO114" i="1"/>
  <c r="CO105" i="1"/>
  <c r="CO73" i="1"/>
  <c r="CO115" i="1"/>
  <c r="CO108" i="1"/>
  <c r="CO87" i="1"/>
  <c r="CO34" i="1"/>
  <c r="CO80" i="1"/>
  <c r="CO42" i="1"/>
  <c r="CO41" i="1"/>
  <c r="CO83" i="1"/>
  <c r="CO103" i="1"/>
  <c r="CO81" i="1"/>
  <c r="CO69" i="1"/>
  <c r="CO32" i="1"/>
  <c r="CO82" i="1"/>
  <c r="CO72" i="1"/>
  <c r="CO96" i="1"/>
  <c r="CO79" i="1"/>
  <c r="CO48" i="1"/>
  <c r="CO62" i="1"/>
  <c r="CO56" i="1"/>
  <c r="CO116" i="1"/>
  <c r="CO65" i="1"/>
  <c r="CO71" i="1"/>
  <c r="CO66" i="1"/>
  <c r="CO39" i="1"/>
  <c r="CO106" i="1"/>
  <c r="CO28" i="1"/>
  <c r="CO29" i="1"/>
  <c r="BJ18" i="1"/>
  <c r="CH18" i="1"/>
  <c r="DF18" i="1"/>
  <c r="AA18" i="1"/>
  <c r="AB18" i="1"/>
  <c r="BJ19" i="1"/>
  <c r="CH19" i="1"/>
  <c r="DF19" i="1"/>
  <c r="AA19" i="1"/>
  <c r="AB19" i="1"/>
  <c r="AN20" i="1"/>
  <c r="AT20" i="1"/>
  <c r="AS20" i="1"/>
  <c r="Q12" i="1"/>
  <c r="R12" i="1"/>
  <c r="Q22" i="1"/>
  <c r="R22" i="1"/>
  <c r="S12" i="1"/>
  <c r="T12" i="1"/>
  <c r="S4" i="1"/>
  <c r="T4" i="1"/>
  <c r="Q4" i="1"/>
  <c r="R4" i="1"/>
  <c r="Y24" i="1"/>
  <c r="Z24" i="1"/>
  <c r="S25" i="1"/>
  <c r="T25" i="1"/>
  <c r="Y23" i="1"/>
  <c r="Z23" i="1"/>
  <c r="Q25" i="1"/>
  <c r="R25" i="1"/>
  <c r="W23" i="1"/>
  <c r="X23" i="1"/>
  <c r="W24" i="1"/>
  <c r="X24" i="1"/>
  <c r="W25" i="1"/>
  <c r="X25" i="1"/>
  <c r="W22" i="1"/>
  <c r="X22" i="1"/>
  <c r="CZ16" i="1"/>
  <c r="Y25" i="1"/>
  <c r="Z25" i="1"/>
  <c r="Y22" i="1"/>
  <c r="Z22" i="1"/>
  <c r="Y20" i="1"/>
  <c r="Z20" i="1"/>
  <c r="DB8" i="1"/>
  <c r="CZ18" i="1"/>
  <c r="DB14" i="1"/>
  <c r="DM15" i="1"/>
  <c r="DA13" i="1"/>
  <c r="EA15" i="1"/>
  <c r="DL4" i="1"/>
  <c r="DB12" i="1"/>
  <c r="EC10" i="1"/>
  <c r="EA7" i="1"/>
  <c r="DL16" i="1"/>
  <c r="DJ8" i="1"/>
  <c r="DL18" i="1"/>
  <c r="DM13" i="1"/>
  <c r="EF13" i="1"/>
  <c r="EE12" i="1"/>
  <c r="DL12" i="1"/>
  <c r="DZ10" i="1"/>
  <c r="DB10" i="1"/>
  <c r="DY9" i="1"/>
  <c r="DA9" i="1"/>
  <c r="CZ8" i="1"/>
  <c r="DX8" i="1"/>
  <c r="DM5" i="1"/>
  <c r="EF5" i="1"/>
  <c r="CZ4" i="1"/>
  <c r="DJ4" i="1"/>
  <c r="DK18" i="1"/>
  <c r="FJ18" i="1"/>
  <c r="DC17" i="1"/>
  <c r="CZ14" i="1"/>
  <c r="CZ12" i="1"/>
  <c r="DJ9" i="1"/>
  <c r="DA8" i="1"/>
  <c r="DY4" i="1"/>
  <c r="EE17" i="1"/>
  <c r="DY12" i="1"/>
  <c r="DY18" i="1"/>
  <c r="DA18" i="1"/>
  <c r="CZ17" i="1"/>
  <c r="DX17" i="1"/>
  <c r="EF14" i="1"/>
  <c r="DM14" i="1"/>
  <c r="EA12" i="1"/>
  <c r="DC12" i="1"/>
  <c r="EC11" i="1"/>
  <c r="DJ11" i="1"/>
  <c r="DB11" i="1"/>
  <c r="DZ11" i="1"/>
  <c r="DY10" i="1"/>
  <c r="DA10" i="1"/>
  <c r="CZ9" i="1"/>
  <c r="DX9" i="1"/>
  <c r="EF6" i="1"/>
  <c r="DM6" i="1"/>
  <c r="EA4" i="1"/>
  <c r="DC4" i="1"/>
  <c r="DC3" i="1"/>
  <c r="DM17" i="1"/>
  <c r="DB17" i="1"/>
  <c r="DL14" i="1"/>
  <c r="DM12" i="1"/>
  <c r="CZ6" i="1"/>
  <c r="EC14" i="1"/>
  <c r="EC6" i="1"/>
  <c r="CZ15" i="1"/>
  <c r="DA11" i="1"/>
  <c r="DY11" i="1"/>
  <c r="DX10" i="1"/>
  <c r="CZ10" i="1"/>
  <c r="DM7" i="1"/>
  <c r="EF7" i="1"/>
  <c r="EE6" i="1"/>
  <c r="DL6" i="1"/>
  <c r="EA5" i="1"/>
  <c r="DC5" i="1"/>
  <c r="DB3" i="1"/>
  <c r="DB4" i="1"/>
  <c r="DM4" i="1"/>
  <c r="DA17" i="1"/>
  <c r="DJ12" i="1"/>
  <c r="DM11" i="1"/>
  <c r="DC9" i="1"/>
  <c r="DJ13" i="1"/>
  <c r="EC13" i="1"/>
  <c r="CZ11" i="1"/>
  <c r="DX11" i="1"/>
  <c r="DM8" i="1"/>
  <c r="EF8" i="1"/>
  <c r="DL7" i="1"/>
  <c r="EE7" i="1"/>
  <c r="DC6" i="1"/>
  <c r="EA6" i="1"/>
  <c r="DJ5" i="1"/>
  <c r="EC5" i="1"/>
  <c r="DZ5" i="1"/>
  <c r="DB5" i="1"/>
  <c r="DJ17" i="1"/>
  <c r="DB16" i="1"/>
  <c r="DL11" i="1"/>
  <c r="DB9" i="1"/>
  <c r="EA11" i="1"/>
  <c r="DL15" i="1"/>
  <c r="EE15" i="1"/>
  <c r="DC14" i="1"/>
  <c r="EA14" i="1"/>
  <c r="DZ13" i="1"/>
  <c r="DB13" i="1"/>
  <c r="DM9" i="1"/>
  <c r="EF9" i="1"/>
  <c r="DL8" i="1"/>
  <c r="EE8" i="1"/>
  <c r="DB6" i="1"/>
  <c r="DZ6" i="1"/>
  <c r="DY5" i="1"/>
  <c r="DA5" i="1"/>
  <c r="DM3" i="1"/>
  <c r="DM16" i="1"/>
  <c r="DA16" i="1"/>
  <c r="DA7" i="1"/>
  <c r="EE13" i="1"/>
  <c r="EE5" i="1"/>
  <c r="W21" i="1"/>
  <c r="X21" i="1"/>
  <c r="EC15" i="1"/>
  <c r="DJ15" i="1"/>
  <c r="DY14" i="1"/>
  <c r="DA14" i="1"/>
  <c r="DX13" i="1"/>
  <c r="CZ13" i="1"/>
  <c r="EA8" i="1"/>
  <c r="DC8" i="1"/>
  <c r="DZ7" i="1"/>
  <c r="DB7" i="1"/>
  <c r="DY6" i="1"/>
  <c r="DA6" i="1"/>
  <c r="DX5" i="1"/>
  <c r="CZ5" i="1"/>
  <c r="CZ3" i="1"/>
  <c r="DC18" i="1"/>
  <c r="DC10" i="1"/>
  <c r="CZ7" i="1"/>
  <c r="EC18" i="1"/>
  <c r="EC3" i="1"/>
  <c r="DJ3" i="1"/>
  <c r="EA16" i="1"/>
  <c r="DC16" i="1"/>
  <c r="DZ15" i="1"/>
  <c r="DB15" i="1"/>
  <c r="EF10" i="1"/>
  <c r="DM10" i="1"/>
  <c r="EC7" i="1"/>
  <c r="DJ7" i="1"/>
  <c r="DM18" i="1"/>
  <c r="DB18" i="1"/>
  <c r="DJ16" i="1"/>
  <c r="DA15" i="1"/>
  <c r="DC13" i="1"/>
  <c r="W20" i="1"/>
  <c r="X20" i="1"/>
  <c r="AP20" i="1"/>
  <c r="AO20" i="1"/>
  <c r="BS14" i="1"/>
  <c r="CQ14" i="1"/>
  <c r="BT14" i="1"/>
  <c r="CR14" i="1"/>
  <c r="BU14" i="1"/>
  <c r="BV14" i="1"/>
  <c r="AF14" i="1"/>
  <c r="AE14" i="1"/>
  <c r="BX14" i="1"/>
  <c r="BZ14" i="1"/>
  <c r="BY14" i="1"/>
  <c r="BS17" i="1"/>
  <c r="CQ17" i="1"/>
  <c r="U19" i="1"/>
  <c r="V19" i="1"/>
  <c r="BU18" i="1"/>
  <c r="BY18" i="1"/>
  <c r="BT18" i="1"/>
  <c r="CR18" i="1"/>
  <c r="BZ18" i="1"/>
  <c r="CX18" i="1"/>
  <c r="U18" i="1"/>
  <c r="V18" i="1"/>
  <c r="BX18" i="1"/>
  <c r="CV18" i="1"/>
  <c r="BV18" i="1"/>
  <c r="BS4" i="1"/>
  <c r="CQ4" i="1"/>
  <c r="BT4" i="1"/>
  <c r="CR4" i="1"/>
  <c r="BU4" i="1"/>
  <c r="BV4" i="1"/>
  <c r="BW4" i="1"/>
  <c r="DS4" i="1"/>
  <c r="BX4" i="1"/>
  <c r="AE3" i="1"/>
  <c r="AE5" i="1"/>
  <c r="AE7" i="1"/>
  <c r="AE8" i="1"/>
  <c r="AE9" i="1"/>
  <c r="AE10" i="1"/>
  <c r="AE11" i="1"/>
  <c r="AE12" i="1"/>
  <c r="AE13" i="1"/>
  <c r="AI15" i="1"/>
  <c r="AJ15" i="1"/>
  <c r="AE15" i="1"/>
  <c r="AE16" i="1"/>
  <c r="AE17" i="1"/>
  <c r="BW18" i="1"/>
  <c r="CU18" i="1"/>
  <c r="B5" i="7"/>
  <c r="B7" i="7"/>
  <c r="B8" i="7"/>
  <c r="B9" i="7"/>
  <c r="B6" i="7"/>
  <c r="AL17" i="1"/>
  <c r="S1403" i="13"/>
  <c r="P1403" i="13"/>
  <c r="R1403" i="13"/>
  <c r="O1403" i="13"/>
  <c r="W1403" i="13"/>
  <c r="N1403" i="13"/>
  <c r="T1403" i="13"/>
  <c r="S1402" i="13"/>
  <c r="P1402" i="13"/>
  <c r="V1402" i="13"/>
  <c r="O1402" i="13"/>
  <c r="N1402" i="13"/>
  <c r="T1402" i="13"/>
  <c r="S1401" i="13"/>
  <c r="P1401" i="13"/>
  <c r="V1401" i="13"/>
  <c r="O1401" i="13"/>
  <c r="N1401" i="13"/>
  <c r="T1401" i="13"/>
  <c r="S1400" i="13"/>
  <c r="P1400" i="13"/>
  <c r="V1400" i="13"/>
  <c r="O1400" i="13"/>
  <c r="Q1400" i="13"/>
  <c r="N1400" i="13"/>
  <c r="T1400" i="13"/>
  <c r="S1399" i="13"/>
  <c r="P1399" i="13"/>
  <c r="V1399" i="13"/>
  <c r="O1399" i="13"/>
  <c r="N1399" i="13"/>
  <c r="T1399" i="13"/>
  <c r="S1398" i="13"/>
  <c r="P1398" i="13"/>
  <c r="R1398" i="13"/>
  <c r="O1398" i="13"/>
  <c r="Q1398" i="13"/>
  <c r="N1398" i="13"/>
  <c r="T1398" i="13"/>
  <c r="S1397" i="13"/>
  <c r="P1397" i="13"/>
  <c r="R1397" i="13"/>
  <c r="O1397" i="13"/>
  <c r="Q1397" i="13"/>
  <c r="N1397" i="13"/>
  <c r="T1397" i="13"/>
  <c r="S1396" i="13"/>
  <c r="P1396" i="13"/>
  <c r="R1396" i="13"/>
  <c r="O1396" i="13"/>
  <c r="N1396" i="13"/>
  <c r="S1395" i="13"/>
  <c r="P1395" i="13"/>
  <c r="R1395" i="13"/>
  <c r="O1395" i="13"/>
  <c r="N1395" i="13"/>
  <c r="T1395" i="13"/>
  <c r="S1394" i="13"/>
  <c r="P1394" i="13"/>
  <c r="V1394" i="13"/>
  <c r="O1394" i="13"/>
  <c r="Q1394" i="13"/>
  <c r="N1394" i="13"/>
  <c r="T1394" i="13"/>
  <c r="S1393" i="13"/>
  <c r="P1393" i="13"/>
  <c r="O1393" i="13"/>
  <c r="N1393" i="13"/>
  <c r="T1393" i="13"/>
  <c r="S1392" i="13"/>
  <c r="P1392" i="13"/>
  <c r="V1392" i="13"/>
  <c r="O1392" i="13"/>
  <c r="Q1392" i="13"/>
  <c r="N1392" i="13"/>
  <c r="T1392" i="13"/>
  <c r="S1391" i="13"/>
  <c r="P1391" i="13"/>
  <c r="V1391" i="13"/>
  <c r="O1391" i="13"/>
  <c r="N1391" i="13"/>
  <c r="T1391" i="13"/>
  <c r="S1390" i="13"/>
  <c r="P1390" i="13"/>
  <c r="R1390" i="13"/>
  <c r="O1390" i="13"/>
  <c r="N1390" i="13"/>
  <c r="T1390" i="13"/>
  <c r="S1389" i="13"/>
  <c r="P1389" i="13"/>
  <c r="R1389" i="13"/>
  <c r="O1389" i="13"/>
  <c r="Q1389" i="13"/>
  <c r="N1389" i="13"/>
  <c r="T1389" i="13"/>
  <c r="S1388" i="13"/>
  <c r="P1388" i="13"/>
  <c r="R1388" i="13"/>
  <c r="O1388" i="13"/>
  <c r="N1388" i="13"/>
  <c r="S1387" i="13"/>
  <c r="P1387" i="13"/>
  <c r="V1387" i="13"/>
  <c r="O1387" i="13"/>
  <c r="N1387" i="13"/>
  <c r="T1387" i="13"/>
  <c r="S1386" i="13"/>
  <c r="P1386" i="13"/>
  <c r="V1386" i="13"/>
  <c r="O1386" i="13"/>
  <c r="Q1386" i="13"/>
  <c r="N1386" i="13"/>
  <c r="T1386" i="13"/>
  <c r="S1385" i="13"/>
  <c r="P1385" i="13"/>
  <c r="O1385" i="13"/>
  <c r="N1385" i="13"/>
  <c r="T1385" i="13"/>
  <c r="S1384" i="13"/>
  <c r="P1384" i="13"/>
  <c r="V1384" i="13"/>
  <c r="O1384" i="13"/>
  <c r="Q1384" i="13"/>
  <c r="N1384" i="13"/>
  <c r="T1384" i="13"/>
  <c r="S1383" i="13"/>
  <c r="P1383" i="13"/>
  <c r="V1383" i="13"/>
  <c r="O1383" i="13"/>
  <c r="N1383" i="13"/>
  <c r="T1383" i="13"/>
  <c r="S1382" i="13"/>
  <c r="P1382" i="13"/>
  <c r="R1382" i="13"/>
  <c r="O1382" i="13"/>
  <c r="N1382" i="13"/>
  <c r="T1382" i="13"/>
  <c r="S1381" i="13"/>
  <c r="P1381" i="13"/>
  <c r="R1381" i="13"/>
  <c r="O1381" i="13"/>
  <c r="Q1381" i="13"/>
  <c r="N1381" i="13"/>
  <c r="T1381" i="13"/>
  <c r="S1380" i="13"/>
  <c r="P1380" i="13"/>
  <c r="V1380" i="13"/>
  <c r="O1380" i="13"/>
  <c r="N1380" i="13"/>
  <c r="S1379" i="13"/>
  <c r="P1379" i="13"/>
  <c r="R1379" i="13"/>
  <c r="O1379" i="13"/>
  <c r="N1379" i="13"/>
  <c r="T1379" i="13"/>
  <c r="S1378" i="13"/>
  <c r="P1378" i="13"/>
  <c r="V1378" i="13"/>
  <c r="O1378" i="13"/>
  <c r="Q1378" i="13"/>
  <c r="N1378" i="13"/>
  <c r="T1378" i="13"/>
  <c r="S1377" i="13"/>
  <c r="P1377" i="13"/>
  <c r="O1377" i="13"/>
  <c r="N1377" i="13"/>
  <c r="T1377" i="13"/>
  <c r="S1376" i="13"/>
  <c r="P1376" i="13"/>
  <c r="V1376" i="13"/>
  <c r="O1376" i="13"/>
  <c r="Q1376" i="13"/>
  <c r="N1376" i="13"/>
  <c r="T1376" i="13"/>
  <c r="S1375" i="13"/>
  <c r="P1375" i="13"/>
  <c r="R1375" i="13"/>
  <c r="O1375" i="13"/>
  <c r="N1375" i="13"/>
  <c r="T1375" i="13"/>
  <c r="S1374" i="13"/>
  <c r="P1374" i="13"/>
  <c r="O1374" i="13"/>
  <c r="N1374" i="13"/>
  <c r="T1374" i="13"/>
  <c r="S1373" i="13"/>
  <c r="P1373" i="13"/>
  <c r="R1373" i="13"/>
  <c r="O1373" i="13"/>
  <c r="N1373" i="13"/>
  <c r="T1373" i="13"/>
  <c r="S1372" i="13"/>
  <c r="P1372" i="13"/>
  <c r="O1372" i="13"/>
  <c r="N1372" i="13"/>
  <c r="S1371" i="13"/>
  <c r="P1371" i="13"/>
  <c r="R1371" i="13"/>
  <c r="O1371" i="13"/>
  <c r="N1371" i="13"/>
  <c r="T1371" i="13"/>
  <c r="S1370" i="13"/>
  <c r="P1370" i="13"/>
  <c r="O1370" i="13"/>
  <c r="Q1370" i="13"/>
  <c r="N1370" i="13"/>
  <c r="T1370" i="13"/>
  <c r="S1369" i="13"/>
  <c r="P1369" i="13"/>
  <c r="R1369" i="13"/>
  <c r="O1369" i="13"/>
  <c r="Q1369" i="13"/>
  <c r="N1369" i="13"/>
  <c r="T1369" i="13"/>
  <c r="S1368" i="13"/>
  <c r="P1368" i="13"/>
  <c r="V1368" i="13"/>
  <c r="O1368" i="13"/>
  <c r="Q1368" i="13"/>
  <c r="N1368" i="13"/>
  <c r="T1368" i="13"/>
  <c r="S1367" i="13"/>
  <c r="P1367" i="13"/>
  <c r="R1367" i="13"/>
  <c r="O1367" i="13"/>
  <c r="N1367" i="13"/>
  <c r="T1367" i="13"/>
  <c r="S1366" i="13"/>
  <c r="P1366" i="13"/>
  <c r="O1366" i="13"/>
  <c r="N1366" i="13"/>
  <c r="T1366" i="13"/>
  <c r="S1365" i="13"/>
  <c r="P1365" i="13"/>
  <c r="R1365" i="13"/>
  <c r="O1365" i="13"/>
  <c r="Q1365" i="13"/>
  <c r="N1365" i="13"/>
  <c r="T1365" i="13"/>
  <c r="S1364" i="13"/>
  <c r="P1364" i="13"/>
  <c r="R1364" i="13"/>
  <c r="O1364" i="13"/>
  <c r="Q1364" i="13"/>
  <c r="N1364" i="13"/>
  <c r="T1364" i="13"/>
  <c r="S1363" i="13"/>
  <c r="P1363" i="13"/>
  <c r="R1363" i="13"/>
  <c r="O1363" i="13"/>
  <c r="Q1363" i="13"/>
  <c r="N1363" i="13"/>
  <c r="T1363" i="13"/>
  <c r="S1362" i="13"/>
  <c r="P1362" i="13"/>
  <c r="O1362" i="13"/>
  <c r="Q1362" i="13"/>
  <c r="N1362" i="13"/>
  <c r="T1362" i="13"/>
  <c r="S1361" i="13"/>
  <c r="P1361" i="13"/>
  <c r="V1361" i="13"/>
  <c r="O1361" i="13"/>
  <c r="Q1361" i="13"/>
  <c r="N1361" i="13"/>
  <c r="T1361" i="13"/>
  <c r="S1360" i="13"/>
  <c r="P1360" i="13"/>
  <c r="V1360" i="13"/>
  <c r="O1360" i="13"/>
  <c r="Q1360" i="13"/>
  <c r="N1360" i="13"/>
  <c r="T1360" i="13"/>
  <c r="S1359" i="13"/>
  <c r="P1359" i="13"/>
  <c r="R1359" i="13"/>
  <c r="O1359" i="13"/>
  <c r="N1359" i="13"/>
  <c r="T1359" i="13"/>
  <c r="S1358" i="13"/>
  <c r="P1358" i="13"/>
  <c r="O1358" i="13"/>
  <c r="N1358" i="13"/>
  <c r="T1358" i="13"/>
  <c r="S1357" i="13"/>
  <c r="P1357" i="13"/>
  <c r="R1357" i="13"/>
  <c r="O1357" i="13"/>
  <c r="Q1357" i="13"/>
  <c r="N1357" i="13"/>
  <c r="T1357" i="13"/>
  <c r="S1356" i="13"/>
  <c r="P1356" i="13"/>
  <c r="O1356" i="13"/>
  <c r="Q1356" i="13"/>
  <c r="N1356" i="13"/>
  <c r="T1356" i="13"/>
  <c r="S1355" i="13"/>
  <c r="P1355" i="13"/>
  <c r="O1355" i="13"/>
  <c r="N1355" i="13"/>
  <c r="S1354" i="13"/>
  <c r="P1354" i="13"/>
  <c r="V1354" i="13"/>
  <c r="O1354" i="13"/>
  <c r="Q1354" i="13"/>
  <c r="N1354" i="13"/>
  <c r="T1354" i="13"/>
  <c r="S1353" i="13"/>
  <c r="P1353" i="13"/>
  <c r="R1353" i="13"/>
  <c r="O1353" i="13"/>
  <c r="Q1353" i="13"/>
  <c r="N1353" i="13"/>
  <c r="T1353" i="13"/>
  <c r="S1352" i="13"/>
  <c r="P1352" i="13"/>
  <c r="V1352" i="13"/>
  <c r="O1352" i="13"/>
  <c r="Q1352" i="13"/>
  <c r="N1352" i="13"/>
  <c r="T1352" i="13"/>
  <c r="S1351" i="13"/>
  <c r="P1351" i="13"/>
  <c r="R1351" i="13"/>
  <c r="O1351" i="13"/>
  <c r="N1351" i="13"/>
  <c r="T1351" i="13"/>
  <c r="S1350" i="13"/>
  <c r="P1350" i="13"/>
  <c r="O1350" i="13"/>
  <c r="N1350" i="13"/>
  <c r="T1350" i="13"/>
  <c r="S1349" i="13"/>
  <c r="P1349" i="13"/>
  <c r="O1349" i="13"/>
  <c r="Q1349" i="13"/>
  <c r="N1349" i="13"/>
  <c r="T1349" i="13"/>
  <c r="S1348" i="13"/>
  <c r="P1348" i="13"/>
  <c r="O1348" i="13"/>
  <c r="Q1348" i="13"/>
  <c r="N1348" i="13"/>
  <c r="T1348" i="13"/>
  <c r="S1347" i="13"/>
  <c r="P1347" i="13"/>
  <c r="R1347" i="13"/>
  <c r="O1347" i="13"/>
  <c r="N1347" i="13"/>
  <c r="T1347" i="13"/>
  <c r="S1346" i="13"/>
  <c r="P1346" i="13"/>
  <c r="O1346" i="13"/>
  <c r="Q1346" i="13"/>
  <c r="N1346" i="13"/>
  <c r="T1346" i="13"/>
  <c r="S1345" i="13"/>
  <c r="P1345" i="13"/>
  <c r="O1345" i="13"/>
  <c r="Q1345" i="13"/>
  <c r="N1345" i="13"/>
  <c r="T1345" i="13"/>
  <c r="S1344" i="13"/>
  <c r="P1344" i="13"/>
  <c r="V1344" i="13"/>
  <c r="O1344" i="13"/>
  <c r="Q1344" i="13"/>
  <c r="N1344" i="13"/>
  <c r="T1344" i="13"/>
  <c r="S1343" i="13"/>
  <c r="P1343" i="13"/>
  <c r="R1343" i="13"/>
  <c r="O1343" i="13"/>
  <c r="N1343" i="13"/>
  <c r="T1343" i="13"/>
  <c r="S1342" i="13"/>
  <c r="P1342" i="13"/>
  <c r="O1342" i="13"/>
  <c r="N1342" i="13"/>
  <c r="T1342" i="13"/>
  <c r="S1341" i="13"/>
  <c r="P1341" i="13"/>
  <c r="R1341" i="13"/>
  <c r="O1341" i="13"/>
  <c r="N1341" i="13"/>
  <c r="S1340" i="13"/>
  <c r="P1340" i="13"/>
  <c r="R1340" i="13"/>
  <c r="O1340" i="13"/>
  <c r="Q1340" i="13"/>
  <c r="N1340" i="13"/>
  <c r="T1340" i="13"/>
  <c r="S1339" i="13"/>
  <c r="P1339" i="13"/>
  <c r="R1339" i="13"/>
  <c r="O1339" i="13"/>
  <c r="N1339" i="13"/>
  <c r="T1339" i="13"/>
  <c r="S1338" i="13"/>
  <c r="P1338" i="13"/>
  <c r="V1338" i="13"/>
  <c r="O1338" i="13"/>
  <c r="Q1338" i="13"/>
  <c r="N1338" i="13"/>
  <c r="T1338" i="13"/>
  <c r="S1337" i="13"/>
  <c r="P1337" i="13"/>
  <c r="R1337" i="13"/>
  <c r="O1337" i="13"/>
  <c r="Q1337" i="13"/>
  <c r="N1337" i="13"/>
  <c r="T1337" i="13"/>
  <c r="S1336" i="13"/>
  <c r="P1336" i="13"/>
  <c r="V1336" i="13"/>
  <c r="O1336" i="13"/>
  <c r="Q1336" i="13"/>
  <c r="N1336" i="13"/>
  <c r="T1336" i="13"/>
  <c r="S1335" i="13"/>
  <c r="P1335" i="13"/>
  <c r="R1335" i="13"/>
  <c r="O1335" i="13"/>
  <c r="N1335" i="13"/>
  <c r="T1335" i="13"/>
  <c r="S1334" i="13"/>
  <c r="P1334" i="13"/>
  <c r="O1334" i="13"/>
  <c r="N1334" i="13"/>
  <c r="T1334" i="13"/>
  <c r="S1333" i="13"/>
  <c r="P1333" i="13"/>
  <c r="O1333" i="13"/>
  <c r="N1333" i="13"/>
  <c r="T1333" i="13"/>
  <c r="S1332" i="13"/>
  <c r="P1332" i="13"/>
  <c r="V1332" i="13"/>
  <c r="O1332" i="13"/>
  <c r="N1332" i="13"/>
  <c r="T1332" i="13"/>
  <c r="S1331" i="13"/>
  <c r="P1331" i="13"/>
  <c r="R1331" i="13"/>
  <c r="O1331" i="13"/>
  <c r="Q1331" i="13"/>
  <c r="N1331" i="13"/>
  <c r="T1331" i="13"/>
  <c r="S1330" i="13"/>
  <c r="P1330" i="13"/>
  <c r="V1330" i="13"/>
  <c r="O1330" i="13"/>
  <c r="Q1330" i="13"/>
  <c r="N1330" i="13"/>
  <c r="T1330" i="13"/>
  <c r="S1329" i="13"/>
  <c r="P1329" i="13"/>
  <c r="O1329" i="13"/>
  <c r="Q1329" i="13"/>
  <c r="N1329" i="13"/>
  <c r="T1329" i="13"/>
  <c r="S1328" i="13"/>
  <c r="P1328" i="13"/>
  <c r="V1328" i="13"/>
  <c r="O1328" i="13"/>
  <c r="Q1328" i="13"/>
  <c r="N1328" i="13"/>
  <c r="T1328" i="13"/>
  <c r="S1327" i="13"/>
  <c r="P1327" i="13"/>
  <c r="R1327" i="13"/>
  <c r="O1327" i="13"/>
  <c r="Q1327" i="13"/>
  <c r="N1327" i="13"/>
  <c r="T1327" i="13"/>
  <c r="S1326" i="13"/>
  <c r="P1326" i="13"/>
  <c r="R1326" i="13"/>
  <c r="O1326" i="13"/>
  <c r="N1326" i="13"/>
  <c r="T1326" i="13"/>
  <c r="S1325" i="13"/>
  <c r="P1325" i="13"/>
  <c r="R1325" i="13"/>
  <c r="O1325" i="13"/>
  <c r="Q1325" i="13"/>
  <c r="N1325" i="13"/>
  <c r="T1325" i="13"/>
  <c r="S1324" i="13"/>
  <c r="P1324" i="13"/>
  <c r="R1324" i="13"/>
  <c r="O1324" i="13"/>
  <c r="N1324" i="13"/>
  <c r="T1324" i="13"/>
  <c r="S1323" i="13"/>
  <c r="P1323" i="13"/>
  <c r="R1323" i="13"/>
  <c r="O1323" i="13"/>
  <c r="Q1323" i="13"/>
  <c r="N1323" i="13"/>
  <c r="T1323" i="13"/>
  <c r="S1322" i="13"/>
  <c r="P1322" i="13"/>
  <c r="V1322" i="13"/>
  <c r="O1322" i="13"/>
  <c r="Q1322" i="13"/>
  <c r="N1322" i="13"/>
  <c r="S1321" i="13"/>
  <c r="P1321" i="13"/>
  <c r="V1321" i="13"/>
  <c r="O1321" i="13"/>
  <c r="Q1321" i="13"/>
  <c r="N1321" i="13"/>
  <c r="S1320" i="13"/>
  <c r="P1320" i="13"/>
  <c r="V1320" i="13"/>
  <c r="O1320" i="13"/>
  <c r="Q1320" i="13"/>
  <c r="N1320" i="13"/>
  <c r="T1320" i="13"/>
  <c r="S1319" i="13"/>
  <c r="P1319" i="13"/>
  <c r="O1319" i="13"/>
  <c r="N1319" i="13"/>
  <c r="T1319" i="13"/>
  <c r="S1318" i="13"/>
  <c r="P1318" i="13"/>
  <c r="R1318" i="13"/>
  <c r="O1318" i="13"/>
  <c r="N1318" i="13"/>
  <c r="T1318" i="13"/>
  <c r="S1317" i="13"/>
  <c r="P1317" i="13"/>
  <c r="R1317" i="13"/>
  <c r="O1317" i="13"/>
  <c r="Q1317" i="13"/>
  <c r="N1317" i="13"/>
  <c r="T1317" i="13"/>
  <c r="S1316" i="13"/>
  <c r="P1316" i="13"/>
  <c r="V1316" i="13"/>
  <c r="O1316" i="13"/>
  <c r="Q1316" i="13"/>
  <c r="N1316" i="13"/>
  <c r="S1315" i="13"/>
  <c r="P1315" i="13"/>
  <c r="O1315" i="13"/>
  <c r="Q1315" i="13"/>
  <c r="N1315" i="13"/>
  <c r="T1315" i="13"/>
  <c r="S1314" i="13"/>
  <c r="P1314" i="13"/>
  <c r="V1314" i="13"/>
  <c r="O1314" i="13"/>
  <c r="N1314" i="13"/>
  <c r="T1314" i="13"/>
  <c r="S1313" i="13"/>
  <c r="P1313" i="13"/>
  <c r="O1313" i="13"/>
  <c r="N1313" i="13"/>
  <c r="T1313" i="13"/>
  <c r="S1312" i="13"/>
  <c r="P1312" i="13"/>
  <c r="V1312" i="13"/>
  <c r="O1312" i="13"/>
  <c r="Q1312" i="13"/>
  <c r="N1312" i="13"/>
  <c r="T1312" i="13"/>
  <c r="S1311" i="13"/>
  <c r="P1311" i="13"/>
  <c r="V1311" i="13"/>
  <c r="O1311" i="13"/>
  <c r="N1311" i="13"/>
  <c r="T1311" i="13"/>
  <c r="S1310" i="13"/>
  <c r="P1310" i="13"/>
  <c r="O1310" i="13"/>
  <c r="Q1310" i="13"/>
  <c r="N1310" i="13"/>
  <c r="S1309" i="13"/>
  <c r="P1309" i="13"/>
  <c r="R1309" i="13"/>
  <c r="O1309" i="13"/>
  <c r="Q1309" i="13"/>
  <c r="N1309" i="13"/>
  <c r="T1309" i="13"/>
  <c r="S1308" i="13"/>
  <c r="P1308" i="13"/>
  <c r="V1308" i="13"/>
  <c r="O1308" i="13"/>
  <c r="W1308" i="13"/>
  <c r="N1308" i="13"/>
  <c r="T1308" i="13"/>
  <c r="S1307" i="13"/>
  <c r="P1307" i="13"/>
  <c r="R1307" i="13"/>
  <c r="O1307" i="13"/>
  <c r="N1307" i="13"/>
  <c r="T1307" i="13"/>
  <c r="S1306" i="13"/>
  <c r="P1306" i="13"/>
  <c r="V1306" i="13"/>
  <c r="O1306" i="13"/>
  <c r="N1306" i="13"/>
  <c r="T1306" i="13"/>
  <c r="S1305" i="13"/>
  <c r="P1305" i="13"/>
  <c r="R1305" i="13"/>
  <c r="O1305" i="13"/>
  <c r="Q1305" i="13"/>
  <c r="U1305" i="13"/>
  <c r="X1305" i="13"/>
  <c r="N1305" i="13"/>
  <c r="T1305" i="13"/>
  <c r="S1304" i="13"/>
  <c r="P1304" i="13"/>
  <c r="O1304" i="13"/>
  <c r="Q1304" i="13"/>
  <c r="N1304" i="13"/>
  <c r="T1304" i="13"/>
  <c r="S1303" i="13"/>
  <c r="P1303" i="13"/>
  <c r="V1303" i="13"/>
  <c r="O1303" i="13"/>
  <c r="N1303" i="13"/>
  <c r="S1302" i="13"/>
  <c r="P1302" i="13"/>
  <c r="R1302" i="13"/>
  <c r="O1302" i="13"/>
  <c r="Q1302" i="13"/>
  <c r="N1302" i="13"/>
  <c r="T1302" i="13"/>
  <c r="S1301" i="13"/>
  <c r="P1301" i="13"/>
  <c r="V1301" i="13"/>
  <c r="O1301" i="13"/>
  <c r="Q1301" i="13"/>
  <c r="N1301" i="13"/>
  <c r="T1301" i="13"/>
  <c r="S1300" i="13"/>
  <c r="P1300" i="13"/>
  <c r="O1300" i="13"/>
  <c r="Q1300" i="13"/>
  <c r="N1300" i="13"/>
  <c r="T1300" i="13"/>
  <c r="S1299" i="13"/>
  <c r="P1299" i="13"/>
  <c r="V1299" i="13"/>
  <c r="O1299" i="13"/>
  <c r="Q1299" i="13"/>
  <c r="N1299" i="13"/>
  <c r="T1299" i="13"/>
  <c r="S1298" i="13"/>
  <c r="P1298" i="13"/>
  <c r="V1298" i="13"/>
  <c r="O1298" i="13"/>
  <c r="N1298" i="13"/>
  <c r="T1298" i="13"/>
  <c r="S1297" i="13"/>
  <c r="P1297" i="13"/>
  <c r="R1297" i="13"/>
  <c r="O1297" i="13"/>
  <c r="Q1297" i="13"/>
  <c r="U1297" i="13"/>
  <c r="X1297" i="13"/>
  <c r="N1297" i="13"/>
  <c r="T1297" i="13"/>
  <c r="S1296" i="13"/>
  <c r="P1296" i="13"/>
  <c r="O1296" i="13"/>
  <c r="N1296" i="13"/>
  <c r="T1296" i="13"/>
  <c r="S1295" i="13"/>
  <c r="P1295" i="13"/>
  <c r="V1295" i="13"/>
  <c r="O1295" i="13"/>
  <c r="N1295" i="13"/>
  <c r="T1295" i="13"/>
  <c r="S1294" i="13"/>
  <c r="P1294" i="13"/>
  <c r="R1294" i="13"/>
  <c r="O1294" i="13"/>
  <c r="N1294" i="13"/>
  <c r="S1293" i="13"/>
  <c r="P1293" i="13"/>
  <c r="O1293" i="13"/>
  <c r="Q1293" i="13"/>
  <c r="N1293" i="13"/>
  <c r="T1293" i="13"/>
  <c r="S1292" i="13"/>
  <c r="P1292" i="13"/>
  <c r="O1292" i="13"/>
  <c r="Q1292" i="13"/>
  <c r="N1292" i="13"/>
  <c r="T1292" i="13"/>
  <c r="S1291" i="13"/>
  <c r="P1291" i="13"/>
  <c r="O1291" i="13"/>
  <c r="Q1291" i="13"/>
  <c r="N1291" i="13"/>
  <c r="S1290" i="13"/>
  <c r="P1290" i="13"/>
  <c r="O1290" i="13"/>
  <c r="Q1290" i="13"/>
  <c r="N1290" i="13"/>
  <c r="T1290" i="13"/>
  <c r="S1289" i="13"/>
  <c r="P1289" i="13"/>
  <c r="O1289" i="13"/>
  <c r="Q1289" i="13"/>
  <c r="N1289" i="13"/>
  <c r="T1289" i="13"/>
  <c r="S1288" i="13"/>
  <c r="P1288" i="13"/>
  <c r="R1288" i="13"/>
  <c r="O1288" i="13"/>
  <c r="Q1288" i="13"/>
  <c r="N1288" i="13"/>
  <c r="T1288" i="13"/>
  <c r="S1287" i="13"/>
  <c r="P1287" i="13"/>
  <c r="O1287" i="13"/>
  <c r="Q1287" i="13"/>
  <c r="N1287" i="13"/>
  <c r="T1287" i="13"/>
  <c r="S1286" i="13"/>
  <c r="P1286" i="13"/>
  <c r="R1286" i="13"/>
  <c r="O1286" i="13"/>
  <c r="Q1286" i="13"/>
  <c r="U1286" i="13"/>
  <c r="X1286" i="13"/>
  <c r="N1286" i="13"/>
  <c r="T1286" i="13"/>
  <c r="S1285" i="13"/>
  <c r="P1285" i="13"/>
  <c r="O1285" i="13"/>
  <c r="N1285" i="13"/>
  <c r="S1284" i="13"/>
  <c r="P1284" i="13"/>
  <c r="O1284" i="13"/>
  <c r="Q1284" i="13"/>
  <c r="N1284" i="13"/>
  <c r="T1284" i="13"/>
  <c r="S1283" i="13"/>
  <c r="P1283" i="13"/>
  <c r="R1283" i="13"/>
  <c r="O1283" i="13"/>
  <c r="Q1283" i="13"/>
  <c r="N1283" i="13"/>
  <c r="T1283" i="13"/>
  <c r="S1282" i="13"/>
  <c r="P1282" i="13"/>
  <c r="O1282" i="13"/>
  <c r="Q1282" i="13"/>
  <c r="N1282" i="13"/>
  <c r="T1282" i="13"/>
  <c r="S1281" i="13"/>
  <c r="P1281" i="13"/>
  <c r="O1281" i="13"/>
  <c r="Q1281" i="13"/>
  <c r="N1281" i="13"/>
  <c r="T1281" i="13"/>
  <c r="S1280" i="13"/>
  <c r="P1280" i="13"/>
  <c r="O1280" i="13"/>
  <c r="N1280" i="13"/>
  <c r="T1280" i="13"/>
  <c r="S1279" i="13"/>
  <c r="P1279" i="13"/>
  <c r="R1279" i="13"/>
  <c r="O1279" i="13"/>
  <c r="N1279" i="13"/>
  <c r="T1279" i="13"/>
  <c r="S1278" i="13"/>
  <c r="P1278" i="13"/>
  <c r="O1278" i="13"/>
  <c r="Q1278" i="13"/>
  <c r="N1278" i="13"/>
  <c r="T1278" i="13"/>
  <c r="S1277" i="13"/>
  <c r="P1277" i="13"/>
  <c r="O1277" i="13"/>
  <c r="Q1277" i="13"/>
  <c r="N1277" i="13"/>
  <c r="T1277" i="13"/>
  <c r="S1276" i="13"/>
  <c r="P1276" i="13"/>
  <c r="R1276" i="13"/>
  <c r="O1276" i="13"/>
  <c r="Q1276" i="13"/>
  <c r="N1276" i="13"/>
  <c r="S1275" i="13"/>
  <c r="P1275" i="13"/>
  <c r="R1275" i="13"/>
  <c r="O1275" i="13"/>
  <c r="Q1275" i="13"/>
  <c r="N1275" i="13"/>
  <c r="T1275" i="13"/>
  <c r="S1274" i="13"/>
  <c r="P1274" i="13"/>
  <c r="O1274" i="13"/>
  <c r="Q1274" i="13"/>
  <c r="N1274" i="13"/>
  <c r="T1274" i="13"/>
  <c r="S1273" i="13"/>
  <c r="P1273" i="13"/>
  <c r="R1273" i="13"/>
  <c r="O1273" i="13"/>
  <c r="Q1273" i="13"/>
  <c r="N1273" i="13"/>
  <c r="T1273" i="13"/>
  <c r="S1272" i="13"/>
  <c r="P1272" i="13"/>
  <c r="O1272" i="13"/>
  <c r="N1272" i="13"/>
  <c r="T1272" i="13"/>
  <c r="S1271" i="13"/>
  <c r="P1271" i="13"/>
  <c r="R1271" i="13"/>
  <c r="O1271" i="13"/>
  <c r="N1271" i="13"/>
  <c r="T1271" i="13"/>
  <c r="S1270" i="13"/>
  <c r="P1270" i="13"/>
  <c r="O1270" i="13"/>
  <c r="Q1270" i="13"/>
  <c r="N1270" i="13"/>
  <c r="T1270" i="13"/>
  <c r="S1269" i="13"/>
  <c r="P1269" i="13"/>
  <c r="R1269" i="13"/>
  <c r="O1269" i="13"/>
  <c r="Q1269" i="13"/>
  <c r="N1269" i="13"/>
  <c r="T1269" i="13"/>
  <c r="S1268" i="13"/>
  <c r="P1268" i="13"/>
  <c r="R1268" i="13"/>
  <c r="O1268" i="13"/>
  <c r="Q1268" i="13"/>
  <c r="N1268" i="13"/>
  <c r="T1268" i="13"/>
  <c r="S1267" i="13"/>
  <c r="P1267" i="13"/>
  <c r="R1267" i="13"/>
  <c r="O1267" i="13"/>
  <c r="N1267" i="13"/>
  <c r="T1267" i="13"/>
  <c r="S1266" i="13"/>
  <c r="P1266" i="13"/>
  <c r="V1266" i="13"/>
  <c r="O1266" i="13"/>
  <c r="Q1266" i="13"/>
  <c r="N1266" i="13"/>
  <c r="S1265" i="13"/>
  <c r="P1265" i="13"/>
  <c r="V1265" i="13"/>
  <c r="O1265" i="13"/>
  <c r="Q1265" i="13"/>
  <c r="N1265" i="13"/>
  <c r="T1265" i="13"/>
  <c r="S1264" i="13"/>
  <c r="P1264" i="13"/>
  <c r="V1264" i="13"/>
  <c r="O1264" i="13"/>
  <c r="Q1264" i="13"/>
  <c r="N1264" i="13"/>
  <c r="T1264" i="13"/>
  <c r="S1263" i="13"/>
  <c r="P1263" i="13"/>
  <c r="R1263" i="13"/>
  <c r="O1263" i="13"/>
  <c r="N1263" i="13"/>
  <c r="S1262" i="13"/>
  <c r="P1262" i="13"/>
  <c r="O1262" i="13"/>
  <c r="N1262" i="13"/>
  <c r="T1262" i="13"/>
  <c r="S1261" i="13"/>
  <c r="P1261" i="13"/>
  <c r="V1261" i="13"/>
  <c r="O1261" i="13"/>
  <c r="N1261" i="13"/>
  <c r="T1261" i="13"/>
  <c r="S1260" i="13"/>
  <c r="P1260" i="13"/>
  <c r="O1260" i="13"/>
  <c r="Q1260" i="13"/>
  <c r="N1260" i="13"/>
  <c r="T1260" i="13"/>
  <c r="S1259" i="13"/>
  <c r="P1259" i="13"/>
  <c r="O1259" i="13"/>
  <c r="Q1259" i="13"/>
  <c r="N1259" i="13"/>
  <c r="T1259" i="13"/>
  <c r="S1258" i="13"/>
  <c r="P1258" i="13"/>
  <c r="V1258" i="13"/>
  <c r="O1258" i="13"/>
  <c r="N1258" i="13"/>
  <c r="T1258" i="13"/>
  <c r="S1257" i="13"/>
  <c r="P1257" i="13"/>
  <c r="R1257" i="13"/>
  <c r="O1257" i="13"/>
  <c r="Q1257" i="13"/>
  <c r="N1257" i="13"/>
  <c r="T1257" i="13"/>
  <c r="S1256" i="13"/>
  <c r="P1256" i="13"/>
  <c r="V1256" i="13"/>
  <c r="O1256" i="13"/>
  <c r="N1256" i="13"/>
  <c r="T1256" i="13"/>
  <c r="S1255" i="13"/>
  <c r="P1255" i="13"/>
  <c r="V1255" i="13"/>
  <c r="O1255" i="13"/>
  <c r="N1255" i="13"/>
  <c r="T1255" i="13"/>
  <c r="S1254" i="13"/>
  <c r="P1254" i="13"/>
  <c r="R1254" i="13"/>
  <c r="O1254" i="13"/>
  <c r="N1254" i="13"/>
  <c r="T1254" i="13"/>
  <c r="S1253" i="13"/>
  <c r="P1253" i="13"/>
  <c r="O1253" i="13"/>
  <c r="N1253" i="13"/>
  <c r="T1253" i="13"/>
  <c r="S1252" i="13"/>
  <c r="P1252" i="13"/>
  <c r="R1252" i="13"/>
  <c r="O1252" i="13"/>
  <c r="Q1252" i="13"/>
  <c r="N1252" i="13"/>
  <c r="S1251" i="13"/>
  <c r="P1251" i="13"/>
  <c r="V1251" i="13"/>
  <c r="O1251" i="13"/>
  <c r="Q1251" i="13"/>
  <c r="N1251" i="13"/>
  <c r="T1251" i="13"/>
  <c r="S1250" i="13"/>
  <c r="P1250" i="13"/>
  <c r="O1250" i="13"/>
  <c r="N1250" i="13"/>
  <c r="S1249" i="13"/>
  <c r="P1249" i="13"/>
  <c r="R1249" i="13"/>
  <c r="O1249" i="13"/>
  <c r="Q1249" i="13"/>
  <c r="N1249" i="13"/>
  <c r="S1248" i="13"/>
  <c r="P1248" i="13"/>
  <c r="V1248" i="13"/>
  <c r="O1248" i="13"/>
  <c r="N1248" i="13"/>
  <c r="T1248" i="13"/>
  <c r="S1247" i="13"/>
  <c r="P1247" i="13"/>
  <c r="R1247" i="13"/>
  <c r="O1247" i="13"/>
  <c r="N1247" i="13"/>
  <c r="T1247" i="13"/>
  <c r="S1246" i="13"/>
  <c r="P1246" i="13"/>
  <c r="R1246" i="13"/>
  <c r="O1246" i="13"/>
  <c r="Q1246" i="13"/>
  <c r="N1246" i="13"/>
  <c r="T1246" i="13"/>
  <c r="S1245" i="13"/>
  <c r="P1245" i="13"/>
  <c r="O1245" i="13"/>
  <c r="N1245" i="13"/>
  <c r="T1245" i="13"/>
  <c r="S1244" i="13"/>
  <c r="P1244" i="13"/>
  <c r="R1244" i="13"/>
  <c r="O1244" i="13"/>
  <c r="Q1244" i="13"/>
  <c r="N1244" i="13"/>
  <c r="T1244" i="13"/>
  <c r="S1243" i="13"/>
  <c r="P1243" i="13"/>
  <c r="V1243" i="13"/>
  <c r="O1243" i="13"/>
  <c r="Q1243" i="13"/>
  <c r="N1243" i="13"/>
  <c r="S1242" i="13"/>
  <c r="P1242" i="13"/>
  <c r="V1242" i="13"/>
  <c r="O1242" i="13"/>
  <c r="Q1242" i="13"/>
  <c r="N1242" i="13"/>
  <c r="S1241" i="13"/>
  <c r="P1241" i="13"/>
  <c r="O1241" i="13"/>
  <c r="Q1241" i="13"/>
  <c r="N1241" i="13"/>
  <c r="T1241" i="13"/>
  <c r="S1240" i="13"/>
  <c r="P1240" i="13"/>
  <c r="V1240" i="13"/>
  <c r="O1240" i="13"/>
  <c r="N1240" i="13"/>
  <c r="S1239" i="13"/>
  <c r="P1239" i="13"/>
  <c r="V1239" i="13"/>
  <c r="O1239" i="13"/>
  <c r="Q1239" i="13"/>
  <c r="N1239" i="13"/>
  <c r="T1239" i="13"/>
  <c r="S1238" i="13"/>
  <c r="P1238" i="13"/>
  <c r="O1238" i="13"/>
  <c r="N1238" i="13"/>
  <c r="T1238" i="13"/>
  <c r="S1237" i="13"/>
  <c r="P1237" i="13"/>
  <c r="V1237" i="13"/>
  <c r="O1237" i="13"/>
  <c r="Q1237" i="13"/>
  <c r="N1237" i="13"/>
  <c r="T1237" i="13"/>
  <c r="S1236" i="13"/>
  <c r="P1236" i="13"/>
  <c r="O1236" i="13"/>
  <c r="Q1236" i="13"/>
  <c r="N1236" i="13"/>
  <c r="T1236" i="13"/>
  <c r="S1235" i="13"/>
  <c r="P1235" i="13"/>
  <c r="R1235" i="13"/>
  <c r="O1235" i="13"/>
  <c r="N1235" i="13"/>
  <c r="T1235" i="13"/>
  <c r="S1234" i="13"/>
  <c r="P1234" i="13"/>
  <c r="O1234" i="13"/>
  <c r="N1234" i="13"/>
  <c r="T1234" i="13"/>
  <c r="S1233" i="13"/>
  <c r="P1233" i="13"/>
  <c r="R1233" i="13"/>
  <c r="O1233" i="13"/>
  <c r="Q1233" i="13"/>
  <c r="N1233" i="13"/>
  <c r="S1232" i="13"/>
  <c r="P1232" i="13"/>
  <c r="O1232" i="13"/>
  <c r="N1232" i="13"/>
  <c r="T1232" i="13"/>
  <c r="S1231" i="13"/>
  <c r="P1231" i="13"/>
  <c r="O1231" i="13"/>
  <c r="Q1231" i="13"/>
  <c r="N1231" i="13"/>
  <c r="T1231" i="13"/>
  <c r="S1230" i="13"/>
  <c r="P1230" i="13"/>
  <c r="O1230" i="13"/>
  <c r="N1230" i="13"/>
  <c r="T1230" i="13"/>
  <c r="S1229" i="13"/>
  <c r="P1229" i="13"/>
  <c r="V1229" i="13"/>
  <c r="O1229" i="13"/>
  <c r="Q1229" i="13"/>
  <c r="N1229" i="13"/>
  <c r="T1229" i="13"/>
  <c r="S1228" i="13"/>
  <c r="P1228" i="13"/>
  <c r="R1228" i="13"/>
  <c r="O1228" i="13"/>
  <c r="Q1228" i="13"/>
  <c r="N1228" i="13"/>
  <c r="T1228" i="13"/>
  <c r="S1227" i="13"/>
  <c r="P1227" i="13"/>
  <c r="V1227" i="13"/>
  <c r="O1227" i="13"/>
  <c r="N1227" i="13"/>
  <c r="T1227" i="13"/>
  <c r="S1226" i="13"/>
  <c r="P1226" i="13"/>
  <c r="O1226" i="13"/>
  <c r="N1226" i="13"/>
  <c r="T1226" i="13"/>
  <c r="S1225" i="13"/>
  <c r="P1225" i="13"/>
  <c r="R1225" i="13"/>
  <c r="O1225" i="13"/>
  <c r="Q1225" i="13"/>
  <c r="N1225" i="13"/>
  <c r="T1225" i="13"/>
  <c r="S1224" i="13"/>
  <c r="P1224" i="13"/>
  <c r="O1224" i="13"/>
  <c r="N1224" i="13"/>
  <c r="T1224" i="13"/>
  <c r="S1223" i="13"/>
  <c r="P1223" i="13"/>
  <c r="R1223" i="13"/>
  <c r="V1223" i="13"/>
  <c r="O1223" i="13"/>
  <c r="Q1223" i="13"/>
  <c r="N1223" i="13"/>
  <c r="T1223" i="13"/>
  <c r="S1222" i="13"/>
  <c r="P1222" i="13"/>
  <c r="O1222" i="13"/>
  <c r="N1222" i="13"/>
  <c r="T1222" i="13"/>
  <c r="S1221" i="13"/>
  <c r="P1221" i="13"/>
  <c r="V1221" i="13"/>
  <c r="O1221" i="13"/>
  <c r="Q1221" i="13"/>
  <c r="N1221" i="13"/>
  <c r="T1221" i="13"/>
  <c r="S1220" i="13"/>
  <c r="P1220" i="13"/>
  <c r="O1220" i="13"/>
  <c r="Q1220" i="13"/>
  <c r="N1220" i="13"/>
  <c r="T1220" i="13"/>
  <c r="S1219" i="13"/>
  <c r="P1219" i="13"/>
  <c r="V1219" i="13"/>
  <c r="O1219" i="13"/>
  <c r="Q1219" i="13"/>
  <c r="N1219" i="13"/>
  <c r="T1219" i="13"/>
  <c r="S1218" i="13"/>
  <c r="P1218" i="13"/>
  <c r="R1218" i="13"/>
  <c r="O1218" i="13"/>
  <c r="Q1218" i="13"/>
  <c r="U1218" i="13"/>
  <c r="X1218" i="13"/>
  <c r="N1218" i="13"/>
  <c r="T1218" i="13"/>
  <c r="S1217" i="13"/>
  <c r="P1217" i="13"/>
  <c r="O1217" i="13"/>
  <c r="Q1217" i="13"/>
  <c r="N1217" i="13"/>
  <c r="T1217" i="13"/>
  <c r="S1216" i="13"/>
  <c r="P1216" i="13"/>
  <c r="O1216" i="13"/>
  <c r="N1216" i="13"/>
  <c r="T1216" i="13"/>
  <c r="S1215" i="13"/>
  <c r="P1215" i="13"/>
  <c r="O1215" i="13"/>
  <c r="Q1215" i="13"/>
  <c r="N1215" i="13"/>
  <c r="T1215" i="13"/>
  <c r="S1214" i="13"/>
  <c r="P1214" i="13"/>
  <c r="O1214" i="13"/>
  <c r="N1214" i="13"/>
  <c r="T1214" i="13"/>
  <c r="S1213" i="13"/>
  <c r="P1213" i="13"/>
  <c r="O1213" i="13"/>
  <c r="Q1213" i="13"/>
  <c r="N1213" i="13"/>
  <c r="T1213" i="13"/>
  <c r="S1212" i="13"/>
  <c r="P1212" i="13"/>
  <c r="R1212" i="13"/>
  <c r="O1212" i="13"/>
  <c r="Q1212" i="13"/>
  <c r="N1212" i="13"/>
  <c r="T1212" i="13"/>
  <c r="S1211" i="13"/>
  <c r="P1211" i="13"/>
  <c r="O1211" i="13"/>
  <c r="Q1211" i="13"/>
  <c r="N1211" i="13"/>
  <c r="T1211" i="13"/>
  <c r="S1210" i="13"/>
  <c r="P1210" i="13"/>
  <c r="R1210" i="13"/>
  <c r="O1210" i="13"/>
  <c r="Q1210" i="13"/>
  <c r="N1210" i="13"/>
  <c r="T1210" i="13"/>
  <c r="S1209" i="13"/>
  <c r="P1209" i="13"/>
  <c r="O1209" i="13"/>
  <c r="Q1209" i="13"/>
  <c r="N1209" i="13"/>
  <c r="T1209" i="13"/>
  <c r="S1208" i="13"/>
  <c r="P1208" i="13"/>
  <c r="V1208" i="13"/>
  <c r="O1208" i="13"/>
  <c r="N1208" i="13"/>
  <c r="T1208" i="13"/>
  <c r="S1207" i="13"/>
  <c r="P1207" i="13"/>
  <c r="O1207" i="13"/>
  <c r="Q1207" i="13"/>
  <c r="N1207" i="13"/>
  <c r="T1207" i="13"/>
  <c r="S1206" i="13"/>
  <c r="P1206" i="13"/>
  <c r="O1206" i="13"/>
  <c r="N1206" i="13"/>
  <c r="T1206" i="13"/>
  <c r="S1205" i="13"/>
  <c r="P1205" i="13"/>
  <c r="O1205" i="13"/>
  <c r="Q1205" i="13"/>
  <c r="N1205" i="13"/>
  <c r="T1205" i="13"/>
  <c r="S1204" i="13"/>
  <c r="P1204" i="13"/>
  <c r="V1204" i="13"/>
  <c r="O1204" i="13"/>
  <c r="Q1204" i="13"/>
  <c r="N1204" i="13"/>
  <c r="T1204" i="13"/>
  <c r="S1203" i="13"/>
  <c r="P1203" i="13"/>
  <c r="O1203" i="13"/>
  <c r="Q1203" i="13"/>
  <c r="N1203" i="13"/>
  <c r="T1203" i="13"/>
  <c r="S1202" i="13"/>
  <c r="P1202" i="13"/>
  <c r="O1202" i="13"/>
  <c r="Q1202" i="13"/>
  <c r="N1202" i="13"/>
  <c r="T1202" i="13"/>
  <c r="S1201" i="13"/>
  <c r="P1201" i="13"/>
  <c r="O1201" i="13"/>
  <c r="Q1201" i="13"/>
  <c r="N1201" i="13"/>
  <c r="T1201" i="13"/>
  <c r="S1200" i="13"/>
  <c r="P1200" i="13"/>
  <c r="O1200" i="13"/>
  <c r="Q1200" i="13"/>
  <c r="N1200" i="13"/>
  <c r="T1200" i="13"/>
  <c r="S1199" i="13"/>
  <c r="P1199" i="13"/>
  <c r="O1199" i="13"/>
  <c r="Q1199" i="13"/>
  <c r="N1199" i="13"/>
  <c r="T1199" i="13"/>
  <c r="S1198" i="13"/>
  <c r="P1198" i="13"/>
  <c r="O1198" i="13"/>
  <c r="Q1198" i="13"/>
  <c r="N1198" i="13"/>
  <c r="T1198" i="13"/>
  <c r="S1197" i="13"/>
  <c r="P1197" i="13"/>
  <c r="O1197" i="13"/>
  <c r="Q1197" i="13"/>
  <c r="N1197" i="13"/>
  <c r="T1197" i="13"/>
  <c r="S1196" i="13"/>
  <c r="P1196" i="13"/>
  <c r="O1196" i="13"/>
  <c r="N1196" i="13"/>
  <c r="T1196" i="13"/>
  <c r="V1195" i="13"/>
  <c r="S1195" i="13"/>
  <c r="P1195" i="13"/>
  <c r="R1195" i="13"/>
  <c r="O1195" i="13"/>
  <c r="Q1195" i="13"/>
  <c r="N1195" i="13"/>
  <c r="T1195" i="13"/>
  <c r="S1194" i="13"/>
  <c r="P1194" i="13"/>
  <c r="O1194" i="13"/>
  <c r="Q1194" i="13"/>
  <c r="N1194" i="13"/>
  <c r="T1194" i="13"/>
  <c r="S1193" i="13"/>
  <c r="P1193" i="13"/>
  <c r="O1193" i="13"/>
  <c r="N1193" i="13"/>
  <c r="S1192" i="13"/>
  <c r="P1192" i="13"/>
  <c r="V1192" i="13"/>
  <c r="O1192" i="13"/>
  <c r="Q1192" i="13"/>
  <c r="N1192" i="13"/>
  <c r="T1192" i="13"/>
  <c r="S1191" i="13"/>
  <c r="P1191" i="13"/>
  <c r="R1191" i="13"/>
  <c r="O1191" i="13"/>
  <c r="Q1191" i="13"/>
  <c r="N1191" i="13"/>
  <c r="T1191" i="13"/>
  <c r="S1190" i="13"/>
  <c r="P1190" i="13"/>
  <c r="V1190" i="13"/>
  <c r="O1190" i="13"/>
  <c r="N1190" i="13"/>
  <c r="T1190" i="13"/>
  <c r="S1189" i="13"/>
  <c r="P1189" i="13"/>
  <c r="O1189" i="13"/>
  <c r="Q1189" i="13"/>
  <c r="N1189" i="13"/>
  <c r="T1189" i="13"/>
  <c r="S1188" i="13"/>
  <c r="P1188" i="13"/>
  <c r="R1188" i="13"/>
  <c r="O1188" i="13"/>
  <c r="Q1188" i="13"/>
  <c r="N1188" i="13"/>
  <c r="T1188" i="13"/>
  <c r="S1187" i="13"/>
  <c r="P1187" i="13"/>
  <c r="O1187" i="13"/>
  <c r="Q1187" i="13"/>
  <c r="N1187" i="13"/>
  <c r="T1187" i="13"/>
  <c r="S1186" i="13"/>
  <c r="P1186" i="13"/>
  <c r="R1186" i="13"/>
  <c r="O1186" i="13"/>
  <c r="Q1186" i="13"/>
  <c r="N1186" i="13"/>
  <c r="T1186" i="13"/>
  <c r="S1185" i="13"/>
  <c r="P1185" i="13"/>
  <c r="O1185" i="13"/>
  <c r="N1185" i="13"/>
  <c r="T1185" i="13"/>
  <c r="S1184" i="13"/>
  <c r="P1184" i="13"/>
  <c r="O1184" i="13"/>
  <c r="Q1184" i="13"/>
  <c r="N1184" i="13"/>
  <c r="T1184" i="13"/>
  <c r="S1183" i="13"/>
  <c r="P1183" i="13"/>
  <c r="R1183" i="13"/>
  <c r="O1183" i="13"/>
  <c r="Q1183" i="13"/>
  <c r="U1183" i="13"/>
  <c r="X1183" i="13"/>
  <c r="N1183" i="13"/>
  <c r="T1183" i="13"/>
  <c r="S1182" i="13"/>
  <c r="P1182" i="13"/>
  <c r="V1182" i="13"/>
  <c r="O1182" i="13"/>
  <c r="N1182" i="13"/>
  <c r="T1182" i="13"/>
  <c r="S1181" i="13"/>
  <c r="P1181" i="13"/>
  <c r="O1181" i="13"/>
  <c r="Q1181" i="13"/>
  <c r="N1181" i="13"/>
  <c r="T1181" i="13"/>
  <c r="S1180" i="13"/>
  <c r="R1180" i="13"/>
  <c r="P1180" i="13"/>
  <c r="V1180" i="13"/>
  <c r="O1180" i="13"/>
  <c r="Q1180" i="13"/>
  <c r="N1180" i="13"/>
  <c r="T1180" i="13"/>
  <c r="S1179" i="13"/>
  <c r="P1179" i="13"/>
  <c r="O1179" i="13"/>
  <c r="N1179" i="13"/>
  <c r="T1179" i="13"/>
  <c r="S1178" i="13"/>
  <c r="P1178" i="13"/>
  <c r="R1178" i="13"/>
  <c r="O1178" i="13"/>
  <c r="Q1178" i="13"/>
  <c r="U1178" i="13"/>
  <c r="X1178" i="13"/>
  <c r="N1178" i="13"/>
  <c r="T1178" i="13"/>
  <c r="S1177" i="13"/>
  <c r="P1177" i="13"/>
  <c r="R1177" i="13"/>
  <c r="O1177" i="13"/>
  <c r="Q1177" i="13"/>
  <c r="N1177" i="13"/>
  <c r="T1177" i="13"/>
  <c r="S1176" i="13"/>
  <c r="P1176" i="13"/>
  <c r="O1176" i="13"/>
  <c r="Q1176" i="13"/>
  <c r="N1176" i="13"/>
  <c r="T1176" i="13"/>
  <c r="S1175" i="13"/>
  <c r="P1175" i="13"/>
  <c r="V1175" i="13"/>
  <c r="O1175" i="13"/>
  <c r="N1175" i="13"/>
  <c r="T1175" i="13"/>
  <c r="S1174" i="13"/>
  <c r="P1174" i="13"/>
  <c r="R1174" i="13"/>
  <c r="O1174" i="13"/>
  <c r="N1174" i="13"/>
  <c r="T1174" i="13"/>
  <c r="S1173" i="13"/>
  <c r="P1173" i="13"/>
  <c r="R1173" i="13"/>
  <c r="O1173" i="13"/>
  <c r="Q1173" i="13"/>
  <c r="N1173" i="13"/>
  <c r="T1173" i="13"/>
  <c r="S1172" i="13"/>
  <c r="P1172" i="13"/>
  <c r="R1172" i="13"/>
  <c r="O1172" i="13"/>
  <c r="N1172" i="13"/>
  <c r="T1172" i="13"/>
  <c r="S1171" i="13"/>
  <c r="P1171" i="13"/>
  <c r="O1171" i="13"/>
  <c r="Q1171" i="13"/>
  <c r="N1171" i="13"/>
  <c r="T1171" i="13"/>
  <c r="S1170" i="13"/>
  <c r="P1170" i="13"/>
  <c r="O1170" i="13"/>
  <c r="Q1170" i="13"/>
  <c r="N1170" i="13"/>
  <c r="S1169" i="13"/>
  <c r="P1169" i="13"/>
  <c r="V1169" i="13"/>
  <c r="O1169" i="13"/>
  <c r="Q1169" i="13"/>
  <c r="N1169" i="13"/>
  <c r="T1169" i="13"/>
  <c r="S1168" i="13"/>
  <c r="P1168" i="13"/>
  <c r="R1168" i="13"/>
  <c r="O1168" i="13"/>
  <c r="Q1168" i="13"/>
  <c r="N1168" i="13"/>
  <c r="T1168" i="13"/>
  <c r="S1167" i="13"/>
  <c r="P1167" i="13"/>
  <c r="V1167" i="13"/>
  <c r="O1167" i="13"/>
  <c r="N1167" i="13"/>
  <c r="T1167" i="13"/>
  <c r="S1166" i="13"/>
  <c r="P1166" i="13"/>
  <c r="R1166" i="13"/>
  <c r="O1166" i="13"/>
  <c r="N1166" i="13"/>
  <c r="T1166" i="13"/>
  <c r="S1165" i="13"/>
  <c r="P1165" i="13"/>
  <c r="R1165" i="13"/>
  <c r="O1165" i="13"/>
  <c r="N1165" i="13"/>
  <c r="T1165" i="13"/>
  <c r="S1164" i="13"/>
  <c r="P1164" i="13"/>
  <c r="V1164" i="13"/>
  <c r="O1164" i="13"/>
  <c r="N1164" i="13"/>
  <c r="T1164" i="13"/>
  <c r="S1163" i="13"/>
  <c r="P1163" i="13"/>
  <c r="R1163" i="13"/>
  <c r="O1163" i="13"/>
  <c r="Q1163" i="13"/>
  <c r="U1163" i="13"/>
  <c r="X1163" i="13"/>
  <c r="N1163" i="13"/>
  <c r="T1163" i="13"/>
  <c r="S1162" i="13"/>
  <c r="P1162" i="13"/>
  <c r="O1162" i="13"/>
  <c r="N1162" i="13"/>
  <c r="T1162" i="13"/>
  <c r="S1161" i="13"/>
  <c r="P1161" i="13"/>
  <c r="V1161" i="13"/>
  <c r="O1161" i="13"/>
  <c r="Q1161" i="13"/>
  <c r="N1161" i="13"/>
  <c r="T1161" i="13"/>
  <c r="S1160" i="13"/>
  <c r="P1160" i="13"/>
  <c r="R1160" i="13"/>
  <c r="O1160" i="13"/>
  <c r="Q1160" i="13"/>
  <c r="N1160" i="13"/>
  <c r="T1160" i="13"/>
  <c r="S1159" i="13"/>
  <c r="P1159" i="13"/>
  <c r="V1159" i="13"/>
  <c r="O1159" i="13"/>
  <c r="N1159" i="13"/>
  <c r="T1159" i="13"/>
  <c r="S1158" i="13"/>
  <c r="P1158" i="13"/>
  <c r="R1158" i="13"/>
  <c r="O1158" i="13"/>
  <c r="Q1158" i="13"/>
  <c r="N1158" i="13"/>
  <c r="S1157" i="13"/>
  <c r="P1157" i="13"/>
  <c r="R1157" i="13"/>
  <c r="O1157" i="13"/>
  <c r="Q1157" i="13"/>
  <c r="N1157" i="13"/>
  <c r="T1157" i="13"/>
  <c r="V1156" i="13"/>
  <c r="S1156" i="13"/>
  <c r="P1156" i="13"/>
  <c r="R1156" i="13"/>
  <c r="O1156" i="13"/>
  <c r="N1156" i="13"/>
  <c r="S1155" i="13"/>
  <c r="P1155" i="13"/>
  <c r="O1155" i="13"/>
  <c r="Q1155" i="13"/>
  <c r="N1155" i="13"/>
  <c r="T1155" i="13"/>
  <c r="S1154" i="13"/>
  <c r="P1154" i="13"/>
  <c r="O1154" i="13"/>
  <c r="N1154" i="13"/>
  <c r="T1154" i="13"/>
  <c r="S1153" i="13"/>
  <c r="P1153" i="13"/>
  <c r="V1153" i="13"/>
  <c r="O1153" i="13"/>
  <c r="Q1153" i="13"/>
  <c r="N1153" i="13"/>
  <c r="T1153" i="13"/>
  <c r="S1152" i="13"/>
  <c r="P1152" i="13"/>
  <c r="R1152" i="13"/>
  <c r="O1152" i="13"/>
  <c r="Q1152" i="13"/>
  <c r="N1152" i="13"/>
  <c r="T1152" i="13"/>
  <c r="S1151" i="13"/>
  <c r="P1151" i="13"/>
  <c r="R1151" i="13"/>
  <c r="V1151" i="13"/>
  <c r="O1151" i="13"/>
  <c r="N1151" i="13"/>
  <c r="T1151" i="13"/>
  <c r="S1150" i="13"/>
  <c r="P1150" i="13"/>
  <c r="R1150" i="13"/>
  <c r="O1150" i="13"/>
  <c r="N1150" i="13"/>
  <c r="S1149" i="13"/>
  <c r="P1149" i="13"/>
  <c r="R1149" i="13"/>
  <c r="O1149" i="13"/>
  <c r="Q1149" i="13"/>
  <c r="N1149" i="13"/>
  <c r="T1149" i="13"/>
  <c r="S1148" i="13"/>
  <c r="P1148" i="13"/>
  <c r="O1148" i="13"/>
  <c r="N1148" i="13"/>
  <c r="T1148" i="13"/>
  <c r="S1147" i="13"/>
  <c r="P1147" i="13"/>
  <c r="V1147" i="13"/>
  <c r="O1147" i="13"/>
  <c r="Q1147" i="13"/>
  <c r="N1147" i="13"/>
  <c r="T1147" i="13"/>
  <c r="S1146" i="13"/>
  <c r="P1146" i="13"/>
  <c r="V1146" i="13"/>
  <c r="O1146" i="13"/>
  <c r="Q1146" i="13"/>
  <c r="N1146" i="13"/>
  <c r="T1146" i="13"/>
  <c r="S1145" i="13"/>
  <c r="P1145" i="13"/>
  <c r="V1145" i="13"/>
  <c r="O1145" i="13"/>
  <c r="Q1145" i="13"/>
  <c r="N1145" i="13"/>
  <c r="T1145" i="13"/>
  <c r="S1144" i="13"/>
  <c r="P1144" i="13"/>
  <c r="O1144" i="13"/>
  <c r="Q1144" i="13"/>
  <c r="N1144" i="13"/>
  <c r="T1144" i="13"/>
  <c r="S1143" i="13"/>
  <c r="P1143" i="13"/>
  <c r="O1143" i="13"/>
  <c r="N1143" i="13"/>
  <c r="T1143" i="13"/>
  <c r="S1142" i="13"/>
  <c r="P1142" i="13"/>
  <c r="R1142" i="13"/>
  <c r="O1142" i="13"/>
  <c r="Q1142" i="13"/>
  <c r="N1142" i="13"/>
  <c r="T1142" i="13"/>
  <c r="S1141" i="13"/>
  <c r="P1141" i="13"/>
  <c r="R1141" i="13"/>
  <c r="O1141" i="13"/>
  <c r="N1141" i="13"/>
  <c r="T1141" i="13"/>
  <c r="S1140" i="13"/>
  <c r="P1140" i="13"/>
  <c r="O1140" i="13"/>
  <c r="N1140" i="13"/>
  <c r="T1140" i="13"/>
  <c r="S1139" i="13"/>
  <c r="P1139" i="13"/>
  <c r="V1139" i="13"/>
  <c r="O1139" i="13"/>
  <c r="Q1139" i="13"/>
  <c r="N1139" i="13"/>
  <c r="T1139" i="13"/>
  <c r="S1138" i="13"/>
  <c r="P1138" i="13"/>
  <c r="O1138" i="13"/>
  <c r="Q1138" i="13"/>
  <c r="N1138" i="13"/>
  <c r="T1138" i="13"/>
  <c r="S1137" i="13"/>
  <c r="P1137" i="13"/>
  <c r="V1137" i="13"/>
  <c r="O1137" i="13"/>
  <c r="Q1137" i="13"/>
  <c r="N1137" i="13"/>
  <c r="T1137" i="13"/>
  <c r="S1136" i="13"/>
  <c r="P1136" i="13"/>
  <c r="R1136" i="13"/>
  <c r="O1136" i="13"/>
  <c r="Q1136" i="13"/>
  <c r="U1136" i="13"/>
  <c r="X1136" i="13"/>
  <c r="N1136" i="13"/>
  <c r="S1135" i="13"/>
  <c r="P1135" i="13"/>
  <c r="V1135" i="13"/>
  <c r="O1135" i="13"/>
  <c r="N1135" i="13"/>
  <c r="T1135" i="13"/>
  <c r="S1134" i="13"/>
  <c r="P1134" i="13"/>
  <c r="O1134" i="13"/>
  <c r="Q1134" i="13"/>
  <c r="N1134" i="13"/>
  <c r="T1134" i="13"/>
  <c r="S1133" i="13"/>
  <c r="P1133" i="13"/>
  <c r="O1133" i="13"/>
  <c r="Q1133" i="13"/>
  <c r="N1133" i="13"/>
  <c r="T1133" i="13"/>
  <c r="S1132" i="13"/>
  <c r="P1132" i="13"/>
  <c r="V1132" i="13"/>
  <c r="O1132" i="13"/>
  <c r="Q1132" i="13"/>
  <c r="N1132" i="13"/>
  <c r="T1132" i="13"/>
  <c r="S1131" i="13"/>
  <c r="P1131" i="13"/>
  <c r="R1131" i="13"/>
  <c r="O1131" i="13"/>
  <c r="Q1131" i="13"/>
  <c r="N1131" i="13"/>
  <c r="T1131" i="13"/>
  <c r="S1130" i="13"/>
  <c r="P1130" i="13"/>
  <c r="O1130" i="13"/>
  <c r="N1130" i="13"/>
  <c r="T1130" i="13"/>
  <c r="S1129" i="13"/>
  <c r="P1129" i="13"/>
  <c r="O1129" i="13"/>
  <c r="N1129" i="13"/>
  <c r="T1129" i="13"/>
  <c r="S1128" i="13"/>
  <c r="P1128" i="13"/>
  <c r="V1128" i="13"/>
  <c r="O1128" i="13"/>
  <c r="Q1128" i="13"/>
  <c r="N1128" i="13"/>
  <c r="S1127" i="13"/>
  <c r="P1127" i="13"/>
  <c r="R1127" i="13"/>
  <c r="O1127" i="13"/>
  <c r="Q1127" i="13"/>
  <c r="N1127" i="13"/>
  <c r="T1127" i="13"/>
  <c r="S1126" i="13"/>
  <c r="P1126" i="13"/>
  <c r="O1126" i="13"/>
  <c r="Q1126" i="13"/>
  <c r="N1126" i="13"/>
  <c r="T1126" i="13"/>
  <c r="S1125" i="13"/>
  <c r="P1125" i="13"/>
  <c r="O1125" i="13"/>
  <c r="Q1125" i="13"/>
  <c r="N1125" i="13"/>
  <c r="T1125" i="13"/>
  <c r="S1124" i="13"/>
  <c r="P1124" i="13"/>
  <c r="O1124" i="13"/>
  <c r="Q1124" i="13"/>
  <c r="N1124" i="13"/>
  <c r="T1124" i="13"/>
  <c r="S1123" i="13"/>
  <c r="P1123" i="13"/>
  <c r="V1123" i="13"/>
  <c r="O1123" i="13"/>
  <c r="Q1123" i="13"/>
  <c r="N1123" i="13"/>
  <c r="T1123" i="13"/>
  <c r="S1122" i="13"/>
  <c r="P1122" i="13"/>
  <c r="O1122" i="13"/>
  <c r="Q1122" i="13"/>
  <c r="N1122" i="13"/>
  <c r="T1122" i="13"/>
  <c r="S1121" i="13"/>
  <c r="P1121" i="13"/>
  <c r="O1121" i="13"/>
  <c r="N1121" i="13"/>
  <c r="S1120" i="13"/>
  <c r="P1120" i="13"/>
  <c r="R1120" i="13"/>
  <c r="O1120" i="13"/>
  <c r="N1120" i="13"/>
  <c r="T1120" i="13"/>
  <c r="S1119" i="13"/>
  <c r="P1119" i="13"/>
  <c r="V1119" i="13"/>
  <c r="O1119" i="13"/>
  <c r="Q1119" i="13"/>
  <c r="N1119" i="13"/>
  <c r="T1119" i="13"/>
  <c r="S1118" i="13"/>
  <c r="P1118" i="13"/>
  <c r="V1118" i="13"/>
  <c r="O1118" i="13"/>
  <c r="N1118" i="13"/>
  <c r="T1118" i="13"/>
  <c r="S1117" i="13"/>
  <c r="P1117" i="13"/>
  <c r="O1117" i="13"/>
  <c r="N1117" i="13"/>
  <c r="T1117" i="13"/>
  <c r="S1116" i="13"/>
  <c r="P1116" i="13"/>
  <c r="O1116" i="13"/>
  <c r="Q1116" i="13"/>
  <c r="N1116" i="13"/>
  <c r="T1116" i="13"/>
  <c r="S1115" i="13"/>
  <c r="P1115" i="13"/>
  <c r="O1115" i="13"/>
  <c r="Q1115" i="13"/>
  <c r="N1115" i="13"/>
  <c r="S1114" i="13"/>
  <c r="P1114" i="13"/>
  <c r="O1114" i="13"/>
  <c r="Q1114" i="13"/>
  <c r="N1114" i="13"/>
  <c r="T1114" i="13"/>
  <c r="S1113" i="13"/>
  <c r="P1113" i="13"/>
  <c r="O1113" i="13"/>
  <c r="N1113" i="13"/>
  <c r="T1113" i="13"/>
  <c r="S1112" i="13"/>
  <c r="P1112" i="13"/>
  <c r="R1112" i="13"/>
  <c r="O1112" i="13"/>
  <c r="Q1112" i="13"/>
  <c r="U1112" i="13"/>
  <c r="X1112" i="13"/>
  <c r="N1112" i="13"/>
  <c r="T1112" i="13"/>
  <c r="S1111" i="13"/>
  <c r="P1111" i="13"/>
  <c r="V1111" i="13"/>
  <c r="O1111" i="13"/>
  <c r="N1111" i="13"/>
  <c r="T1111" i="13"/>
  <c r="S1110" i="13"/>
  <c r="P1110" i="13"/>
  <c r="V1110" i="13"/>
  <c r="O1110" i="13"/>
  <c r="Q1110" i="13"/>
  <c r="N1110" i="13"/>
  <c r="T1110" i="13"/>
  <c r="S1109" i="13"/>
  <c r="P1109" i="13"/>
  <c r="O1109" i="13"/>
  <c r="N1109" i="13"/>
  <c r="S1108" i="13"/>
  <c r="P1108" i="13"/>
  <c r="O1108" i="13"/>
  <c r="Q1108" i="13"/>
  <c r="N1108" i="13"/>
  <c r="T1108" i="13"/>
  <c r="S1107" i="13"/>
  <c r="P1107" i="13"/>
  <c r="R1107" i="13"/>
  <c r="O1107" i="13"/>
  <c r="Q1107" i="13"/>
  <c r="N1107" i="13"/>
  <c r="T1107" i="13"/>
  <c r="S1106" i="13"/>
  <c r="P1106" i="13"/>
  <c r="V1106" i="13"/>
  <c r="O1106" i="13"/>
  <c r="Q1106" i="13"/>
  <c r="N1106" i="13"/>
  <c r="S1105" i="13"/>
  <c r="P1105" i="13"/>
  <c r="O1105" i="13"/>
  <c r="Q1105" i="13"/>
  <c r="N1105" i="13"/>
  <c r="S1104" i="13"/>
  <c r="P1104" i="13"/>
  <c r="R1104" i="13"/>
  <c r="O1104" i="13"/>
  <c r="Q1104" i="13"/>
  <c r="U1104" i="13"/>
  <c r="X1104" i="13"/>
  <c r="N1104" i="13"/>
  <c r="T1104" i="13"/>
  <c r="S1103" i="13"/>
  <c r="P1103" i="13"/>
  <c r="O1103" i="13"/>
  <c r="Q1103" i="13"/>
  <c r="N1103" i="13"/>
  <c r="T1103" i="13"/>
  <c r="S1102" i="13"/>
  <c r="P1102" i="13"/>
  <c r="O1102" i="13"/>
  <c r="Q1102" i="13"/>
  <c r="N1102" i="13"/>
  <c r="T1102" i="13"/>
  <c r="S1101" i="13"/>
  <c r="P1101" i="13"/>
  <c r="V1101" i="13"/>
  <c r="O1101" i="13"/>
  <c r="Q1101" i="13"/>
  <c r="N1101" i="13"/>
  <c r="T1101" i="13"/>
  <c r="S1100" i="13"/>
  <c r="P1100" i="13"/>
  <c r="V1100" i="13"/>
  <c r="O1100" i="13"/>
  <c r="N1100" i="13"/>
  <c r="T1100" i="13"/>
  <c r="S1099" i="13"/>
  <c r="P1099" i="13"/>
  <c r="O1099" i="13"/>
  <c r="N1099" i="13"/>
  <c r="T1099" i="13"/>
  <c r="S1098" i="13"/>
  <c r="P1098" i="13"/>
  <c r="O1098" i="13"/>
  <c r="N1098" i="13"/>
  <c r="T1098" i="13"/>
  <c r="S1097" i="13"/>
  <c r="P1097" i="13"/>
  <c r="O1097" i="13"/>
  <c r="Q1097" i="13"/>
  <c r="N1097" i="13"/>
  <c r="T1097" i="13"/>
  <c r="S1096" i="13"/>
  <c r="P1096" i="13"/>
  <c r="V1096" i="13"/>
  <c r="O1096" i="13"/>
  <c r="Q1096" i="13"/>
  <c r="N1096" i="13"/>
  <c r="T1096" i="13"/>
  <c r="S1095" i="13"/>
  <c r="P1095" i="13"/>
  <c r="V1095" i="13"/>
  <c r="O1095" i="13"/>
  <c r="N1095" i="13"/>
  <c r="T1095" i="13"/>
  <c r="S1094" i="13"/>
  <c r="P1094" i="13"/>
  <c r="R1094" i="13"/>
  <c r="O1094" i="13"/>
  <c r="Q1094" i="13"/>
  <c r="N1094" i="13"/>
  <c r="T1094" i="13"/>
  <c r="S1093" i="13"/>
  <c r="P1093" i="13"/>
  <c r="V1093" i="13"/>
  <c r="O1093" i="13"/>
  <c r="Q1093" i="13"/>
  <c r="N1093" i="13"/>
  <c r="T1093" i="13"/>
  <c r="S1092" i="13"/>
  <c r="P1092" i="13"/>
  <c r="V1092" i="13"/>
  <c r="O1092" i="13"/>
  <c r="N1092" i="13"/>
  <c r="T1092" i="13"/>
  <c r="S1091" i="13"/>
  <c r="P1091" i="13"/>
  <c r="R1091" i="13"/>
  <c r="O1091" i="13"/>
  <c r="Q1091" i="13"/>
  <c r="N1091" i="13"/>
  <c r="T1091" i="13"/>
  <c r="S1090" i="13"/>
  <c r="P1090" i="13"/>
  <c r="O1090" i="13"/>
  <c r="N1090" i="13"/>
  <c r="T1090" i="13"/>
  <c r="S1089" i="13"/>
  <c r="P1089" i="13"/>
  <c r="V1089" i="13"/>
  <c r="O1089" i="13"/>
  <c r="Q1089" i="13"/>
  <c r="N1089" i="13"/>
  <c r="T1089" i="13"/>
  <c r="S1088" i="13"/>
  <c r="P1088" i="13"/>
  <c r="V1088" i="13"/>
  <c r="O1088" i="13"/>
  <c r="N1088" i="13"/>
  <c r="T1088" i="13"/>
  <c r="S1087" i="13"/>
  <c r="P1087" i="13"/>
  <c r="V1087" i="13"/>
  <c r="O1087" i="13"/>
  <c r="Q1087" i="13"/>
  <c r="N1087" i="13"/>
  <c r="S1086" i="13"/>
  <c r="P1086" i="13"/>
  <c r="R1086" i="13"/>
  <c r="O1086" i="13"/>
  <c r="Q1086" i="13"/>
  <c r="U1086" i="13"/>
  <c r="X1086" i="13"/>
  <c r="N1086" i="13"/>
  <c r="T1086" i="13"/>
  <c r="S1085" i="13"/>
  <c r="P1085" i="13"/>
  <c r="R1085" i="13"/>
  <c r="O1085" i="13"/>
  <c r="Q1085" i="13"/>
  <c r="N1085" i="13"/>
  <c r="T1085" i="13"/>
  <c r="S1084" i="13"/>
  <c r="P1084" i="13"/>
  <c r="V1084" i="13"/>
  <c r="O1084" i="13"/>
  <c r="N1084" i="13"/>
  <c r="T1084" i="13"/>
  <c r="S1083" i="13"/>
  <c r="P1083" i="13"/>
  <c r="R1083" i="13"/>
  <c r="O1083" i="13"/>
  <c r="Q1083" i="13"/>
  <c r="N1083" i="13"/>
  <c r="T1083" i="13"/>
  <c r="S1082" i="13"/>
  <c r="P1082" i="13"/>
  <c r="O1082" i="13"/>
  <c r="N1082" i="13"/>
  <c r="T1082" i="13"/>
  <c r="S1081" i="13"/>
  <c r="P1081" i="13"/>
  <c r="V1081" i="13"/>
  <c r="O1081" i="13"/>
  <c r="Q1081" i="13"/>
  <c r="N1081" i="13"/>
  <c r="T1081" i="13"/>
  <c r="S1080" i="13"/>
  <c r="P1080" i="13"/>
  <c r="V1080" i="13"/>
  <c r="O1080" i="13"/>
  <c r="N1080" i="13"/>
  <c r="S1079" i="13"/>
  <c r="P1079" i="13"/>
  <c r="V1079" i="13"/>
  <c r="O1079" i="13"/>
  <c r="Q1079" i="13"/>
  <c r="N1079" i="13"/>
  <c r="T1079" i="13"/>
  <c r="S1078" i="13"/>
  <c r="P1078" i="13"/>
  <c r="R1078" i="13"/>
  <c r="O1078" i="13"/>
  <c r="Q1078" i="13"/>
  <c r="U1078" i="13"/>
  <c r="X1078" i="13"/>
  <c r="N1078" i="13"/>
  <c r="T1078" i="13"/>
  <c r="S1077" i="13"/>
  <c r="P1077" i="13"/>
  <c r="O1077" i="13"/>
  <c r="N1077" i="13"/>
  <c r="T1077" i="13"/>
  <c r="S1076" i="13"/>
  <c r="P1076" i="13"/>
  <c r="V1076" i="13"/>
  <c r="O1076" i="13"/>
  <c r="N1076" i="13"/>
  <c r="T1076" i="13"/>
  <c r="S1075" i="13"/>
  <c r="P1075" i="13"/>
  <c r="R1075" i="13"/>
  <c r="O1075" i="13"/>
  <c r="N1075" i="13"/>
  <c r="T1075" i="13"/>
  <c r="S1074" i="13"/>
  <c r="P1074" i="13"/>
  <c r="O1074" i="13"/>
  <c r="N1074" i="13"/>
  <c r="S1073" i="13"/>
  <c r="P1073" i="13"/>
  <c r="V1073" i="13"/>
  <c r="O1073" i="13"/>
  <c r="Q1073" i="13"/>
  <c r="N1073" i="13"/>
  <c r="T1073" i="13"/>
  <c r="S1072" i="13"/>
  <c r="P1072" i="13"/>
  <c r="V1072" i="13"/>
  <c r="O1072" i="13"/>
  <c r="Q1072" i="13"/>
  <c r="N1072" i="13"/>
  <c r="T1072" i="13"/>
  <c r="S1071" i="13"/>
  <c r="P1071" i="13"/>
  <c r="V1071" i="13"/>
  <c r="O1071" i="13"/>
  <c r="N1071" i="13"/>
  <c r="T1071" i="13"/>
  <c r="S1070" i="13"/>
  <c r="P1070" i="13"/>
  <c r="R1070" i="13"/>
  <c r="O1070" i="13"/>
  <c r="Q1070" i="13"/>
  <c r="U1070" i="13"/>
  <c r="X1070" i="13"/>
  <c r="N1070" i="13"/>
  <c r="T1070" i="13"/>
  <c r="S1069" i="13"/>
  <c r="P1069" i="13"/>
  <c r="R1069" i="13"/>
  <c r="O1069" i="13"/>
  <c r="N1069" i="13"/>
  <c r="T1069" i="13"/>
  <c r="S1068" i="13"/>
  <c r="P1068" i="13"/>
  <c r="O1068" i="13"/>
  <c r="Q1068" i="13"/>
  <c r="N1068" i="13"/>
  <c r="T1068" i="13"/>
  <c r="S1067" i="13"/>
  <c r="P1067" i="13"/>
  <c r="R1067" i="13"/>
  <c r="O1067" i="13"/>
  <c r="N1067" i="13"/>
  <c r="T1067" i="13"/>
  <c r="S1066" i="13"/>
  <c r="P1066" i="13"/>
  <c r="O1066" i="13"/>
  <c r="N1066" i="13"/>
  <c r="T1066" i="13"/>
  <c r="S1065" i="13"/>
  <c r="P1065" i="13"/>
  <c r="V1065" i="13"/>
  <c r="R1065" i="13"/>
  <c r="O1065" i="13"/>
  <c r="Q1065" i="13"/>
  <c r="N1065" i="13"/>
  <c r="T1065" i="13"/>
  <c r="S1064" i="13"/>
  <c r="P1064" i="13"/>
  <c r="O1064" i="13"/>
  <c r="Q1064" i="13"/>
  <c r="N1064" i="13"/>
  <c r="T1064" i="13"/>
  <c r="S1063" i="13"/>
  <c r="P1063" i="13"/>
  <c r="V1063" i="13"/>
  <c r="O1063" i="13"/>
  <c r="N1063" i="13"/>
  <c r="T1063" i="13"/>
  <c r="S1062" i="13"/>
  <c r="P1062" i="13"/>
  <c r="R1062" i="13"/>
  <c r="O1062" i="13"/>
  <c r="Q1062" i="13"/>
  <c r="N1062" i="13"/>
  <c r="T1062" i="13"/>
  <c r="S1061" i="13"/>
  <c r="P1061" i="13"/>
  <c r="O1061" i="13"/>
  <c r="N1061" i="13"/>
  <c r="T1061" i="13"/>
  <c r="S1060" i="13"/>
  <c r="P1060" i="13"/>
  <c r="R1060" i="13"/>
  <c r="O1060" i="13"/>
  <c r="N1060" i="13"/>
  <c r="T1060" i="13"/>
  <c r="S1059" i="13"/>
  <c r="P1059" i="13"/>
  <c r="R1059" i="13"/>
  <c r="O1059" i="13"/>
  <c r="Q1059" i="13"/>
  <c r="N1059" i="13"/>
  <c r="T1059" i="13"/>
  <c r="S1058" i="13"/>
  <c r="P1058" i="13"/>
  <c r="O1058" i="13"/>
  <c r="N1058" i="13"/>
  <c r="S1057" i="13"/>
  <c r="P1057" i="13"/>
  <c r="V1057" i="13"/>
  <c r="O1057" i="13"/>
  <c r="Q1057" i="13"/>
  <c r="N1057" i="13"/>
  <c r="T1057" i="13"/>
  <c r="S1056" i="13"/>
  <c r="P1056" i="13"/>
  <c r="V1056" i="13"/>
  <c r="O1056" i="13"/>
  <c r="N1056" i="13"/>
  <c r="T1056" i="13"/>
  <c r="S1055" i="13"/>
  <c r="P1055" i="13"/>
  <c r="V1055" i="13"/>
  <c r="O1055" i="13"/>
  <c r="Q1055" i="13"/>
  <c r="N1055" i="13"/>
  <c r="T1055" i="13"/>
  <c r="S1054" i="13"/>
  <c r="P1054" i="13"/>
  <c r="R1054" i="13"/>
  <c r="O1054" i="13"/>
  <c r="N1054" i="13"/>
  <c r="T1054" i="13"/>
  <c r="S1053" i="13"/>
  <c r="P1053" i="13"/>
  <c r="O1053" i="13"/>
  <c r="Q1053" i="13"/>
  <c r="N1053" i="13"/>
  <c r="T1053" i="13"/>
  <c r="S1052" i="13"/>
  <c r="P1052" i="13"/>
  <c r="R1052" i="13"/>
  <c r="O1052" i="13"/>
  <c r="N1052" i="13"/>
  <c r="T1052" i="13"/>
  <c r="S1051" i="13"/>
  <c r="P1051" i="13"/>
  <c r="O1051" i="13"/>
  <c r="N1051" i="13"/>
  <c r="S1050" i="13"/>
  <c r="P1050" i="13"/>
  <c r="O1050" i="13"/>
  <c r="N1050" i="13"/>
  <c r="T1050" i="13"/>
  <c r="S1049" i="13"/>
  <c r="P1049" i="13"/>
  <c r="O1049" i="13"/>
  <c r="Q1049" i="13"/>
  <c r="N1049" i="13"/>
  <c r="T1049" i="13"/>
  <c r="S1048" i="13"/>
  <c r="P1048" i="13"/>
  <c r="R1048" i="13"/>
  <c r="O1048" i="13"/>
  <c r="Q1048" i="13"/>
  <c r="N1048" i="13"/>
  <c r="T1048" i="13"/>
  <c r="S1047" i="13"/>
  <c r="P1047" i="13"/>
  <c r="V1047" i="13"/>
  <c r="O1047" i="13"/>
  <c r="Q1047" i="13"/>
  <c r="N1047" i="13"/>
  <c r="T1047" i="13"/>
  <c r="S1046" i="13"/>
  <c r="P1046" i="13"/>
  <c r="R1046" i="13"/>
  <c r="O1046" i="13"/>
  <c r="Q1046" i="13"/>
  <c r="U1046" i="13"/>
  <c r="X1046" i="13"/>
  <c r="N1046" i="13"/>
  <c r="T1046" i="13"/>
  <c r="S1045" i="13"/>
  <c r="P1045" i="13"/>
  <c r="V1045" i="13"/>
  <c r="O1045" i="13"/>
  <c r="N1045" i="13"/>
  <c r="T1045" i="13"/>
  <c r="S1044" i="13"/>
  <c r="P1044" i="13"/>
  <c r="V1044" i="13"/>
  <c r="O1044" i="13"/>
  <c r="Q1044" i="13"/>
  <c r="N1044" i="13"/>
  <c r="T1044" i="13"/>
  <c r="S1043" i="13"/>
  <c r="P1043" i="13"/>
  <c r="O1043" i="13"/>
  <c r="N1043" i="13"/>
  <c r="T1043" i="13"/>
  <c r="S1042" i="13"/>
  <c r="P1042" i="13"/>
  <c r="O1042" i="13"/>
  <c r="N1042" i="13"/>
  <c r="T1042" i="13"/>
  <c r="S1041" i="13"/>
  <c r="P1041" i="13"/>
  <c r="O1041" i="13"/>
  <c r="Q1041" i="13"/>
  <c r="N1041" i="13"/>
  <c r="T1041" i="13"/>
  <c r="S1040" i="13"/>
  <c r="P1040" i="13"/>
  <c r="V1040" i="13"/>
  <c r="O1040" i="13"/>
  <c r="N1040" i="13"/>
  <c r="S1039" i="13"/>
  <c r="P1039" i="13"/>
  <c r="V1039" i="13"/>
  <c r="O1039" i="13"/>
  <c r="N1039" i="13"/>
  <c r="T1039" i="13"/>
  <c r="S1038" i="13"/>
  <c r="P1038" i="13"/>
  <c r="R1038" i="13"/>
  <c r="O1038" i="13"/>
  <c r="Q1038" i="13"/>
  <c r="N1038" i="13"/>
  <c r="T1038" i="13"/>
  <c r="S1037" i="13"/>
  <c r="P1037" i="13"/>
  <c r="O1037" i="13"/>
  <c r="Q1037" i="13"/>
  <c r="N1037" i="13"/>
  <c r="T1037" i="13"/>
  <c r="S1036" i="13"/>
  <c r="P1036" i="13"/>
  <c r="V1036" i="13"/>
  <c r="O1036" i="13"/>
  <c r="N1036" i="13"/>
  <c r="T1036" i="13"/>
  <c r="S1035" i="13"/>
  <c r="P1035" i="13"/>
  <c r="O1035" i="13"/>
  <c r="N1035" i="13"/>
  <c r="T1035" i="13"/>
  <c r="S1034" i="13"/>
  <c r="P1034" i="13"/>
  <c r="O1034" i="13"/>
  <c r="Q1034" i="13"/>
  <c r="N1034" i="13"/>
  <c r="T1034" i="13"/>
  <c r="S1033" i="13"/>
  <c r="P1033" i="13"/>
  <c r="V1033" i="13"/>
  <c r="O1033" i="13"/>
  <c r="Q1033" i="13"/>
  <c r="N1033" i="13"/>
  <c r="T1033" i="13"/>
  <c r="S1032" i="13"/>
  <c r="P1032" i="13"/>
  <c r="V1032" i="13"/>
  <c r="O1032" i="13"/>
  <c r="Q1032" i="13"/>
  <c r="N1032" i="13"/>
  <c r="T1032" i="13"/>
  <c r="S1031" i="13"/>
  <c r="P1031" i="13"/>
  <c r="O1031" i="13"/>
  <c r="Q1031" i="13"/>
  <c r="N1031" i="13"/>
  <c r="T1031" i="13"/>
  <c r="S1030" i="13"/>
  <c r="P1030" i="13"/>
  <c r="O1030" i="13"/>
  <c r="Q1030" i="13"/>
  <c r="N1030" i="13"/>
  <c r="S1029" i="13"/>
  <c r="P1029" i="13"/>
  <c r="R1029" i="13"/>
  <c r="O1029" i="13"/>
  <c r="Q1029" i="13"/>
  <c r="N1029" i="13"/>
  <c r="T1029" i="13"/>
  <c r="S1028" i="13"/>
  <c r="P1028" i="13"/>
  <c r="V1028" i="13"/>
  <c r="O1028" i="13"/>
  <c r="N1028" i="13"/>
  <c r="T1028" i="13"/>
  <c r="T1027" i="13"/>
  <c r="S1027" i="13"/>
  <c r="P1027" i="13"/>
  <c r="V1027" i="13"/>
  <c r="O1027" i="13"/>
  <c r="Q1027" i="13"/>
  <c r="N1027" i="13"/>
  <c r="S1026" i="13"/>
  <c r="P1026" i="13"/>
  <c r="O1026" i="13"/>
  <c r="Q1026" i="13"/>
  <c r="N1026" i="13"/>
  <c r="T1026" i="13"/>
  <c r="S1025" i="13"/>
  <c r="P1025" i="13"/>
  <c r="R1025" i="13"/>
  <c r="O1025" i="13"/>
  <c r="Q1025" i="13"/>
  <c r="N1025" i="13"/>
  <c r="T1025" i="13"/>
  <c r="S1024" i="13"/>
  <c r="P1024" i="13"/>
  <c r="O1024" i="13"/>
  <c r="N1024" i="13"/>
  <c r="T1024" i="13"/>
  <c r="S1023" i="13"/>
  <c r="P1023" i="13"/>
  <c r="R1023" i="13"/>
  <c r="O1023" i="13"/>
  <c r="N1023" i="13"/>
  <c r="T1023" i="13"/>
  <c r="S1022" i="13"/>
  <c r="P1022" i="13"/>
  <c r="O1022" i="13"/>
  <c r="N1022" i="13"/>
  <c r="T1022" i="13"/>
  <c r="S1021" i="13"/>
  <c r="P1021" i="13"/>
  <c r="V1021" i="13"/>
  <c r="O1021" i="13"/>
  <c r="Q1021" i="13"/>
  <c r="N1021" i="13"/>
  <c r="T1021" i="13"/>
  <c r="S1020" i="13"/>
  <c r="P1020" i="13"/>
  <c r="R1020" i="13"/>
  <c r="O1020" i="13"/>
  <c r="Q1020" i="13"/>
  <c r="U1020" i="13"/>
  <c r="X1020" i="13"/>
  <c r="N1020" i="13"/>
  <c r="T1020" i="13"/>
  <c r="S1019" i="13"/>
  <c r="P1019" i="13"/>
  <c r="V1019" i="13"/>
  <c r="O1019" i="13"/>
  <c r="N1019" i="13"/>
  <c r="T1019" i="13"/>
  <c r="S1018" i="13"/>
  <c r="P1018" i="13"/>
  <c r="V1018" i="13"/>
  <c r="O1018" i="13"/>
  <c r="Q1018" i="13"/>
  <c r="N1018" i="13"/>
  <c r="T1018" i="13"/>
  <c r="S1017" i="13"/>
  <c r="P1017" i="13"/>
  <c r="R1017" i="13"/>
  <c r="O1017" i="13"/>
  <c r="Q1017" i="13"/>
  <c r="N1017" i="13"/>
  <c r="T1017" i="13"/>
  <c r="S1016" i="13"/>
  <c r="P1016" i="13"/>
  <c r="O1016" i="13"/>
  <c r="Q1016" i="13"/>
  <c r="N1016" i="13"/>
  <c r="T1016" i="13"/>
  <c r="S1015" i="13"/>
  <c r="P1015" i="13"/>
  <c r="R1015" i="13"/>
  <c r="O1015" i="13"/>
  <c r="Q1015" i="13"/>
  <c r="U1015" i="13"/>
  <c r="X1015" i="13"/>
  <c r="N1015" i="13"/>
  <c r="T1015" i="13"/>
  <c r="S1014" i="13"/>
  <c r="P1014" i="13"/>
  <c r="V1014" i="13"/>
  <c r="O1014" i="13"/>
  <c r="N1014" i="13"/>
  <c r="T1014" i="13"/>
  <c r="S1013" i="13"/>
  <c r="P1013" i="13"/>
  <c r="O1013" i="13"/>
  <c r="N1013" i="13"/>
  <c r="T1013" i="13"/>
  <c r="S1012" i="13"/>
  <c r="P1012" i="13"/>
  <c r="R1012" i="13"/>
  <c r="O1012" i="13"/>
  <c r="Q1012" i="13"/>
  <c r="U1012" i="13"/>
  <c r="X1012" i="13"/>
  <c r="N1012" i="13"/>
  <c r="T1012" i="13"/>
  <c r="S1011" i="13"/>
  <c r="P1011" i="13"/>
  <c r="V1011" i="13"/>
  <c r="O1011" i="13"/>
  <c r="Q1011" i="13"/>
  <c r="N1011" i="13"/>
  <c r="T1011" i="13"/>
  <c r="S1010" i="13"/>
  <c r="P1010" i="13"/>
  <c r="V1010" i="13"/>
  <c r="O1010" i="13"/>
  <c r="Q1010" i="13"/>
  <c r="N1010" i="13"/>
  <c r="T1010" i="13"/>
  <c r="S1009" i="13"/>
  <c r="P1009" i="13"/>
  <c r="V1009" i="13"/>
  <c r="O1009" i="13"/>
  <c r="N1009" i="13"/>
  <c r="T1009" i="13"/>
  <c r="S1008" i="13"/>
  <c r="P1008" i="13"/>
  <c r="R1008" i="13"/>
  <c r="O1008" i="13"/>
  <c r="Q1008" i="13"/>
  <c r="N1008" i="13"/>
  <c r="T1008" i="13"/>
  <c r="S1007" i="13"/>
  <c r="P1007" i="13"/>
  <c r="R1007" i="13"/>
  <c r="O1007" i="13"/>
  <c r="Q1007" i="13"/>
  <c r="N1007" i="13"/>
  <c r="T1007" i="13"/>
  <c r="S1006" i="13"/>
  <c r="P1006" i="13"/>
  <c r="R1006" i="13"/>
  <c r="O1006" i="13"/>
  <c r="W1006" i="13"/>
  <c r="N1006" i="13"/>
  <c r="T1006" i="13"/>
  <c r="S1005" i="13"/>
  <c r="P1005" i="13"/>
  <c r="O1005" i="13"/>
  <c r="Q1005" i="13"/>
  <c r="N1005" i="13"/>
  <c r="S1004" i="13"/>
  <c r="P1004" i="13"/>
  <c r="R1004" i="13"/>
  <c r="O1004" i="13"/>
  <c r="Q1004" i="13"/>
  <c r="N1004" i="13"/>
  <c r="T1004" i="13"/>
  <c r="S1003" i="13"/>
  <c r="P1003" i="13"/>
  <c r="V1003" i="13"/>
  <c r="O1003" i="13"/>
  <c r="N1003" i="13"/>
  <c r="T1003" i="13"/>
  <c r="S1002" i="13"/>
  <c r="P1002" i="13"/>
  <c r="O1002" i="13"/>
  <c r="Q1002" i="13"/>
  <c r="N1002" i="13"/>
  <c r="T1002" i="13"/>
  <c r="S1001" i="13"/>
  <c r="P1001" i="13"/>
  <c r="V1001" i="13"/>
  <c r="O1001" i="13"/>
  <c r="N1001" i="13"/>
  <c r="T1001" i="13"/>
  <c r="S1000" i="13"/>
  <c r="P1000" i="13"/>
  <c r="O1000" i="13"/>
  <c r="Q1000" i="13"/>
  <c r="N1000" i="13"/>
  <c r="T1000" i="13"/>
  <c r="S999" i="13"/>
  <c r="P999" i="13"/>
  <c r="O999" i="13"/>
  <c r="Q999" i="13"/>
  <c r="N999" i="13"/>
  <c r="S998" i="13"/>
  <c r="P998" i="13"/>
  <c r="O998" i="13"/>
  <c r="Q998" i="13"/>
  <c r="N998" i="13"/>
  <c r="S997" i="13"/>
  <c r="P997" i="13"/>
  <c r="R997" i="13"/>
  <c r="O997" i="13"/>
  <c r="Q997" i="13"/>
  <c r="N997" i="13"/>
  <c r="S996" i="13"/>
  <c r="P996" i="13"/>
  <c r="R996" i="13"/>
  <c r="O996" i="13"/>
  <c r="N996" i="13"/>
  <c r="T996" i="13"/>
  <c r="S995" i="13"/>
  <c r="P995" i="13"/>
  <c r="R995" i="13"/>
  <c r="O995" i="13"/>
  <c r="N995" i="13"/>
  <c r="T995" i="13"/>
  <c r="S994" i="13"/>
  <c r="P994" i="13"/>
  <c r="R994" i="13"/>
  <c r="O994" i="13"/>
  <c r="Q994" i="13"/>
  <c r="N994" i="13"/>
  <c r="T994" i="13"/>
  <c r="S993" i="13"/>
  <c r="P993" i="13"/>
  <c r="V993" i="13"/>
  <c r="O993" i="13"/>
  <c r="N993" i="13"/>
  <c r="T993" i="13"/>
  <c r="S992" i="13"/>
  <c r="P992" i="13"/>
  <c r="O992" i="13"/>
  <c r="Q992" i="13"/>
  <c r="N992" i="13"/>
  <c r="T992" i="13"/>
  <c r="S991" i="13"/>
  <c r="P991" i="13"/>
  <c r="O991" i="13"/>
  <c r="N991" i="13"/>
  <c r="T991" i="13"/>
  <c r="S990" i="13"/>
  <c r="P990" i="13"/>
  <c r="V990" i="13"/>
  <c r="O990" i="13"/>
  <c r="Q990" i="13"/>
  <c r="N990" i="13"/>
  <c r="T990" i="13"/>
  <c r="S989" i="13"/>
  <c r="P989" i="13"/>
  <c r="R989" i="13"/>
  <c r="O989" i="13"/>
  <c r="Q989" i="13"/>
  <c r="N989" i="13"/>
  <c r="T989" i="13"/>
  <c r="S988" i="13"/>
  <c r="P988" i="13"/>
  <c r="O988" i="13"/>
  <c r="Q988" i="13"/>
  <c r="N988" i="13"/>
  <c r="T988" i="13"/>
  <c r="S987" i="13"/>
  <c r="P987" i="13"/>
  <c r="O987" i="13"/>
  <c r="N987" i="13"/>
  <c r="T987" i="13"/>
  <c r="S986" i="13"/>
  <c r="P986" i="13"/>
  <c r="R986" i="13"/>
  <c r="O986" i="13"/>
  <c r="Q986" i="13"/>
  <c r="N986" i="13"/>
  <c r="T986" i="13"/>
  <c r="S985" i="13"/>
  <c r="P985" i="13"/>
  <c r="O985" i="13"/>
  <c r="N985" i="13"/>
  <c r="T985" i="13"/>
  <c r="S984" i="13"/>
  <c r="P984" i="13"/>
  <c r="V984" i="13"/>
  <c r="O984" i="13"/>
  <c r="Q984" i="13"/>
  <c r="N984" i="13"/>
  <c r="T984" i="13"/>
  <c r="S983" i="13"/>
  <c r="P983" i="13"/>
  <c r="V983" i="13"/>
  <c r="O983" i="13"/>
  <c r="N983" i="13"/>
  <c r="T983" i="13"/>
  <c r="S982" i="13"/>
  <c r="P982" i="13"/>
  <c r="V982" i="13"/>
  <c r="O982" i="13"/>
  <c r="Q982" i="13"/>
  <c r="N982" i="13"/>
  <c r="T982" i="13"/>
  <c r="S981" i="13"/>
  <c r="P981" i="13"/>
  <c r="O981" i="13"/>
  <c r="Q981" i="13"/>
  <c r="N981" i="13"/>
  <c r="T981" i="13"/>
  <c r="S980" i="13"/>
  <c r="P980" i="13"/>
  <c r="R980" i="13"/>
  <c r="O980" i="13"/>
  <c r="N980" i="13"/>
  <c r="T980" i="13"/>
  <c r="S979" i="13"/>
  <c r="P979" i="13"/>
  <c r="R979" i="13"/>
  <c r="O979" i="13"/>
  <c r="Q979" i="13"/>
  <c r="N979" i="13"/>
  <c r="T979" i="13"/>
  <c r="S978" i="13"/>
  <c r="P978" i="13"/>
  <c r="R978" i="13"/>
  <c r="O978" i="13"/>
  <c r="Q978" i="13"/>
  <c r="N978" i="13"/>
  <c r="T978" i="13"/>
  <c r="S977" i="13"/>
  <c r="P977" i="13"/>
  <c r="O977" i="13"/>
  <c r="N977" i="13"/>
  <c r="T977" i="13"/>
  <c r="S976" i="13"/>
  <c r="P976" i="13"/>
  <c r="V976" i="13"/>
  <c r="O976" i="13"/>
  <c r="Q976" i="13"/>
  <c r="N976" i="13"/>
  <c r="T976" i="13"/>
  <c r="S975" i="13"/>
  <c r="P975" i="13"/>
  <c r="V975" i="13"/>
  <c r="O975" i="13"/>
  <c r="N975" i="13"/>
  <c r="T975" i="13"/>
  <c r="S974" i="13"/>
  <c r="P974" i="13"/>
  <c r="V974" i="13"/>
  <c r="O974" i="13"/>
  <c r="Q974" i="13"/>
  <c r="N974" i="13"/>
  <c r="T974" i="13"/>
  <c r="S973" i="13"/>
  <c r="P973" i="13"/>
  <c r="R973" i="13"/>
  <c r="O973" i="13"/>
  <c r="Q973" i="13"/>
  <c r="N973" i="13"/>
  <c r="T973" i="13"/>
  <c r="S972" i="13"/>
  <c r="P972" i="13"/>
  <c r="V972" i="13"/>
  <c r="O972" i="13"/>
  <c r="Q972" i="13"/>
  <c r="N972" i="13"/>
  <c r="T972" i="13"/>
  <c r="S971" i="13"/>
  <c r="P971" i="13"/>
  <c r="O971" i="13"/>
  <c r="N971" i="13"/>
  <c r="T971" i="13"/>
  <c r="S970" i="13"/>
  <c r="P970" i="13"/>
  <c r="R970" i="13"/>
  <c r="O970" i="13"/>
  <c r="Q970" i="13"/>
  <c r="N970" i="13"/>
  <c r="S969" i="13"/>
  <c r="P969" i="13"/>
  <c r="V969" i="13"/>
  <c r="O969" i="13"/>
  <c r="N969" i="13"/>
  <c r="S968" i="13"/>
  <c r="P968" i="13"/>
  <c r="O968" i="13"/>
  <c r="Q968" i="13"/>
  <c r="N968" i="13"/>
  <c r="T968" i="13"/>
  <c r="S967" i="13"/>
  <c r="P967" i="13"/>
  <c r="O967" i="13"/>
  <c r="Q967" i="13"/>
  <c r="N967" i="13"/>
  <c r="T967" i="13"/>
  <c r="S966" i="13"/>
  <c r="P966" i="13"/>
  <c r="V966" i="13"/>
  <c r="O966" i="13"/>
  <c r="Q966" i="13"/>
  <c r="N966" i="13"/>
  <c r="T966" i="13"/>
  <c r="S965" i="13"/>
  <c r="P965" i="13"/>
  <c r="O965" i="13"/>
  <c r="Q965" i="13"/>
  <c r="N965" i="13"/>
  <c r="T965" i="13"/>
  <c r="S964" i="13"/>
  <c r="P964" i="13"/>
  <c r="V964" i="13"/>
  <c r="O964" i="13"/>
  <c r="Q964" i="13"/>
  <c r="N964" i="13"/>
  <c r="T964" i="13"/>
  <c r="S963" i="13"/>
  <c r="P963" i="13"/>
  <c r="R963" i="13"/>
  <c r="O963" i="13"/>
  <c r="Q963" i="13"/>
  <c r="N963" i="13"/>
  <c r="T963" i="13"/>
  <c r="S962" i="13"/>
  <c r="P962" i="13"/>
  <c r="O962" i="13"/>
  <c r="Q962" i="13"/>
  <c r="N962" i="13"/>
  <c r="S961" i="13"/>
  <c r="P961" i="13"/>
  <c r="O961" i="13"/>
  <c r="N961" i="13"/>
  <c r="T961" i="13"/>
  <c r="S960" i="13"/>
  <c r="P960" i="13"/>
  <c r="V960" i="13"/>
  <c r="O960" i="13"/>
  <c r="Q960" i="13"/>
  <c r="N960" i="13"/>
  <c r="S959" i="13"/>
  <c r="P959" i="13"/>
  <c r="O959" i="13"/>
  <c r="N959" i="13"/>
  <c r="T959" i="13"/>
  <c r="S958" i="13"/>
  <c r="P958" i="13"/>
  <c r="V958" i="13"/>
  <c r="O958" i="13"/>
  <c r="Q958" i="13"/>
  <c r="N958" i="13"/>
  <c r="T958" i="13"/>
  <c r="S957" i="13"/>
  <c r="P957" i="13"/>
  <c r="O957" i="13"/>
  <c r="Q957" i="13"/>
  <c r="N957" i="13"/>
  <c r="T957" i="13"/>
  <c r="S956" i="13"/>
  <c r="P956" i="13"/>
  <c r="O956" i="13"/>
  <c r="W956" i="13"/>
  <c r="N956" i="13"/>
  <c r="T956" i="13"/>
  <c r="S955" i="13"/>
  <c r="P955" i="13"/>
  <c r="R955" i="13"/>
  <c r="O955" i="13"/>
  <c r="N955" i="13"/>
  <c r="T955" i="13"/>
  <c r="S954" i="13"/>
  <c r="P954" i="13"/>
  <c r="O954" i="13"/>
  <c r="N954" i="13"/>
  <c r="T954" i="13"/>
  <c r="S953" i="13"/>
  <c r="P953" i="13"/>
  <c r="V953" i="13"/>
  <c r="O953" i="13"/>
  <c r="N953" i="13"/>
  <c r="T953" i="13"/>
  <c r="S952" i="13"/>
  <c r="P952" i="13"/>
  <c r="V952" i="13"/>
  <c r="O952" i="13"/>
  <c r="Q952" i="13"/>
  <c r="N952" i="13"/>
  <c r="S951" i="13"/>
  <c r="P951" i="13"/>
  <c r="V951" i="13"/>
  <c r="O951" i="13"/>
  <c r="N951" i="13"/>
  <c r="T951" i="13"/>
  <c r="S950" i="13"/>
  <c r="P950" i="13"/>
  <c r="V950" i="13"/>
  <c r="O950" i="13"/>
  <c r="Q950" i="13"/>
  <c r="N950" i="13"/>
  <c r="T950" i="13"/>
  <c r="S949" i="13"/>
  <c r="P949" i="13"/>
  <c r="R949" i="13"/>
  <c r="O949" i="13"/>
  <c r="Q949" i="13"/>
  <c r="N949" i="13"/>
  <c r="T949" i="13"/>
  <c r="S948" i="13"/>
  <c r="P948" i="13"/>
  <c r="O948" i="13"/>
  <c r="N948" i="13"/>
  <c r="T948" i="13"/>
  <c r="S947" i="13"/>
  <c r="P947" i="13"/>
  <c r="R947" i="13"/>
  <c r="O947" i="13"/>
  <c r="N947" i="13"/>
  <c r="T947" i="13"/>
  <c r="S946" i="13"/>
  <c r="P946" i="13"/>
  <c r="O946" i="13"/>
  <c r="Q946" i="13"/>
  <c r="N946" i="13"/>
  <c r="T946" i="13"/>
  <c r="S945" i="13"/>
  <c r="P945" i="13"/>
  <c r="R945" i="13"/>
  <c r="O945" i="13"/>
  <c r="Q945" i="13"/>
  <c r="U945" i="13"/>
  <c r="X945" i="13"/>
  <c r="N945" i="13"/>
  <c r="T945" i="13"/>
  <c r="S944" i="13"/>
  <c r="P944" i="13"/>
  <c r="V944" i="13"/>
  <c r="O944" i="13"/>
  <c r="N944" i="13"/>
  <c r="T944" i="13"/>
  <c r="S943" i="13"/>
  <c r="P943" i="13"/>
  <c r="O943" i="13"/>
  <c r="N943" i="13"/>
  <c r="T943" i="13"/>
  <c r="S942" i="13"/>
  <c r="P942" i="13"/>
  <c r="O942" i="13"/>
  <c r="Q942" i="13"/>
  <c r="N942" i="13"/>
  <c r="T942" i="13"/>
  <c r="S941" i="13"/>
  <c r="P941" i="13"/>
  <c r="O941" i="13"/>
  <c r="Q941" i="13"/>
  <c r="N941" i="13"/>
  <c r="T941" i="13"/>
  <c r="S940" i="13"/>
  <c r="P940" i="13"/>
  <c r="V940" i="13"/>
  <c r="O940" i="13"/>
  <c r="Q940" i="13"/>
  <c r="N940" i="13"/>
  <c r="T940" i="13"/>
  <c r="S939" i="13"/>
  <c r="P939" i="13"/>
  <c r="R939" i="13"/>
  <c r="O939" i="13"/>
  <c r="N939" i="13"/>
  <c r="T939" i="13"/>
  <c r="S938" i="13"/>
  <c r="P938" i="13"/>
  <c r="O938" i="13"/>
  <c r="N938" i="13"/>
  <c r="T938" i="13"/>
  <c r="S937" i="13"/>
  <c r="P937" i="13"/>
  <c r="R937" i="13"/>
  <c r="O937" i="13"/>
  <c r="Q937" i="13"/>
  <c r="N937" i="13"/>
  <c r="T937" i="13"/>
  <c r="S936" i="13"/>
  <c r="P936" i="13"/>
  <c r="V936" i="13"/>
  <c r="O936" i="13"/>
  <c r="Q936" i="13"/>
  <c r="N936" i="13"/>
  <c r="T936" i="13"/>
  <c r="S935" i="13"/>
  <c r="P935" i="13"/>
  <c r="O935" i="13"/>
  <c r="N935" i="13"/>
  <c r="T935" i="13"/>
  <c r="S934" i="13"/>
  <c r="P934" i="13"/>
  <c r="O934" i="13"/>
  <c r="N934" i="13"/>
  <c r="T934" i="13"/>
  <c r="S933" i="13"/>
  <c r="P933" i="13"/>
  <c r="O933" i="13"/>
  <c r="N933" i="13"/>
  <c r="T933" i="13"/>
  <c r="S932" i="13"/>
  <c r="P932" i="13"/>
  <c r="R932" i="13"/>
  <c r="O932" i="13"/>
  <c r="Q932" i="13"/>
  <c r="N932" i="13"/>
  <c r="T932" i="13"/>
  <c r="S931" i="13"/>
  <c r="P931" i="13"/>
  <c r="O931" i="13"/>
  <c r="Q931" i="13"/>
  <c r="N931" i="13"/>
  <c r="T931" i="13"/>
  <c r="S930" i="13"/>
  <c r="P930" i="13"/>
  <c r="O930" i="13"/>
  <c r="Q930" i="13"/>
  <c r="N930" i="13"/>
  <c r="T930" i="13"/>
  <c r="S929" i="13"/>
  <c r="P929" i="13"/>
  <c r="R929" i="13"/>
  <c r="O929" i="13"/>
  <c r="N929" i="13"/>
  <c r="T929" i="13"/>
  <c r="S928" i="13"/>
  <c r="P928" i="13"/>
  <c r="V928" i="13"/>
  <c r="O928" i="13"/>
  <c r="N928" i="13"/>
  <c r="T928" i="13"/>
  <c r="S927" i="13"/>
  <c r="P927" i="13"/>
  <c r="R927" i="13"/>
  <c r="O927" i="13"/>
  <c r="Q927" i="13"/>
  <c r="N927" i="13"/>
  <c r="T927" i="13"/>
  <c r="S926" i="13"/>
  <c r="P926" i="13"/>
  <c r="O926" i="13"/>
  <c r="Q926" i="13"/>
  <c r="N926" i="13"/>
  <c r="T926" i="13"/>
  <c r="S925" i="13"/>
  <c r="P925" i="13"/>
  <c r="O925" i="13"/>
  <c r="N925" i="13"/>
  <c r="T925" i="13"/>
  <c r="S924" i="13"/>
  <c r="P924" i="13"/>
  <c r="O924" i="13"/>
  <c r="Q924" i="13"/>
  <c r="N924" i="13"/>
  <c r="T924" i="13"/>
  <c r="S923" i="13"/>
  <c r="P923" i="13"/>
  <c r="R923" i="13"/>
  <c r="O923" i="13"/>
  <c r="N923" i="13"/>
  <c r="T923" i="13"/>
  <c r="S922" i="13"/>
  <c r="P922" i="13"/>
  <c r="O922" i="13"/>
  <c r="Q922" i="13"/>
  <c r="N922" i="13"/>
  <c r="T922" i="13"/>
  <c r="S921" i="13"/>
  <c r="P921" i="13"/>
  <c r="R921" i="13"/>
  <c r="O921" i="13"/>
  <c r="Q921" i="13"/>
  <c r="N921" i="13"/>
  <c r="T921" i="13"/>
  <c r="S920" i="13"/>
  <c r="P920" i="13"/>
  <c r="V920" i="13"/>
  <c r="O920" i="13"/>
  <c r="N920" i="13"/>
  <c r="T920" i="13"/>
  <c r="S919" i="13"/>
  <c r="P919" i="13"/>
  <c r="R919" i="13"/>
  <c r="O919" i="13"/>
  <c r="Q919" i="13"/>
  <c r="N919" i="13"/>
  <c r="T919" i="13"/>
  <c r="S918" i="13"/>
  <c r="P918" i="13"/>
  <c r="O918" i="13"/>
  <c r="Q918" i="13"/>
  <c r="N918" i="13"/>
  <c r="T918" i="13"/>
  <c r="S917" i="13"/>
  <c r="P917" i="13"/>
  <c r="R917" i="13"/>
  <c r="O917" i="13"/>
  <c r="N917" i="13"/>
  <c r="T917" i="13"/>
  <c r="S916" i="13"/>
  <c r="P916" i="13"/>
  <c r="R916" i="13"/>
  <c r="O916" i="13"/>
  <c r="Q916" i="13"/>
  <c r="N916" i="13"/>
  <c r="T916" i="13"/>
  <c r="S915" i="13"/>
  <c r="P915" i="13"/>
  <c r="O915" i="13"/>
  <c r="Q915" i="13"/>
  <c r="N915" i="13"/>
  <c r="T915" i="13"/>
  <c r="S914" i="13"/>
  <c r="P914" i="13"/>
  <c r="V914" i="13"/>
  <c r="O914" i="13"/>
  <c r="Q914" i="13"/>
  <c r="N914" i="13"/>
  <c r="T914" i="13"/>
  <c r="S913" i="13"/>
  <c r="P913" i="13"/>
  <c r="V913" i="13"/>
  <c r="O913" i="13"/>
  <c r="Q913" i="13"/>
  <c r="N913" i="13"/>
  <c r="T913" i="13"/>
  <c r="S912" i="13"/>
  <c r="P912" i="13"/>
  <c r="O912" i="13"/>
  <c r="N912" i="13"/>
  <c r="S911" i="13"/>
  <c r="P911" i="13"/>
  <c r="R911" i="13"/>
  <c r="O911" i="13"/>
  <c r="N911" i="13"/>
  <c r="T911" i="13"/>
  <c r="S910" i="13"/>
  <c r="P910" i="13"/>
  <c r="O910" i="13"/>
  <c r="Q910" i="13"/>
  <c r="N910" i="13"/>
  <c r="T910" i="13"/>
  <c r="S909" i="13"/>
  <c r="P909" i="13"/>
  <c r="O909" i="13"/>
  <c r="N909" i="13"/>
  <c r="T909" i="13"/>
  <c r="S908" i="13"/>
  <c r="P908" i="13"/>
  <c r="R908" i="13"/>
  <c r="O908" i="13"/>
  <c r="Q908" i="13"/>
  <c r="N908" i="13"/>
  <c r="T908" i="13"/>
  <c r="S907" i="13"/>
  <c r="P907" i="13"/>
  <c r="R907" i="13"/>
  <c r="O907" i="13"/>
  <c r="Q907" i="13"/>
  <c r="N907" i="13"/>
  <c r="T907" i="13"/>
  <c r="S906" i="13"/>
  <c r="P906" i="13"/>
  <c r="O906" i="13"/>
  <c r="Q906" i="13"/>
  <c r="N906" i="13"/>
  <c r="T906" i="13"/>
  <c r="S905" i="13"/>
  <c r="P905" i="13"/>
  <c r="V905" i="13"/>
  <c r="O905" i="13"/>
  <c r="N905" i="13"/>
  <c r="T905" i="13"/>
  <c r="S904" i="13"/>
  <c r="P904" i="13"/>
  <c r="V904" i="13"/>
  <c r="O904" i="13"/>
  <c r="N904" i="13"/>
  <c r="T904" i="13"/>
  <c r="S903" i="13"/>
  <c r="P903" i="13"/>
  <c r="R903" i="13"/>
  <c r="O903" i="13"/>
  <c r="Q903" i="13"/>
  <c r="N903" i="13"/>
  <c r="T903" i="13"/>
  <c r="S902" i="13"/>
  <c r="P902" i="13"/>
  <c r="O902" i="13"/>
  <c r="Q902" i="13"/>
  <c r="N902" i="13"/>
  <c r="T902" i="13"/>
  <c r="S901" i="13"/>
  <c r="P901" i="13"/>
  <c r="O901" i="13"/>
  <c r="N901" i="13"/>
  <c r="T901" i="13"/>
  <c r="S900" i="13"/>
  <c r="P900" i="13"/>
  <c r="O900" i="13"/>
  <c r="N900" i="13"/>
  <c r="T900" i="13"/>
  <c r="S899" i="13"/>
  <c r="P899" i="13"/>
  <c r="O899" i="13"/>
  <c r="N899" i="13"/>
  <c r="T899" i="13"/>
  <c r="S898" i="13"/>
  <c r="P898" i="13"/>
  <c r="O898" i="13"/>
  <c r="Q898" i="13"/>
  <c r="N898" i="13"/>
  <c r="T898" i="13"/>
  <c r="S897" i="13"/>
  <c r="P897" i="13"/>
  <c r="O897" i="13"/>
  <c r="Q897" i="13"/>
  <c r="N897" i="13"/>
  <c r="T897" i="13"/>
  <c r="S896" i="13"/>
  <c r="P896" i="13"/>
  <c r="R896" i="13"/>
  <c r="O896" i="13"/>
  <c r="N896" i="13"/>
  <c r="T896" i="13"/>
  <c r="S895" i="13"/>
  <c r="P895" i="13"/>
  <c r="R895" i="13"/>
  <c r="O895" i="13"/>
  <c r="Q895" i="13"/>
  <c r="N895" i="13"/>
  <c r="T895" i="13"/>
  <c r="S894" i="13"/>
  <c r="P894" i="13"/>
  <c r="O894" i="13"/>
  <c r="Q894" i="13"/>
  <c r="N894" i="13"/>
  <c r="T894" i="13"/>
  <c r="S893" i="13"/>
  <c r="P893" i="13"/>
  <c r="O893" i="13"/>
  <c r="Q893" i="13"/>
  <c r="N893" i="13"/>
  <c r="T893" i="13"/>
  <c r="S892" i="13"/>
  <c r="P892" i="13"/>
  <c r="O892" i="13"/>
  <c r="N892" i="13"/>
  <c r="T892" i="13"/>
  <c r="S891" i="13"/>
  <c r="P891" i="13"/>
  <c r="O891" i="13"/>
  <c r="N891" i="13"/>
  <c r="T891" i="13"/>
  <c r="S890" i="13"/>
  <c r="P890" i="13"/>
  <c r="R890" i="13"/>
  <c r="O890" i="13"/>
  <c r="Q890" i="13"/>
  <c r="N890" i="13"/>
  <c r="T890" i="13"/>
  <c r="S889" i="13"/>
  <c r="P889" i="13"/>
  <c r="R889" i="13"/>
  <c r="O889" i="13"/>
  <c r="N889" i="13"/>
  <c r="T889" i="13"/>
  <c r="S888" i="13"/>
  <c r="P888" i="13"/>
  <c r="V888" i="13"/>
  <c r="O888" i="13"/>
  <c r="N888" i="13"/>
  <c r="T888" i="13"/>
  <c r="S887" i="13"/>
  <c r="P887" i="13"/>
  <c r="R887" i="13"/>
  <c r="O887" i="13"/>
  <c r="Q887" i="13"/>
  <c r="U887" i="13"/>
  <c r="X887" i="13"/>
  <c r="N887" i="13"/>
  <c r="T887" i="13"/>
  <c r="S886" i="13"/>
  <c r="P886" i="13"/>
  <c r="R886" i="13"/>
  <c r="O886" i="13"/>
  <c r="Q886" i="13"/>
  <c r="N886" i="13"/>
  <c r="T886" i="13"/>
  <c r="S885" i="13"/>
  <c r="P885" i="13"/>
  <c r="O885" i="13"/>
  <c r="Q885" i="13"/>
  <c r="N885" i="13"/>
  <c r="T885" i="13"/>
  <c r="S884" i="13"/>
  <c r="P884" i="13"/>
  <c r="O884" i="13"/>
  <c r="N884" i="13"/>
  <c r="T884" i="13"/>
  <c r="S883" i="13"/>
  <c r="P883" i="13"/>
  <c r="O883" i="13"/>
  <c r="Q883" i="13"/>
  <c r="N883" i="13"/>
  <c r="T883" i="13"/>
  <c r="S882" i="13"/>
  <c r="P882" i="13"/>
  <c r="O882" i="13"/>
  <c r="Q882" i="13"/>
  <c r="N882" i="13"/>
  <c r="T882" i="13"/>
  <c r="S881" i="13"/>
  <c r="P881" i="13"/>
  <c r="V881" i="13"/>
  <c r="O881" i="13"/>
  <c r="Q881" i="13"/>
  <c r="N881" i="13"/>
  <c r="T881" i="13"/>
  <c r="T880" i="13"/>
  <c r="S880" i="13"/>
  <c r="P880" i="13"/>
  <c r="O880" i="13"/>
  <c r="N880" i="13"/>
  <c r="S879" i="13"/>
  <c r="P879" i="13"/>
  <c r="R879" i="13"/>
  <c r="O879" i="13"/>
  <c r="Q879" i="13"/>
  <c r="U879" i="13"/>
  <c r="X879" i="13"/>
  <c r="N879" i="13"/>
  <c r="T879" i="13"/>
  <c r="S878" i="13"/>
  <c r="P878" i="13"/>
  <c r="R878" i="13"/>
  <c r="O878" i="13"/>
  <c r="Q878" i="13"/>
  <c r="N878" i="13"/>
  <c r="T878" i="13"/>
  <c r="S877" i="13"/>
  <c r="P877" i="13"/>
  <c r="O877" i="13"/>
  <c r="Q877" i="13"/>
  <c r="N877" i="13"/>
  <c r="T877" i="13"/>
  <c r="S876" i="13"/>
  <c r="P876" i="13"/>
  <c r="O876" i="13"/>
  <c r="Q876" i="13"/>
  <c r="N876" i="13"/>
  <c r="T876" i="13"/>
  <c r="S875" i="13"/>
  <c r="P875" i="13"/>
  <c r="O875" i="13"/>
  <c r="N875" i="13"/>
  <c r="T875" i="13"/>
  <c r="S874" i="13"/>
  <c r="P874" i="13"/>
  <c r="R874" i="13"/>
  <c r="O874" i="13"/>
  <c r="Q874" i="13"/>
  <c r="N874" i="13"/>
  <c r="T874" i="13"/>
  <c r="S873" i="13"/>
  <c r="P873" i="13"/>
  <c r="V873" i="13"/>
  <c r="O873" i="13"/>
  <c r="N873" i="13"/>
  <c r="T873" i="13"/>
  <c r="S872" i="13"/>
  <c r="P872" i="13"/>
  <c r="V872" i="13"/>
  <c r="O872" i="13"/>
  <c r="N872" i="13"/>
  <c r="T872" i="13"/>
  <c r="S871" i="13"/>
  <c r="P871" i="13"/>
  <c r="V871" i="13"/>
  <c r="O871" i="13"/>
  <c r="Q871" i="13"/>
  <c r="N871" i="13"/>
  <c r="T871" i="13"/>
  <c r="S870" i="13"/>
  <c r="P870" i="13"/>
  <c r="O870" i="13"/>
  <c r="Q870" i="13"/>
  <c r="N870" i="13"/>
  <c r="T870" i="13"/>
  <c r="S869" i="13"/>
  <c r="P869" i="13"/>
  <c r="O869" i="13"/>
  <c r="Q869" i="13"/>
  <c r="N869" i="13"/>
  <c r="T869" i="13"/>
  <c r="S868" i="13"/>
  <c r="P868" i="13"/>
  <c r="O868" i="13"/>
  <c r="N868" i="13"/>
  <c r="S867" i="13"/>
  <c r="P867" i="13"/>
  <c r="O867" i="13"/>
  <c r="Q867" i="13"/>
  <c r="N867" i="13"/>
  <c r="T867" i="13"/>
  <c r="S866" i="13"/>
  <c r="P866" i="13"/>
  <c r="R866" i="13"/>
  <c r="O866" i="13"/>
  <c r="Q866" i="13"/>
  <c r="N866" i="13"/>
  <c r="T866" i="13"/>
  <c r="S865" i="13"/>
  <c r="P865" i="13"/>
  <c r="O865" i="13"/>
  <c r="Q865" i="13"/>
  <c r="N865" i="13"/>
  <c r="T865" i="13"/>
  <c r="S864" i="13"/>
  <c r="P864" i="13"/>
  <c r="V864" i="13"/>
  <c r="O864" i="13"/>
  <c r="N864" i="13"/>
  <c r="S863" i="13"/>
  <c r="P863" i="13"/>
  <c r="V863" i="13"/>
  <c r="O863" i="13"/>
  <c r="N863" i="13"/>
  <c r="T863" i="13"/>
  <c r="S862" i="13"/>
  <c r="P862" i="13"/>
  <c r="V862" i="13"/>
  <c r="O862" i="13"/>
  <c r="Q862" i="13"/>
  <c r="N862" i="13"/>
  <c r="T862" i="13"/>
  <c r="S861" i="13"/>
  <c r="P861" i="13"/>
  <c r="R861" i="13"/>
  <c r="O861" i="13"/>
  <c r="Q861" i="13"/>
  <c r="N861" i="13"/>
  <c r="T861" i="13"/>
  <c r="S860" i="13"/>
  <c r="P860" i="13"/>
  <c r="R860" i="13"/>
  <c r="O860" i="13"/>
  <c r="Q860" i="13"/>
  <c r="N860" i="13"/>
  <c r="T860" i="13"/>
  <c r="S859" i="13"/>
  <c r="P859" i="13"/>
  <c r="O859" i="13"/>
  <c r="N859" i="13"/>
  <c r="T859" i="13"/>
  <c r="S858" i="13"/>
  <c r="P858" i="13"/>
  <c r="R858" i="13"/>
  <c r="O858" i="13"/>
  <c r="Q858" i="13"/>
  <c r="N858" i="13"/>
  <c r="T858" i="13"/>
  <c r="S857" i="13"/>
  <c r="P857" i="13"/>
  <c r="O857" i="13"/>
  <c r="N857" i="13"/>
  <c r="T857" i="13"/>
  <c r="S856" i="13"/>
  <c r="P856" i="13"/>
  <c r="O856" i="13"/>
  <c r="Q856" i="13"/>
  <c r="N856" i="13"/>
  <c r="T856" i="13"/>
  <c r="S855" i="13"/>
  <c r="P855" i="13"/>
  <c r="V855" i="13"/>
  <c r="O855" i="13"/>
  <c r="Q855" i="13"/>
  <c r="N855" i="13"/>
  <c r="T855" i="13"/>
  <c r="S854" i="13"/>
  <c r="P854" i="13"/>
  <c r="V854" i="13"/>
  <c r="O854" i="13"/>
  <c r="Q854" i="13"/>
  <c r="N854" i="13"/>
  <c r="T854" i="13"/>
  <c r="S853" i="13"/>
  <c r="P853" i="13"/>
  <c r="O853" i="13"/>
  <c r="Q853" i="13"/>
  <c r="N853" i="13"/>
  <c r="T853" i="13"/>
  <c r="S852" i="13"/>
  <c r="P852" i="13"/>
  <c r="V852" i="13"/>
  <c r="O852" i="13"/>
  <c r="Q852" i="13"/>
  <c r="N852" i="13"/>
  <c r="T852" i="13"/>
  <c r="S851" i="13"/>
  <c r="P851" i="13"/>
  <c r="V851" i="13"/>
  <c r="O851" i="13"/>
  <c r="Q851" i="13"/>
  <c r="N851" i="13"/>
  <c r="T851" i="13"/>
  <c r="S850" i="13"/>
  <c r="P850" i="13"/>
  <c r="V850" i="13"/>
  <c r="O850" i="13"/>
  <c r="Q850" i="13"/>
  <c r="N850" i="13"/>
  <c r="S849" i="13"/>
  <c r="P849" i="13"/>
  <c r="V849" i="13"/>
  <c r="O849" i="13"/>
  <c r="Q849" i="13"/>
  <c r="N849" i="13"/>
  <c r="T849" i="13"/>
  <c r="S848" i="13"/>
  <c r="P848" i="13"/>
  <c r="R848" i="13"/>
  <c r="O848" i="13"/>
  <c r="Q848" i="13"/>
  <c r="N848" i="13"/>
  <c r="T848" i="13"/>
  <c r="S847" i="13"/>
  <c r="P847" i="13"/>
  <c r="R847" i="13"/>
  <c r="O847" i="13"/>
  <c r="Q847" i="13"/>
  <c r="N847" i="13"/>
  <c r="T847" i="13"/>
  <c r="S846" i="13"/>
  <c r="P846" i="13"/>
  <c r="V846" i="13"/>
  <c r="O846" i="13"/>
  <c r="Q846" i="13"/>
  <c r="N846" i="13"/>
  <c r="T846" i="13"/>
  <c r="S845" i="13"/>
  <c r="P845" i="13"/>
  <c r="O845" i="13"/>
  <c r="Q845" i="13"/>
  <c r="N845" i="13"/>
  <c r="T845" i="13"/>
  <c r="S844" i="13"/>
  <c r="P844" i="13"/>
  <c r="V844" i="13"/>
  <c r="O844" i="13"/>
  <c r="Q844" i="13"/>
  <c r="N844" i="13"/>
  <c r="T844" i="13"/>
  <c r="S843" i="13"/>
  <c r="P843" i="13"/>
  <c r="R843" i="13"/>
  <c r="O843" i="13"/>
  <c r="Q843" i="13"/>
  <c r="N843" i="13"/>
  <c r="T843" i="13"/>
  <c r="S842" i="13"/>
  <c r="P842" i="13"/>
  <c r="O842" i="13"/>
  <c r="Q842" i="13"/>
  <c r="N842" i="13"/>
  <c r="T842" i="13"/>
  <c r="S841" i="13"/>
  <c r="P841" i="13"/>
  <c r="V841" i="13"/>
  <c r="O841" i="13"/>
  <c r="N841" i="13"/>
  <c r="T841" i="13"/>
  <c r="S840" i="13"/>
  <c r="P840" i="13"/>
  <c r="R840" i="13"/>
  <c r="O840" i="13"/>
  <c r="Q840" i="13"/>
  <c r="N840" i="13"/>
  <c r="T840" i="13"/>
  <c r="S839" i="13"/>
  <c r="P839" i="13"/>
  <c r="O839" i="13"/>
  <c r="Q839" i="13"/>
  <c r="N839" i="13"/>
  <c r="T839" i="13"/>
  <c r="S838" i="13"/>
  <c r="P838" i="13"/>
  <c r="V838" i="13"/>
  <c r="O838" i="13"/>
  <c r="N838" i="13"/>
  <c r="T838" i="13"/>
  <c r="S837" i="13"/>
  <c r="P837" i="13"/>
  <c r="O837" i="13"/>
  <c r="N837" i="13"/>
  <c r="T837" i="13"/>
  <c r="S836" i="13"/>
  <c r="P836" i="13"/>
  <c r="V836" i="13"/>
  <c r="O836" i="13"/>
  <c r="Q836" i="13"/>
  <c r="N836" i="13"/>
  <c r="T836" i="13"/>
  <c r="V835" i="13"/>
  <c r="S835" i="13"/>
  <c r="P835" i="13"/>
  <c r="R835" i="13"/>
  <c r="O835" i="13"/>
  <c r="Q835" i="13"/>
  <c r="U835" i="13"/>
  <c r="X835" i="13"/>
  <c r="N835" i="13"/>
  <c r="T835" i="13"/>
  <c r="S834" i="13"/>
  <c r="P834" i="13"/>
  <c r="R834" i="13"/>
  <c r="O834" i="13"/>
  <c r="Q834" i="13"/>
  <c r="N834" i="13"/>
  <c r="T834" i="13"/>
  <c r="S833" i="13"/>
  <c r="P833" i="13"/>
  <c r="O833" i="13"/>
  <c r="Q833" i="13"/>
  <c r="N833" i="13"/>
  <c r="T833" i="13"/>
  <c r="S832" i="13"/>
  <c r="P832" i="13"/>
  <c r="R832" i="13"/>
  <c r="O832" i="13"/>
  <c r="Q832" i="13"/>
  <c r="N832" i="13"/>
  <c r="T832" i="13"/>
  <c r="S831" i="13"/>
  <c r="P831" i="13"/>
  <c r="R831" i="13"/>
  <c r="O831" i="13"/>
  <c r="Q831" i="13"/>
  <c r="N831" i="13"/>
  <c r="T831" i="13"/>
  <c r="S830" i="13"/>
  <c r="P830" i="13"/>
  <c r="V830" i="13"/>
  <c r="O830" i="13"/>
  <c r="N830" i="13"/>
  <c r="T830" i="13"/>
  <c r="S829" i="13"/>
  <c r="P829" i="13"/>
  <c r="O829" i="13"/>
  <c r="N829" i="13"/>
  <c r="S828" i="13"/>
  <c r="P828" i="13"/>
  <c r="O828" i="13"/>
  <c r="N828" i="13"/>
  <c r="T828" i="13"/>
  <c r="S827" i="13"/>
  <c r="P827" i="13"/>
  <c r="R827" i="13"/>
  <c r="O827" i="13"/>
  <c r="Q827" i="13"/>
  <c r="N827" i="13"/>
  <c r="T827" i="13"/>
  <c r="S826" i="13"/>
  <c r="P826" i="13"/>
  <c r="R826" i="13"/>
  <c r="O826" i="13"/>
  <c r="Q826" i="13"/>
  <c r="N826" i="13"/>
  <c r="T826" i="13"/>
  <c r="S825" i="13"/>
  <c r="P825" i="13"/>
  <c r="O825" i="13"/>
  <c r="N825" i="13"/>
  <c r="T825" i="13"/>
  <c r="S824" i="13"/>
  <c r="P824" i="13"/>
  <c r="R824" i="13"/>
  <c r="O824" i="13"/>
  <c r="Q824" i="13"/>
  <c r="N824" i="13"/>
  <c r="T824" i="13"/>
  <c r="S823" i="13"/>
  <c r="P823" i="13"/>
  <c r="R823" i="13"/>
  <c r="O823" i="13"/>
  <c r="Q823" i="13"/>
  <c r="N823" i="13"/>
  <c r="T823" i="13"/>
  <c r="S822" i="13"/>
  <c r="P822" i="13"/>
  <c r="R822" i="13"/>
  <c r="O822" i="13"/>
  <c r="Q822" i="13"/>
  <c r="N822" i="13"/>
  <c r="T822" i="13"/>
  <c r="S821" i="13"/>
  <c r="P821" i="13"/>
  <c r="O821" i="13"/>
  <c r="N821" i="13"/>
  <c r="T821" i="13"/>
  <c r="S820" i="13"/>
  <c r="P820" i="13"/>
  <c r="V820" i="13"/>
  <c r="O820" i="13"/>
  <c r="Q820" i="13"/>
  <c r="N820" i="13"/>
  <c r="T820" i="13"/>
  <c r="S819" i="13"/>
  <c r="P819" i="13"/>
  <c r="V819" i="13"/>
  <c r="O819" i="13"/>
  <c r="Q819" i="13"/>
  <c r="N819" i="13"/>
  <c r="T819" i="13"/>
  <c r="S818" i="13"/>
  <c r="P818" i="13"/>
  <c r="O818" i="13"/>
  <c r="Q818" i="13"/>
  <c r="N818" i="13"/>
  <c r="T818" i="13"/>
  <c r="S817" i="13"/>
  <c r="P817" i="13"/>
  <c r="O817" i="13"/>
  <c r="N817" i="13"/>
  <c r="S816" i="13"/>
  <c r="P816" i="13"/>
  <c r="R816" i="13"/>
  <c r="O816" i="13"/>
  <c r="Q816" i="13"/>
  <c r="N816" i="13"/>
  <c r="T816" i="13"/>
  <c r="S815" i="13"/>
  <c r="P815" i="13"/>
  <c r="R815" i="13"/>
  <c r="O815" i="13"/>
  <c r="Q815" i="13"/>
  <c r="N815" i="13"/>
  <c r="T815" i="13"/>
  <c r="S814" i="13"/>
  <c r="P814" i="13"/>
  <c r="V814" i="13"/>
  <c r="O814" i="13"/>
  <c r="Q814" i="13"/>
  <c r="N814" i="13"/>
  <c r="T814" i="13"/>
  <c r="S813" i="13"/>
  <c r="P813" i="13"/>
  <c r="O813" i="13"/>
  <c r="N813" i="13"/>
  <c r="S812" i="13"/>
  <c r="P812" i="13"/>
  <c r="V812" i="13"/>
  <c r="O812" i="13"/>
  <c r="Q812" i="13"/>
  <c r="N812" i="13"/>
  <c r="T812" i="13"/>
  <c r="S811" i="13"/>
  <c r="P811" i="13"/>
  <c r="O811" i="13"/>
  <c r="Q811" i="13"/>
  <c r="N811" i="13"/>
  <c r="S810" i="13"/>
  <c r="P810" i="13"/>
  <c r="V810" i="13"/>
  <c r="O810" i="13"/>
  <c r="Q810" i="13"/>
  <c r="N810" i="13"/>
  <c r="T810" i="13"/>
  <c r="S809" i="13"/>
  <c r="P809" i="13"/>
  <c r="O809" i="13"/>
  <c r="N809" i="13"/>
  <c r="T809" i="13"/>
  <c r="S808" i="13"/>
  <c r="P808" i="13"/>
  <c r="R808" i="13"/>
  <c r="O808" i="13"/>
  <c r="Q808" i="13"/>
  <c r="N808" i="13"/>
  <c r="T808" i="13"/>
  <c r="S807" i="13"/>
  <c r="P807" i="13"/>
  <c r="R807" i="13"/>
  <c r="O807" i="13"/>
  <c r="Q807" i="13"/>
  <c r="N807" i="13"/>
  <c r="S806" i="13"/>
  <c r="P806" i="13"/>
  <c r="O806" i="13"/>
  <c r="Q806" i="13"/>
  <c r="N806" i="13"/>
  <c r="T806" i="13"/>
  <c r="S805" i="13"/>
  <c r="P805" i="13"/>
  <c r="O805" i="13"/>
  <c r="N805" i="13"/>
  <c r="T805" i="13"/>
  <c r="S804" i="13"/>
  <c r="P804" i="13"/>
  <c r="V804" i="13"/>
  <c r="O804" i="13"/>
  <c r="Q804" i="13"/>
  <c r="N804" i="13"/>
  <c r="T804" i="13"/>
  <c r="S803" i="13"/>
  <c r="P803" i="13"/>
  <c r="O803" i="13"/>
  <c r="Q803" i="13"/>
  <c r="N803" i="13"/>
  <c r="T803" i="13"/>
  <c r="S802" i="13"/>
  <c r="P802" i="13"/>
  <c r="R802" i="13"/>
  <c r="O802" i="13"/>
  <c r="Q802" i="13"/>
  <c r="N802" i="13"/>
  <c r="T802" i="13"/>
  <c r="S801" i="13"/>
  <c r="P801" i="13"/>
  <c r="O801" i="13"/>
  <c r="Q801" i="13"/>
  <c r="N801" i="13"/>
  <c r="T801" i="13"/>
  <c r="S800" i="13"/>
  <c r="P800" i="13"/>
  <c r="R800" i="13"/>
  <c r="O800" i="13"/>
  <c r="Q800" i="13"/>
  <c r="N800" i="13"/>
  <c r="T800" i="13"/>
  <c r="S799" i="13"/>
  <c r="P799" i="13"/>
  <c r="R799" i="13"/>
  <c r="O799" i="13"/>
  <c r="Q799" i="13"/>
  <c r="N799" i="13"/>
  <c r="T799" i="13"/>
  <c r="S798" i="13"/>
  <c r="P798" i="13"/>
  <c r="R798" i="13"/>
  <c r="O798" i="13"/>
  <c r="N798" i="13"/>
  <c r="T798" i="13"/>
  <c r="S797" i="13"/>
  <c r="P797" i="13"/>
  <c r="V797" i="13"/>
  <c r="O797" i="13"/>
  <c r="Q797" i="13"/>
  <c r="N797" i="13"/>
  <c r="T797" i="13"/>
  <c r="S796" i="13"/>
  <c r="P796" i="13"/>
  <c r="V796" i="13"/>
  <c r="O796" i="13"/>
  <c r="Q796" i="13"/>
  <c r="N796" i="13"/>
  <c r="T796" i="13"/>
  <c r="S795" i="13"/>
  <c r="P795" i="13"/>
  <c r="O795" i="13"/>
  <c r="Q795" i="13"/>
  <c r="N795" i="13"/>
  <c r="T795" i="13"/>
  <c r="S794" i="13"/>
  <c r="P794" i="13"/>
  <c r="V794" i="13"/>
  <c r="O794" i="13"/>
  <c r="Q794" i="13"/>
  <c r="N794" i="13"/>
  <c r="T794" i="13"/>
  <c r="S793" i="13"/>
  <c r="P793" i="13"/>
  <c r="R793" i="13"/>
  <c r="O793" i="13"/>
  <c r="N793" i="13"/>
  <c r="T793" i="13"/>
  <c r="S792" i="13"/>
  <c r="P792" i="13"/>
  <c r="R792" i="13"/>
  <c r="O792" i="13"/>
  <c r="Q792" i="13"/>
  <c r="N792" i="13"/>
  <c r="T792" i="13"/>
  <c r="S791" i="13"/>
  <c r="P791" i="13"/>
  <c r="R791" i="13"/>
  <c r="O791" i="13"/>
  <c r="Q791" i="13"/>
  <c r="N791" i="13"/>
  <c r="T791" i="13"/>
  <c r="S790" i="13"/>
  <c r="P790" i="13"/>
  <c r="V790" i="13"/>
  <c r="O790" i="13"/>
  <c r="N790" i="13"/>
  <c r="T790" i="13"/>
  <c r="S789" i="13"/>
  <c r="P789" i="13"/>
  <c r="O789" i="13"/>
  <c r="N789" i="13"/>
  <c r="T789" i="13"/>
  <c r="S788" i="13"/>
  <c r="P788" i="13"/>
  <c r="V788" i="13"/>
  <c r="O788" i="13"/>
  <c r="N788" i="13"/>
  <c r="T788" i="13"/>
  <c r="S787" i="13"/>
  <c r="P787" i="13"/>
  <c r="O787" i="13"/>
  <c r="Q787" i="13"/>
  <c r="N787" i="13"/>
  <c r="T787" i="13"/>
  <c r="S786" i="13"/>
  <c r="P786" i="13"/>
  <c r="V786" i="13"/>
  <c r="O786" i="13"/>
  <c r="Q786" i="13"/>
  <c r="N786" i="13"/>
  <c r="T786" i="13"/>
  <c r="S785" i="13"/>
  <c r="P785" i="13"/>
  <c r="R785" i="13"/>
  <c r="O785" i="13"/>
  <c r="N785" i="13"/>
  <c r="T785" i="13"/>
  <c r="S784" i="13"/>
  <c r="P784" i="13"/>
  <c r="R784" i="13"/>
  <c r="O784" i="13"/>
  <c r="Q784" i="13"/>
  <c r="N784" i="13"/>
  <c r="T784" i="13"/>
  <c r="S783" i="13"/>
  <c r="P783" i="13"/>
  <c r="R783" i="13"/>
  <c r="O783" i="13"/>
  <c r="Q783" i="13"/>
  <c r="U783" i="13"/>
  <c r="X783" i="13"/>
  <c r="N783" i="13"/>
  <c r="T783" i="13"/>
  <c r="S782" i="13"/>
  <c r="P782" i="13"/>
  <c r="R782" i="13"/>
  <c r="O782" i="13"/>
  <c r="N782" i="13"/>
  <c r="T782" i="13"/>
  <c r="S781" i="13"/>
  <c r="P781" i="13"/>
  <c r="R781" i="13"/>
  <c r="O781" i="13"/>
  <c r="Q781" i="13"/>
  <c r="N781" i="13"/>
  <c r="T781" i="13"/>
  <c r="S780" i="13"/>
  <c r="P780" i="13"/>
  <c r="V780" i="13"/>
  <c r="O780" i="13"/>
  <c r="N780" i="13"/>
  <c r="T780" i="13"/>
  <c r="S779" i="13"/>
  <c r="P779" i="13"/>
  <c r="O779" i="13"/>
  <c r="Q779" i="13"/>
  <c r="N779" i="13"/>
  <c r="T779" i="13"/>
  <c r="S778" i="13"/>
  <c r="P778" i="13"/>
  <c r="O778" i="13"/>
  <c r="Q778" i="13"/>
  <c r="N778" i="13"/>
  <c r="T778" i="13"/>
  <c r="S777" i="13"/>
  <c r="P777" i="13"/>
  <c r="V777" i="13"/>
  <c r="O777" i="13"/>
  <c r="N777" i="13"/>
  <c r="T777" i="13"/>
  <c r="S776" i="13"/>
  <c r="P776" i="13"/>
  <c r="R776" i="13"/>
  <c r="O776" i="13"/>
  <c r="Q776" i="13"/>
  <c r="N776" i="13"/>
  <c r="T776" i="13"/>
  <c r="S775" i="13"/>
  <c r="P775" i="13"/>
  <c r="O775" i="13"/>
  <c r="Q775" i="13"/>
  <c r="N775" i="13"/>
  <c r="T775" i="13"/>
  <c r="S774" i="13"/>
  <c r="P774" i="13"/>
  <c r="V774" i="13"/>
  <c r="O774" i="13"/>
  <c r="Q774" i="13"/>
  <c r="N774" i="13"/>
  <c r="T774" i="13"/>
  <c r="S773" i="13"/>
  <c r="P773" i="13"/>
  <c r="R773" i="13"/>
  <c r="O773" i="13"/>
  <c r="Q773" i="13"/>
  <c r="N773" i="13"/>
  <c r="T773" i="13"/>
  <c r="S772" i="13"/>
  <c r="P772" i="13"/>
  <c r="V772" i="13"/>
  <c r="O772" i="13"/>
  <c r="N772" i="13"/>
  <c r="T772" i="13"/>
  <c r="S771" i="13"/>
  <c r="P771" i="13"/>
  <c r="V771" i="13"/>
  <c r="O771" i="13"/>
  <c r="Q771" i="13"/>
  <c r="N771" i="13"/>
  <c r="T771" i="13"/>
  <c r="S770" i="13"/>
  <c r="P770" i="13"/>
  <c r="V770" i="13"/>
  <c r="O770" i="13"/>
  <c r="Q770" i="13"/>
  <c r="N770" i="13"/>
  <c r="T770" i="13"/>
  <c r="S769" i="13"/>
  <c r="P769" i="13"/>
  <c r="V769" i="13"/>
  <c r="O769" i="13"/>
  <c r="N769" i="13"/>
  <c r="T769" i="13"/>
  <c r="S768" i="13"/>
  <c r="P768" i="13"/>
  <c r="R768" i="13"/>
  <c r="O768" i="13"/>
  <c r="Q768" i="13"/>
  <c r="N768" i="13"/>
  <c r="T768" i="13"/>
  <c r="S767" i="13"/>
  <c r="P767" i="13"/>
  <c r="O767" i="13"/>
  <c r="Q767" i="13"/>
  <c r="N767" i="13"/>
  <c r="T767" i="13"/>
  <c r="S766" i="13"/>
  <c r="P766" i="13"/>
  <c r="O766" i="13"/>
  <c r="W766" i="13"/>
  <c r="N766" i="13"/>
  <c r="T766" i="13"/>
  <c r="S765" i="13"/>
  <c r="P765" i="13"/>
  <c r="R765" i="13"/>
  <c r="O765" i="13"/>
  <c r="Q765" i="13"/>
  <c r="N765" i="13"/>
  <c r="T765" i="13"/>
  <c r="S764" i="13"/>
  <c r="P764" i="13"/>
  <c r="V764" i="13"/>
  <c r="O764" i="13"/>
  <c r="N764" i="13"/>
  <c r="S763" i="13"/>
  <c r="P763" i="13"/>
  <c r="V763" i="13"/>
  <c r="O763" i="13"/>
  <c r="Q763" i="13"/>
  <c r="N763" i="13"/>
  <c r="T763" i="13"/>
  <c r="S762" i="13"/>
  <c r="P762" i="13"/>
  <c r="V762" i="13"/>
  <c r="O762" i="13"/>
  <c r="Q762" i="13"/>
  <c r="N762" i="13"/>
  <c r="T762" i="13"/>
  <c r="S761" i="13"/>
  <c r="P761" i="13"/>
  <c r="V761" i="13"/>
  <c r="O761" i="13"/>
  <c r="N761" i="13"/>
  <c r="T761" i="13"/>
  <c r="S760" i="13"/>
  <c r="P760" i="13"/>
  <c r="R760" i="13"/>
  <c r="O760" i="13"/>
  <c r="N760" i="13"/>
  <c r="T760" i="13"/>
  <c r="S759" i="13"/>
  <c r="P759" i="13"/>
  <c r="O759" i="13"/>
  <c r="Q759" i="13"/>
  <c r="N759" i="13"/>
  <c r="T759" i="13"/>
  <c r="S758" i="13"/>
  <c r="P758" i="13"/>
  <c r="R758" i="13"/>
  <c r="O758" i="13"/>
  <c r="N758" i="13"/>
  <c r="T758" i="13"/>
  <c r="S757" i="13"/>
  <c r="P757" i="13"/>
  <c r="R757" i="13"/>
  <c r="O757" i="13"/>
  <c r="Q757" i="13"/>
  <c r="N757" i="13"/>
  <c r="T757" i="13"/>
  <c r="S756" i="13"/>
  <c r="P756" i="13"/>
  <c r="V756" i="13"/>
  <c r="O756" i="13"/>
  <c r="Q756" i="13"/>
  <c r="N756" i="13"/>
  <c r="T756" i="13"/>
  <c r="S755" i="13"/>
  <c r="P755" i="13"/>
  <c r="O755" i="13"/>
  <c r="Q755" i="13"/>
  <c r="N755" i="13"/>
  <c r="T755" i="13"/>
  <c r="S754" i="13"/>
  <c r="P754" i="13"/>
  <c r="O754" i="13"/>
  <c r="Q754" i="13"/>
  <c r="N754" i="13"/>
  <c r="T754" i="13"/>
  <c r="S753" i="13"/>
  <c r="P753" i="13"/>
  <c r="V753" i="13"/>
  <c r="O753" i="13"/>
  <c r="N753" i="13"/>
  <c r="T753" i="13"/>
  <c r="S752" i="13"/>
  <c r="P752" i="13"/>
  <c r="R752" i="13"/>
  <c r="O752" i="13"/>
  <c r="Q752" i="13"/>
  <c r="U752" i="13"/>
  <c r="X752" i="13"/>
  <c r="N752" i="13"/>
  <c r="T752" i="13"/>
  <c r="S751" i="13"/>
  <c r="P751" i="13"/>
  <c r="O751" i="13"/>
  <c r="Q751" i="13"/>
  <c r="N751" i="13"/>
  <c r="T751" i="13"/>
  <c r="S750" i="13"/>
  <c r="P750" i="13"/>
  <c r="V750" i="13"/>
  <c r="O750" i="13"/>
  <c r="N750" i="13"/>
  <c r="T750" i="13"/>
  <c r="S749" i="13"/>
  <c r="P749" i="13"/>
  <c r="R749" i="13"/>
  <c r="O749" i="13"/>
  <c r="Q749" i="13"/>
  <c r="N749" i="13"/>
  <c r="T749" i="13"/>
  <c r="S748" i="13"/>
  <c r="P748" i="13"/>
  <c r="V748" i="13"/>
  <c r="O748" i="13"/>
  <c r="N748" i="13"/>
  <c r="T748" i="13"/>
  <c r="S747" i="13"/>
  <c r="P747" i="13"/>
  <c r="V747" i="13"/>
  <c r="O747" i="13"/>
  <c r="Q747" i="13"/>
  <c r="N747" i="13"/>
  <c r="T747" i="13"/>
  <c r="S746" i="13"/>
  <c r="P746" i="13"/>
  <c r="V746" i="13"/>
  <c r="O746" i="13"/>
  <c r="Q746" i="13"/>
  <c r="N746" i="13"/>
  <c r="S745" i="13"/>
  <c r="P745" i="13"/>
  <c r="V745" i="13"/>
  <c r="O745" i="13"/>
  <c r="N745" i="13"/>
  <c r="T745" i="13"/>
  <c r="T744" i="13"/>
  <c r="S744" i="13"/>
  <c r="P744" i="13"/>
  <c r="R744" i="13"/>
  <c r="O744" i="13"/>
  <c r="Q744" i="13"/>
  <c r="N744" i="13"/>
  <c r="S743" i="13"/>
  <c r="P743" i="13"/>
  <c r="O743" i="13"/>
  <c r="Q743" i="13"/>
  <c r="N743" i="13"/>
  <c r="T743" i="13"/>
  <c r="S742" i="13"/>
  <c r="P742" i="13"/>
  <c r="R742" i="13"/>
  <c r="O742" i="13"/>
  <c r="N742" i="13"/>
  <c r="T742" i="13"/>
  <c r="S741" i="13"/>
  <c r="P741" i="13"/>
  <c r="R741" i="13"/>
  <c r="O741" i="13"/>
  <c r="Q741" i="13"/>
  <c r="N741" i="13"/>
  <c r="T741" i="13"/>
  <c r="S740" i="13"/>
  <c r="P740" i="13"/>
  <c r="V740" i="13"/>
  <c r="O740" i="13"/>
  <c r="N740" i="13"/>
  <c r="T740" i="13"/>
  <c r="S739" i="13"/>
  <c r="P739" i="13"/>
  <c r="O739" i="13"/>
  <c r="Q739" i="13"/>
  <c r="N739" i="13"/>
  <c r="T739" i="13"/>
  <c r="S738" i="13"/>
  <c r="P738" i="13"/>
  <c r="V738" i="13"/>
  <c r="O738" i="13"/>
  <c r="Q738" i="13"/>
  <c r="N738" i="13"/>
  <c r="T738" i="13"/>
  <c r="S737" i="13"/>
  <c r="P737" i="13"/>
  <c r="V737" i="13"/>
  <c r="O737" i="13"/>
  <c r="N737" i="13"/>
  <c r="S736" i="13"/>
  <c r="P736" i="13"/>
  <c r="R736" i="13"/>
  <c r="O736" i="13"/>
  <c r="Q736" i="13"/>
  <c r="N736" i="13"/>
  <c r="T736" i="13"/>
  <c r="S735" i="13"/>
  <c r="P735" i="13"/>
  <c r="R735" i="13"/>
  <c r="O735" i="13"/>
  <c r="Q735" i="13"/>
  <c r="N735" i="13"/>
  <c r="T735" i="13"/>
  <c r="S734" i="13"/>
  <c r="P734" i="13"/>
  <c r="O734" i="13"/>
  <c r="Q734" i="13"/>
  <c r="N734" i="13"/>
  <c r="T734" i="13"/>
  <c r="S733" i="13"/>
  <c r="P733" i="13"/>
  <c r="R733" i="13"/>
  <c r="O733" i="13"/>
  <c r="Q733" i="13"/>
  <c r="U733" i="13"/>
  <c r="X733" i="13"/>
  <c r="N733" i="13"/>
  <c r="T733" i="13"/>
  <c r="S732" i="13"/>
  <c r="P732" i="13"/>
  <c r="V732" i="13"/>
  <c r="O732" i="13"/>
  <c r="N732" i="13"/>
  <c r="T732" i="13"/>
  <c r="S731" i="13"/>
  <c r="P731" i="13"/>
  <c r="V731" i="13"/>
  <c r="O731" i="13"/>
  <c r="Q731" i="13"/>
  <c r="N731" i="13"/>
  <c r="T731" i="13"/>
  <c r="S730" i="13"/>
  <c r="P730" i="13"/>
  <c r="O730" i="13"/>
  <c r="Q730" i="13"/>
  <c r="N730" i="13"/>
  <c r="T730" i="13"/>
  <c r="S729" i="13"/>
  <c r="P729" i="13"/>
  <c r="V729" i="13"/>
  <c r="O729" i="13"/>
  <c r="N729" i="13"/>
  <c r="T729" i="13"/>
  <c r="S728" i="13"/>
  <c r="P728" i="13"/>
  <c r="O728" i="13"/>
  <c r="Q728" i="13"/>
  <c r="N728" i="13"/>
  <c r="T728" i="13"/>
  <c r="S727" i="13"/>
  <c r="P727" i="13"/>
  <c r="V727" i="13"/>
  <c r="O727" i="13"/>
  <c r="Q727" i="13"/>
  <c r="N727" i="13"/>
  <c r="T727" i="13"/>
  <c r="S726" i="13"/>
  <c r="P726" i="13"/>
  <c r="V726" i="13"/>
  <c r="O726" i="13"/>
  <c r="Q726" i="13"/>
  <c r="N726" i="13"/>
  <c r="T726" i="13"/>
  <c r="S725" i="13"/>
  <c r="P725" i="13"/>
  <c r="R725" i="13"/>
  <c r="O725" i="13"/>
  <c r="N725" i="13"/>
  <c r="T725" i="13"/>
  <c r="S724" i="13"/>
  <c r="P724" i="13"/>
  <c r="V724" i="13"/>
  <c r="O724" i="13"/>
  <c r="Q724" i="13"/>
  <c r="N724" i="13"/>
  <c r="T724" i="13"/>
  <c r="S723" i="13"/>
  <c r="P723" i="13"/>
  <c r="R723" i="13"/>
  <c r="O723" i="13"/>
  <c r="Q723" i="13"/>
  <c r="N723" i="13"/>
  <c r="T723" i="13"/>
  <c r="S722" i="13"/>
  <c r="P722" i="13"/>
  <c r="O722" i="13"/>
  <c r="Q722" i="13"/>
  <c r="N722" i="13"/>
  <c r="T722" i="13"/>
  <c r="S721" i="13"/>
  <c r="P721" i="13"/>
  <c r="V721" i="13"/>
  <c r="O721" i="13"/>
  <c r="N721" i="13"/>
  <c r="T721" i="13"/>
  <c r="S720" i="13"/>
  <c r="P720" i="13"/>
  <c r="R720" i="13"/>
  <c r="O720" i="13"/>
  <c r="Q720" i="13"/>
  <c r="U720" i="13"/>
  <c r="X720" i="13"/>
  <c r="N720" i="13"/>
  <c r="T720" i="13"/>
  <c r="S719" i="13"/>
  <c r="P719" i="13"/>
  <c r="R719" i="13"/>
  <c r="O719" i="13"/>
  <c r="Q719" i="13"/>
  <c r="N719" i="13"/>
  <c r="T719" i="13"/>
  <c r="S718" i="13"/>
  <c r="P718" i="13"/>
  <c r="V718" i="13"/>
  <c r="O718" i="13"/>
  <c r="N718" i="13"/>
  <c r="T718" i="13"/>
  <c r="S717" i="13"/>
  <c r="P717" i="13"/>
  <c r="R717" i="13"/>
  <c r="O717" i="13"/>
  <c r="Q717" i="13"/>
  <c r="N717" i="13"/>
  <c r="T717" i="13"/>
  <c r="S716" i="13"/>
  <c r="P716" i="13"/>
  <c r="V716" i="13"/>
  <c r="O716" i="13"/>
  <c r="N716" i="13"/>
  <c r="T716" i="13"/>
  <c r="S715" i="13"/>
  <c r="P715" i="13"/>
  <c r="R715" i="13"/>
  <c r="O715" i="13"/>
  <c r="Q715" i="13"/>
  <c r="N715" i="13"/>
  <c r="T715" i="13"/>
  <c r="S714" i="13"/>
  <c r="P714" i="13"/>
  <c r="O714" i="13"/>
  <c r="N714" i="13"/>
  <c r="T714" i="13"/>
  <c r="S713" i="13"/>
  <c r="P713" i="13"/>
  <c r="V713" i="13"/>
  <c r="O713" i="13"/>
  <c r="N713" i="13"/>
  <c r="T713" i="13"/>
  <c r="S712" i="13"/>
  <c r="P712" i="13"/>
  <c r="O712" i="13"/>
  <c r="Q712" i="13"/>
  <c r="N712" i="13"/>
  <c r="T712" i="13"/>
  <c r="S711" i="13"/>
  <c r="P711" i="13"/>
  <c r="R711" i="13"/>
  <c r="O711" i="13"/>
  <c r="Q711" i="13"/>
  <c r="N711" i="13"/>
  <c r="T711" i="13"/>
  <c r="S710" i="13"/>
  <c r="P710" i="13"/>
  <c r="V710" i="13"/>
  <c r="O710" i="13"/>
  <c r="N710" i="13"/>
  <c r="T710" i="13"/>
  <c r="S709" i="13"/>
  <c r="P709" i="13"/>
  <c r="R709" i="13"/>
  <c r="O709" i="13"/>
  <c r="Q709" i="13"/>
  <c r="N709" i="13"/>
  <c r="T709" i="13"/>
  <c r="S708" i="13"/>
  <c r="P708" i="13"/>
  <c r="V708" i="13"/>
  <c r="O708" i="13"/>
  <c r="N708" i="13"/>
  <c r="T708" i="13"/>
  <c r="S707" i="13"/>
  <c r="P707" i="13"/>
  <c r="R707" i="13"/>
  <c r="O707" i="13"/>
  <c r="Q707" i="13"/>
  <c r="N707" i="13"/>
  <c r="T707" i="13"/>
  <c r="S706" i="13"/>
  <c r="P706" i="13"/>
  <c r="V706" i="13"/>
  <c r="O706" i="13"/>
  <c r="Q706" i="13"/>
  <c r="N706" i="13"/>
  <c r="T706" i="13"/>
  <c r="S705" i="13"/>
  <c r="P705" i="13"/>
  <c r="V705" i="13"/>
  <c r="O705" i="13"/>
  <c r="N705" i="13"/>
  <c r="T705" i="13"/>
  <c r="S704" i="13"/>
  <c r="P704" i="13"/>
  <c r="O704" i="13"/>
  <c r="N704" i="13"/>
  <c r="T704" i="13"/>
  <c r="S703" i="13"/>
  <c r="P703" i="13"/>
  <c r="O703" i="13"/>
  <c r="N703" i="13"/>
  <c r="V702" i="13"/>
  <c r="S702" i="13"/>
  <c r="P702" i="13"/>
  <c r="R702" i="13"/>
  <c r="O702" i="13"/>
  <c r="N702" i="13"/>
  <c r="T702" i="13"/>
  <c r="S701" i="13"/>
  <c r="P701" i="13"/>
  <c r="R701" i="13"/>
  <c r="O701" i="13"/>
  <c r="Q701" i="13"/>
  <c r="U701" i="13"/>
  <c r="X701" i="13"/>
  <c r="N701" i="13"/>
  <c r="T701" i="13"/>
  <c r="S700" i="13"/>
  <c r="P700" i="13"/>
  <c r="O700" i="13"/>
  <c r="Q700" i="13"/>
  <c r="N700" i="13"/>
  <c r="S699" i="13"/>
  <c r="P699" i="13"/>
  <c r="R699" i="13"/>
  <c r="O699" i="13"/>
  <c r="Q699" i="13"/>
  <c r="N699" i="13"/>
  <c r="T699" i="13"/>
  <c r="S698" i="13"/>
  <c r="P698" i="13"/>
  <c r="O698" i="13"/>
  <c r="Q698" i="13"/>
  <c r="N698" i="13"/>
  <c r="T698" i="13"/>
  <c r="S697" i="13"/>
  <c r="P697" i="13"/>
  <c r="O697" i="13"/>
  <c r="N697" i="13"/>
  <c r="T697" i="13"/>
  <c r="S696" i="13"/>
  <c r="P696" i="13"/>
  <c r="O696" i="13"/>
  <c r="Q696" i="13"/>
  <c r="N696" i="13"/>
  <c r="T696" i="13"/>
  <c r="S695" i="13"/>
  <c r="P695" i="13"/>
  <c r="O695" i="13"/>
  <c r="Q695" i="13"/>
  <c r="N695" i="13"/>
  <c r="T695" i="13"/>
  <c r="S694" i="13"/>
  <c r="P694" i="13"/>
  <c r="V694" i="13"/>
  <c r="O694" i="13"/>
  <c r="N694" i="13"/>
  <c r="T694" i="13"/>
  <c r="S693" i="13"/>
  <c r="P693" i="13"/>
  <c r="R693" i="13"/>
  <c r="O693" i="13"/>
  <c r="Q693" i="13"/>
  <c r="N693" i="13"/>
  <c r="T693" i="13"/>
  <c r="S692" i="13"/>
  <c r="P692" i="13"/>
  <c r="O692" i="13"/>
  <c r="N692" i="13"/>
  <c r="T692" i="13"/>
  <c r="S691" i="13"/>
  <c r="P691" i="13"/>
  <c r="V691" i="13"/>
  <c r="O691" i="13"/>
  <c r="Q691" i="13"/>
  <c r="N691" i="13"/>
  <c r="T691" i="13"/>
  <c r="S690" i="13"/>
  <c r="P690" i="13"/>
  <c r="V690" i="13"/>
  <c r="O690" i="13"/>
  <c r="N690" i="13"/>
  <c r="T690" i="13"/>
  <c r="S689" i="13"/>
  <c r="P689" i="13"/>
  <c r="V689" i="13"/>
  <c r="O689" i="13"/>
  <c r="Q689" i="13"/>
  <c r="N689" i="13"/>
  <c r="T689" i="13"/>
  <c r="S688" i="13"/>
  <c r="P688" i="13"/>
  <c r="O688" i="13"/>
  <c r="Q688" i="13"/>
  <c r="N688" i="13"/>
  <c r="T688" i="13"/>
  <c r="S687" i="13"/>
  <c r="P687" i="13"/>
  <c r="R687" i="13"/>
  <c r="O687" i="13"/>
  <c r="N687" i="13"/>
  <c r="T687" i="13"/>
  <c r="S686" i="13"/>
  <c r="P686" i="13"/>
  <c r="R686" i="13"/>
  <c r="O686" i="13"/>
  <c r="Q686" i="13"/>
  <c r="N686" i="13"/>
  <c r="T686" i="13"/>
  <c r="S685" i="13"/>
  <c r="P685" i="13"/>
  <c r="R685" i="13"/>
  <c r="O685" i="13"/>
  <c r="Q685" i="13"/>
  <c r="N685" i="13"/>
  <c r="T685" i="13"/>
  <c r="S684" i="13"/>
  <c r="P684" i="13"/>
  <c r="O684" i="13"/>
  <c r="N684" i="13"/>
  <c r="T684" i="13"/>
  <c r="S683" i="13"/>
  <c r="P683" i="13"/>
  <c r="O683" i="13"/>
  <c r="Q683" i="13"/>
  <c r="N683" i="13"/>
  <c r="S682" i="13"/>
  <c r="P682" i="13"/>
  <c r="O682" i="13"/>
  <c r="W682" i="13"/>
  <c r="N682" i="13"/>
  <c r="T682" i="13"/>
  <c r="S681" i="13"/>
  <c r="P681" i="13"/>
  <c r="V681" i="13"/>
  <c r="O681" i="13"/>
  <c r="Q681" i="13"/>
  <c r="N681" i="13"/>
  <c r="T681" i="13"/>
  <c r="S680" i="13"/>
  <c r="P680" i="13"/>
  <c r="O680" i="13"/>
  <c r="Q680" i="13"/>
  <c r="N680" i="13"/>
  <c r="T680" i="13"/>
  <c r="S679" i="13"/>
  <c r="P679" i="13"/>
  <c r="V679" i="13"/>
  <c r="O679" i="13"/>
  <c r="Q679" i="13"/>
  <c r="N679" i="13"/>
  <c r="T679" i="13"/>
  <c r="S678" i="13"/>
  <c r="P678" i="13"/>
  <c r="O678" i="13"/>
  <c r="N678" i="13"/>
  <c r="T678" i="13"/>
  <c r="S677" i="13"/>
  <c r="P677" i="13"/>
  <c r="R677" i="13"/>
  <c r="O677" i="13"/>
  <c r="Q677" i="13"/>
  <c r="N677" i="13"/>
  <c r="T677" i="13"/>
  <c r="S676" i="13"/>
  <c r="P676" i="13"/>
  <c r="R676" i="13"/>
  <c r="O676" i="13"/>
  <c r="Q676" i="13"/>
  <c r="N676" i="13"/>
  <c r="T676" i="13"/>
  <c r="S675" i="13"/>
  <c r="P675" i="13"/>
  <c r="O675" i="13"/>
  <c r="Q675" i="13"/>
  <c r="N675" i="13"/>
  <c r="T675" i="13"/>
  <c r="S674" i="13"/>
  <c r="P674" i="13"/>
  <c r="R674" i="13"/>
  <c r="O674" i="13"/>
  <c r="Q674" i="13"/>
  <c r="N674" i="13"/>
  <c r="T674" i="13"/>
  <c r="S673" i="13"/>
  <c r="P673" i="13"/>
  <c r="V673" i="13"/>
  <c r="O673" i="13"/>
  <c r="N673" i="13"/>
  <c r="T673" i="13"/>
  <c r="S672" i="13"/>
  <c r="P672" i="13"/>
  <c r="V672" i="13"/>
  <c r="O672" i="13"/>
  <c r="Q672" i="13"/>
  <c r="N672" i="13"/>
  <c r="T672" i="13"/>
  <c r="S671" i="13"/>
  <c r="P671" i="13"/>
  <c r="O671" i="13"/>
  <c r="Q671" i="13"/>
  <c r="N671" i="13"/>
  <c r="T671" i="13"/>
  <c r="S670" i="13"/>
  <c r="P670" i="13"/>
  <c r="R670" i="13"/>
  <c r="O670" i="13"/>
  <c r="N670" i="13"/>
  <c r="T670" i="13"/>
  <c r="S669" i="13"/>
  <c r="P669" i="13"/>
  <c r="R669" i="13"/>
  <c r="O669" i="13"/>
  <c r="Q669" i="13"/>
  <c r="U669" i="13"/>
  <c r="X669" i="13"/>
  <c r="N669" i="13"/>
  <c r="T669" i="13"/>
  <c r="S668" i="13"/>
  <c r="P668" i="13"/>
  <c r="O668" i="13"/>
  <c r="Q668" i="13"/>
  <c r="N668" i="13"/>
  <c r="T668" i="13"/>
  <c r="S667" i="13"/>
  <c r="P667" i="13"/>
  <c r="O667" i="13"/>
  <c r="Q667" i="13"/>
  <c r="N667" i="13"/>
  <c r="T667" i="13"/>
  <c r="S666" i="13"/>
  <c r="P666" i="13"/>
  <c r="R666" i="13"/>
  <c r="O666" i="13"/>
  <c r="Q666" i="13"/>
  <c r="N666" i="13"/>
  <c r="S665" i="13"/>
  <c r="P665" i="13"/>
  <c r="V665" i="13"/>
  <c r="O665" i="13"/>
  <c r="N665" i="13"/>
  <c r="T665" i="13"/>
  <c r="S664" i="13"/>
  <c r="P664" i="13"/>
  <c r="O664" i="13"/>
  <c r="Q664" i="13"/>
  <c r="N664" i="13"/>
  <c r="T664" i="13"/>
  <c r="S663" i="13"/>
  <c r="P663" i="13"/>
  <c r="O663" i="13"/>
  <c r="Q663" i="13"/>
  <c r="N663" i="13"/>
  <c r="T663" i="13"/>
  <c r="S662" i="13"/>
  <c r="P662" i="13"/>
  <c r="O662" i="13"/>
  <c r="N662" i="13"/>
  <c r="T662" i="13"/>
  <c r="S661" i="13"/>
  <c r="P661" i="13"/>
  <c r="R661" i="13"/>
  <c r="O661" i="13"/>
  <c r="Q661" i="13"/>
  <c r="N661" i="13"/>
  <c r="T661" i="13"/>
  <c r="S660" i="13"/>
  <c r="P660" i="13"/>
  <c r="R660" i="13"/>
  <c r="O660" i="13"/>
  <c r="Q660" i="13"/>
  <c r="U660" i="13"/>
  <c r="X660" i="13"/>
  <c r="N660" i="13"/>
  <c r="T660" i="13"/>
  <c r="S659" i="13"/>
  <c r="P659" i="13"/>
  <c r="O659" i="13"/>
  <c r="Q659" i="13"/>
  <c r="N659" i="13"/>
  <c r="T659" i="13"/>
  <c r="S658" i="13"/>
  <c r="P658" i="13"/>
  <c r="R658" i="13"/>
  <c r="O658" i="13"/>
  <c r="Q658" i="13"/>
  <c r="N658" i="13"/>
  <c r="T658" i="13"/>
  <c r="S657" i="13"/>
  <c r="P657" i="13"/>
  <c r="V657" i="13"/>
  <c r="O657" i="13"/>
  <c r="N657" i="13"/>
  <c r="T657" i="13"/>
  <c r="S656" i="13"/>
  <c r="P656" i="13"/>
  <c r="V656" i="13"/>
  <c r="O656" i="13"/>
  <c r="Q656" i="13"/>
  <c r="N656" i="13"/>
  <c r="T656" i="13"/>
  <c r="S655" i="13"/>
  <c r="P655" i="13"/>
  <c r="O655" i="13"/>
  <c r="Q655" i="13"/>
  <c r="N655" i="13"/>
  <c r="T655" i="13"/>
  <c r="S654" i="13"/>
  <c r="P654" i="13"/>
  <c r="O654" i="13"/>
  <c r="N654" i="13"/>
  <c r="T654" i="13"/>
  <c r="S653" i="13"/>
  <c r="P653" i="13"/>
  <c r="R653" i="13"/>
  <c r="O653" i="13"/>
  <c r="Q653" i="13"/>
  <c r="N653" i="13"/>
  <c r="T653" i="13"/>
  <c r="S652" i="13"/>
  <c r="P652" i="13"/>
  <c r="R652" i="13"/>
  <c r="O652" i="13"/>
  <c r="Q652" i="13"/>
  <c r="N652" i="13"/>
  <c r="T652" i="13"/>
  <c r="S651" i="13"/>
  <c r="P651" i="13"/>
  <c r="O651" i="13"/>
  <c r="N651" i="13"/>
  <c r="T651" i="13"/>
  <c r="S650" i="13"/>
  <c r="P650" i="13"/>
  <c r="R650" i="13"/>
  <c r="O650" i="13"/>
  <c r="Q650" i="13"/>
  <c r="U650" i="13"/>
  <c r="X650" i="13"/>
  <c r="N650" i="13"/>
  <c r="S649" i="13"/>
  <c r="P649" i="13"/>
  <c r="V649" i="13"/>
  <c r="O649" i="13"/>
  <c r="N649" i="13"/>
  <c r="T649" i="13"/>
  <c r="S648" i="13"/>
  <c r="P648" i="13"/>
  <c r="O648" i="13"/>
  <c r="Q648" i="13"/>
  <c r="N648" i="13"/>
  <c r="T648" i="13"/>
  <c r="S647" i="13"/>
  <c r="P647" i="13"/>
  <c r="V647" i="13"/>
  <c r="O647" i="13"/>
  <c r="Q647" i="13"/>
  <c r="N647" i="13"/>
  <c r="T647" i="13"/>
  <c r="S646" i="13"/>
  <c r="P646" i="13"/>
  <c r="O646" i="13"/>
  <c r="Q646" i="13"/>
  <c r="N646" i="13"/>
  <c r="T646" i="13"/>
  <c r="S645" i="13"/>
  <c r="P645" i="13"/>
  <c r="R645" i="13"/>
  <c r="O645" i="13"/>
  <c r="Q645" i="13"/>
  <c r="N645" i="13"/>
  <c r="T645" i="13"/>
  <c r="S644" i="13"/>
  <c r="P644" i="13"/>
  <c r="R644" i="13"/>
  <c r="O644" i="13"/>
  <c r="Q644" i="13"/>
  <c r="N644" i="13"/>
  <c r="T644" i="13"/>
  <c r="S643" i="13"/>
  <c r="P643" i="13"/>
  <c r="V643" i="13"/>
  <c r="O643" i="13"/>
  <c r="N643" i="13"/>
  <c r="T643" i="13"/>
  <c r="S642" i="13"/>
  <c r="P642" i="13"/>
  <c r="R642" i="13"/>
  <c r="O642" i="13"/>
  <c r="Q642" i="13"/>
  <c r="N642" i="13"/>
  <c r="T642" i="13"/>
  <c r="S641" i="13"/>
  <c r="P641" i="13"/>
  <c r="V641" i="13"/>
  <c r="O641" i="13"/>
  <c r="N641" i="13"/>
  <c r="T641" i="13"/>
  <c r="S640" i="13"/>
  <c r="P640" i="13"/>
  <c r="R640" i="13"/>
  <c r="O640" i="13"/>
  <c r="Q640" i="13"/>
  <c r="U640" i="13"/>
  <c r="X640" i="13"/>
  <c r="N640" i="13"/>
  <c r="T640" i="13"/>
  <c r="S639" i="13"/>
  <c r="P639" i="13"/>
  <c r="V639" i="13"/>
  <c r="O639" i="13"/>
  <c r="Q639" i="13"/>
  <c r="N639" i="13"/>
  <c r="T639" i="13"/>
  <c r="S638" i="13"/>
  <c r="P638" i="13"/>
  <c r="V638" i="13"/>
  <c r="O638" i="13"/>
  <c r="N638" i="13"/>
  <c r="T638" i="13"/>
  <c r="S637" i="13"/>
  <c r="P637" i="13"/>
  <c r="R637" i="13"/>
  <c r="O637" i="13"/>
  <c r="Q637" i="13"/>
  <c r="N637" i="13"/>
  <c r="T637" i="13"/>
  <c r="S636" i="13"/>
  <c r="P636" i="13"/>
  <c r="O636" i="13"/>
  <c r="Q636" i="13"/>
  <c r="N636" i="13"/>
  <c r="T636" i="13"/>
  <c r="S635" i="13"/>
  <c r="P635" i="13"/>
  <c r="V635" i="13"/>
  <c r="O635" i="13"/>
  <c r="N635" i="13"/>
  <c r="S634" i="13"/>
  <c r="P634" i="13"/>
  <c r="O634" i="13"/>
  <c r="Q634" i="13"/>
  <c r="N634" i="13"/>
  <c r="T634" i="13"/>
  <c r="S633" i="13"/>
  <c r="P633" i="13"/>
  <c r="V633" i="13"/>
  <c r="O633" i="13"/>
  <c r="N633" i="13"/>
  <c r="T633" i="13"/>
  <c r="S632" i="13"/>
  <c r="P632" i="13"/>
  <c r="R632" i="13"/>
  <c r="O632" i="13"/>
  <c r="Q632" i="13"/>
  <c r="N632" i="13"/>
  <c r="T632" i="13"/>
  <c r="S631" i="13"/>
  <c r="P631" i="13"/>
  <c r="V631" i="13"/>
  <c r="O631" i="13"/>
  <c r="Q631" i="13"/>
  <c r="N631" i="13"/>
  <c r="T631" i="13"/>
  <c r="S630" i="13"/>
  <c r="P630" i="13"/>
  <c r="V630" i="13"/>
  <c r="O630" i="13"/>
  <c r="N630" i="13"/>
  <c r="T630" i="13"/>
  <c r="S629" i="13"/>
  <c r="P629" i="13"/>
  <c r="R629" i="13"/>
  <c r="O629" i="13"/>
  <c r="Q629" i="13"/>
  <c r="N629" i="13"/>
  <c r="T629" i="13"/>
  <c r="S628" i="13"/>
  <c r="P628" i="13"/>
  <c r="R628" i="13"/>
  <c r="O628" i="13"/>
  <c r="Q628" i="13"/>
  <c r="N628" i="13"/>
  <c r="T628" i="13"/>
  <c r="S627" i="13"/>
  <c r="P627" i="13"/>
  <c r="O627" i="13"/>
  <c r="N627" i="13"/>
  <c r="T627" i="13"/>
  <c r="S626" i="13"/>
  <c r="P626" i="13"/>
  <c r="O626" i="13"/>
  <c r="Q626" i="13"/>
  <c r="N626" i="13"/>
  <c r="T626" i="13"/>
  <c r="S625" i="13"/>
  <c r="P625" i="13"/>
  <c r="V625" i="13"/>
  <c r="O625" i="13"/>
  <c r="N625" i="13"/>
  <c r="T625" i="13"/>
  <c r="S624" i="13"/>
  <c r="P624" i="13"/>
  <c r="V624" i="13"/>
  <c r="O624" i="13"/>
  <c r="Q624" i="13"/>
  <c r="N624" i="13"/>
  <c r="T624" i="13"/>
  <c r="S623" i="13"/>
  <c r="P623" i="13"/>
  <c r="R623" i="13"/>
  <c r="O623" i="13"/>
  <c r="Q623" i="13"/>
  <c r="N623" i="13"/>
  <c r="T623" i="13"/>
  <c r="S622" i="13"/>
  <c r="P622" i="13"/>
  <c r="V622" i="13"/>
  <c r="O622" i="13"/>
  <c r="N622" i="13"/>
  <c r="T622" i="13"/>
  <c r="S621" i="13"/>
  <c r="P621" i="13"/>
  <c r="O621" i="13"/>
  <c r="Q621" i="13"/>
  <c r="N621" i="13"/>
  <c r="T621" i="13"/>
  <c r="S620" i="13"/>
  <c r="P620" i="13"/>
  <c r="R620" i="13"/>
  <c r="O620" i="13"/>
  <c r="Q620" i="13"/>
  <c r="N620" i="13"/>
  <c r="T620" i="13"/>
  <c r="S619" i="13"/>
  <c r="P619" i="13"/>
  <c r="R619" i="13"/>
  <c r="O619" i="13"/>
  <c r="N619" i="13"/>
  <c r="T619" i="13"/>
  <c r="S618" i="13"/>
  <c r="P618" i="13"/>
  <c r="O618" i="13"/>
  <c r="Q618" i="13"/>
  <c r="N618" i="13"/>
  <c r="T618" i="13"/>
  <c r="S617" i="13"/>
  <c r="P617" i="13"/>
  <c r="V617" i="13"/>
  <c r="O617" i="13"/>
  <c r="Q617" i="13"/>
  <c r="N617" i="13"/>
  <c r="T617" i="13"/>
  <c r="S616" i="13"/>
  <c r="P616" i="13"/>
  <c r="R616" i="13"/>
  <c r="O616" i="13"/>
  <c r="Q616" i="13"/>
  <c r="N616" i="13"/>
  <c r="S615" i="13"/>
  <c r="P615" i="13"/>
  <c r="R615" i="13"/>
  <c r="O615" i="13"/>
  <c r="Q615" i="13"/>
  <c r="N615" i="13"/>
  <c r="T615" i="13"/>
  <c r="S614" i="13"/>
  <c r="P614" i="13"/>
  <c r="R614" i="13"/>
  <c r="O614" i="13"/>
  <c r="N614" i="13"/>
  <c r="T614" i="13"/>
  <c r="S613" i="13"/>
  <c r="P613" i="13"/>
  <c r="O613" i="13"/>
  <c r="Q613" i="13"/>
  <c r="N613" i="13"/>
  <c r="T613" i="13"/>
  <c r="S612" i="13"/>
  <c r="P612" i="13"/>
  <c r="R612" i="13"/>
  <c r="O612" i="13"/>
  <c r="Q612" i="13"/>
  <c r="N612" i="13"/>
  <c r="T612" i="13"/>
  <c r="S611" i="13"/>
  <c r="P611" i="13"/>
  <c r="O611" i="13"/>
  <c r="Q611" i="13"/>
  <c r="N611" i="13"/>
  <c r="T611" i="13"/>
  <c r="S610" i="13"/>
  <c r="P610" i="13"/>
  <c r="R610" i="13"/>
  <c r="O610" i="13"/>
  <c r="Q610" i="13"/>
  <c r="N610" i="13"/>
  <c r="T610" i="13"/>
  <c r="S609" i="13"/>
  <c r="P609" i="13"/>
  <c r="V609" i="13"/>
  <c r="O609" i="13"/>
  <c r="N609" i="13"/>
  <c r="T609" i="13"/>
  <c r="S608" i="13"/>
  <c r="P608" i="13"/>
  <c r="R608" i="13"/>
  <c r="O608" i="13"/>
  <c r="Q608" i="13"/>
  <c r="N608" i="13"/>
  <c r="T608" i="13"/>
  <c r="S607" i="13"/>
  <c r="P607" i="13"/>
  <c r="O607" i="13"/>
  <c r="N607" i="13"/>
  <c r="T607" i="13"/>
  <c r="S606" i="13"/>
  <c r="P606" i="13"/>
  <c r="V606" i="13"/>
  <c r="O606" i="13"/>
  <c r="N606" i="13"/>
  <c r="T606" i="13"/>
  <c r="S605" i="13"/>
  <c r="P605" i="13"/>
  <c r="O605" i="13"/>
  <c r="Q605" i="13"/>
  <c r="N605" i="13"/>
  <c r="T605" i="13"/>
  <c r="S604" i="13"/>
  <c r="P604" i="13"/>
  <c r="O604" i="13"/>
  <c r="Q604" i="13"/>
  <c r="N604" i="13"/>
  <c r="T604" i="13"/>
  <c r="S603" i="13"/>
  <c r="P603" i="13"/>
  <c r="R603" i="13"/>
  <c r="O603" i="13"/>
  <c r="N603" i="13"/>
  <c r="T603" i="13"/>
  <c r="S602" i="13"/>
  <c r="P602" i="13"/>
  <c r="R602" i="13"/>
  <c r="O602" i="13"/>
  <c r="Q602" i="13"/>
  <c r="U602" i="13"/>
  <c r="X602" i="13"/>
  <c r="N602" i="13"/>
  <c r="T602" i="13"/>
  <c r="S601" i="13"/>
  <c r="P601" i="13"/>
  <c r="V601" i="13"/>
  <c r="O601" i="13"/>
  <c r="N601" i="13"/>
  <c r="T601" i="13"/>
  <c r="S600" i="13"/>
  <c r="P600" i="13"/>
  <c r="V600" i="13"/>
  <c r="O600" i="13"/>
  <c r="N600" i="13"/>
  <c r="T600" i="13"/>
  <c r="S599" i="13"/>
  <c r="P599" i="13"/>
  <c r="O599" i="13"/>
  <c r="N599" i="13"/>
  <c r="T599" i="13"/>
  <c r="S598" i="13"/>
  <c r="P598" i="13"/>
  <c r="O598" i="13"/>
  <c r="N598" i="13"/>
  <c r="T598" i="13"/>
  <c r="S597" i="13"/>
  <c r="P597" i="13"/>
  <c r="O597" i="13"/>
  <c r="Q597" i="13"/>
  <c r="N597" i="13"/>
  <c r="T597" i="13"/>
  <c r="S596" i="13"/>
  <c r="P596" i="13"/>
  <c r="O596" i="13"/>
  <c r="Q596" i="13"/>
  <c r="N596" i="13"/>
  <c r="S595" i="13"/>
  <c r="P595" i="13"/>
  <c r="O595" i="13"/>
  <c r="Q595" i="13"/>
  <c r="N595" i="13"/>
  <c r="T595" i="13"/>
  <c r="S594" i="13"/>
  <c r="P594" i="13"/>
  <c r="O594" i="13"/>
  <c r="Q594" i="13"/>
  <c r="N594" i="13"/>
  <c r="T594" i="13"/>
  <c r="S593" i="13"/>
  <c r="P593" i="13"/>
  <c r="O593" i="13"/>
  <c r="N593" i="13"/>
  <c r="T593" i="13"/>
  <c r="S592" i="13"/>
  <c r="P592" i="13"/>
  <c r="O592" i="13"/>
  <c r="Q592" i="13"/>
  <c r="N592" i="13"/>
  <c r="T592" i="13"/>
  <c r="S591" i="13"/>
  <c r="P591" i="13"/>
  <c r="R591" i="13"/>
  <c r="O591" i="13"/>
  <c r="Q591" i="13"/>
  <c r="N591" i="13"/>
  <c r="T591" i="13"/>
  <c r="S590" i="13"/>
  <c r="P590" i="13"/>
  <c r="V590" i="13"/>
  <c r="O590" i="13"/>
  <c r="N590" i="13"/>
  <c r="T590" i="13"/>
  <c r="S589" i="13"/>
  <c r="P589" i="13"/>
  <c r="O589" i="13"/>
  <c r="Q589" i="13"/>
  <c r="N589" i="13"/>
  <c r="T589" i="13"/>
  <c r="S588" i="13"/>
  <c r="P588" i="13"/>
  <c r="O588" i="13"/>
  <c r="Q588" i="13"/>
  <c r="N588" i="13"/>
  <c r="T588" i="13"/>
  <c r="S587" i="13"/>
  <c r="P587" i="13"/>
  <c r="O587" i="13"/>
  <c r="N587" i="13"/>
  <c r="T587" i="13"/>
  <c r="S586" i="13"/>
  <c r="P586" i="13"/>
  <c r="O586" i="13"/>
  <c r="N586" i="13"/>
  <c r="T586" i="13"/>
  <c r="S585" i="13"/>
  <c r="P585" i="13"/>
  <c r="O585" i="13"/>
  <c r="N585" i="13"/>
  <c r="T585" i="13"/>
  <c r="S584" i="13"/>
  <c r="P584" i="13"/>
  <c r="V584" i="13"/>
  <c r="O584" i="13"/>
  <c r="Q584" i="13"/>
  <c r="N584" i="13"/>
  <c r="T584" i="13"/>
  <c r="S583" i="13"/>
  <c r="P583" i="13"/>
  <c r="R583" i="13"/>
  <c r="O583" i="13"/>
  <c r="Q583" i="13"/>
  <c r="N583" i="13"/>
  <c r="T583" i="13"/>
  <c r="S582" i="13"/>
  <c r="P582" i="13"/>
  <c r="V582" i="13"/>
  <c r="O582" i="13"/>
  <c r="Q582" i="13"/>
  <c r="N582" i="13"/>
  <c r="T582" i="13"/>
  <c r="S581" i="13"/>
  <c r="P581" i="13"/>
  <c r="O581" i="13"/>
  <c r="Q581" i="13"/>
  <c r="N581" i="13"/>
  <c r="T581" i="13"/>
  <c r="S580" i="13"/>
  <c r="P580" i="13"/>
  <c r="V580" i="13"/>
  <c r="O580" i="13"/>
  <c r="Q580" i="13"/>
  <c r="N580" i="13"/>
  <c r="T580" i="13"/>
  <c r="S579" i="13"/>
  <c r="P579" i="13"/>
  <c r="O579" i="13"/>
  <c r="Q579" i="13"/>
  <c r="N579" i="13"/>
  <c r="T579" i="13"/>
  <c r="S578" i="13"/>
  <c r="P578" i="13"/>
  <c r="R578" i="13"/>
  <c r="O578" i="13"/>
  <c r="Q578" i="13"/>
  <c r="N578" i="13"/>
  <c r="T578" i="13"/>
  <c r="S577" i="13"/>
  <c r="P577" i="13"/>
  <c r="R577" i="13"/>
  <c r="O577" i="13"/>
  <c r="Q577" i="13"/>
  <c r="N577" i="13"/>
  <c r="T577" i="13"/>
  <c r="S576" i="13"/>
  <c r="P576" i="13"/>
  <c r="R576" i="13"/>
  <c r="O576" i="13"/>
  <c r="Q576" i="13"/>
  <c r="N576" i="13"/>
  <c r="T576" i="13"/>
  <c r="S575" i="13"/>
  <c r="P575" i="13"/>
  <c r="V575" i="13"/>
  <c r="O575" i="13"/>
  <c r="N575" i="13"/>
  <c r="T575" i="13"/>
  <c r="S574" i="13"/>
  <c r="P574" i="13"/>
  <c r="O574" i="13"/>
  <c r="Q574" i="13"/>
  <c r="N574" i="13"/>
  <c r="T574" i="13"/>
  <c r="S573" i="13"/>
  <c r="P573" i="13"/>
  <c r="O573" i="13"/>
  <c r="N573" i="13"/>
  <c r="T573" i="13"/>
  <c r="S572" i="13"/>
  <c r="P572" i="13"/>
  <c r="V572" i="13"/>
  <c r="O572" i="13"/>
  <c r="Q572" i="13"/>
  <c r="N572" i="13"/>
  <c r="T572" i="13"/>
  <c r="S571" i="13"/>
  <c r="P571" i="13"/>
  <c r="R571" i="13"/>
  <c r="O571" i="13"/>
  <c r="Q571" i="13"/>
  <c r="N571" i="13"/>
  <c r="T571" i="13"/>
  <c r="S570" i="13"/>
  <c r="P570" i="13"/>
  <c r="V570" i="13"/>
  <c r="O570" i="13"/>
  <c r="Q570" i="13"/>
  <c r="N570" i="13"/>
  <c r="T570" i="13"/>
  <c r="S569" i="13"/>
  <c r="P569" i="13"/>
  <c r="O569" i="13"/>
  <c r="N569" i="13"/>
  <c r="T569" i="13"/>
  <c r="S568" i="13"/>
  <c r="P568" i="13"/>
  <c r="O568" i="13"/>
  <c r="Q568" i="13"/>
  <c r="N568" i="13"/>
  <c r="S567" i="13"/>
  <c r="P567" i="13"/>
  <c r="V567" i="13"/>
  <c r="O567" i="13"/>
  <c r="N567" i="13"/>
  <c r="T567" i="13"/>
  <c r="S566" i="13"/>
  <c r="P566" i="13"/>
  <c r="R566" i="13"/>
  <c r="O566" i="13"/>
  <c r="N566" i="13"/>
  <c r="T566" i="13"/>
  <c r="S565" i="13"/>
  <c r="P565" i="13"/>
  <c r="O565" i="13"/>
  <c r="Q565" i="13"/>
  <c r="N565" i="13"/>
  <c r="T565" i="13"/>
  <c r="S564" i="13"/>
  <c r="P564" i="13"/>
  <c r="O564" i="13"/>
  <c r="N564" i="13"/>
  <c r="T564" i="13"/>
  <c r="S563" i="13"/>
  <c r="P563" i="13"/>
  <c r="O563" i="13"/>
  <c r="Q563" i="13"/>
  <c r="N563" i="13"/>
  <c r="T563" i="13"/>
  <c r="S562" i="13"/>
  <c r="P562" i="13"/>
  <c r="O562" i="13"/>
  <c r="Q562" i="13"/>
  <c r="N562" i="13"/>
  <c r="T562" i="13"/>
  <c r="S561" i="13"/>
  <c r="P561" i="13"/>
  <c r="O561" i="13"/>
  <c r="N561" i="13"/>
  <c r="T561" i="13"/>
  <c r="S560" i="13"/>
  <c r="P560" i="13"/>
  <c r="V560" i="13"/>
  <c r="O560" i="13"/>
  <c r="Q560" i="13"/>
  <c r="N560" i="13"/>
  <c r="T560" i="13"/>
  <c r="S559" i="13"/>
  <c r="P559" i="13"/>
  <c r="R559" i="13"/>
  <c r="O559" i="13"/>
  <c r="N559" i="13"/>
  <c r="S558" i="13"/>
  <c r="P558" i="13"/>
  <c r="O558" i="13"/>
  <c r="Q558" i="13"/>
  <c r="N558" i="13"/>
  <c r="T558" i="13"/>
  <c r="S557" i="13"/>
  <c r="P557" i="13"/>
  <c r="O557" i="13"/>
  <c r="Q557" i="13"/>
  <c r="N557" i="13"/>
  <c r="T557" i="13"/>
  <c r="S556" i="13"/>
  <c r="P556" i="13"/>
  <c r="V556" i="13"/>
  <c r="O556" i="13"/>
  <c r="N556" i="13"/>
  <c r="T556" i="13"/>
  <c r="S555" i="13"/>
  <c r="P555" i="13"/>
  <c r="V555" i="13"/>
  <c r="O555" i="13"/>
  <c r="Q555" i="13"/>
  <c r="N555" i="13"/>
  <c r="T555" i="13"/>
  <c r="S554" i="13"/>
  <c r="P554" i="13"/>
  <c r="O554" i="13"/>
  <c r="Q554" i="13"/>
  <c r="N554" i="13"/>
  <c r="T554" i="13"/>
  <c r="S553" i="13"/>
  <c r="P553" i="13"/>
  <c r="O553" i="13"/>
  <c r="N553" i="13"/>
  <c r="T553" i="13"/>
  <c r="S552" i="13"/>
  <c r="P552" i="13"/>
  <c r="V552" i="13"/>
  <c r="O552" i="13"/>
  <c r="Q552" i="13"/>
  <c r="N552" i="13"/>
  <c r="T552" i="13"/>
  <c r="S551" i="13"/>
  <c r="P551" i="13"/>
  <c r="R551" i="13"/>
  <c r="O551" i="13"/>
  <c r="Q551" i="13"/>
  <c r="N551" i="13"/>
  <c r="T551" i="13"/>
  <c r="S550" i="13"/>
  <c r="P550" i="13"/>
  <c r="R550" i="13"/>
  <c r="O550" i="13"/>
  <c r="N550" i="13"/>
  <c r="T550" i="13"/>
  <c r="S549" i="13"/>
  <c r="P549" i="13"/>
  <c r="O549" i="13"/>
  <c r="Q549" i="13"/>
  <c r="N549" i="13"/>
  <c r="S548" i="13"/>
  <c r="P548" i="13"/>
  <c r="O548" i="13"/>
  <c r="Q548" i="13"/>
  <c r="N548" i="13"/>
  <c r="T548" i="13"/>
  <c r="S547" i="13"/>
  <c r="P547" i="13"/>
  <c r="O547" i="13"/>
  <c r="Q547" i="13"/>
  <c r="N547" i="13"/>
  <c r="T547" i="13"/>
  <c r="S546" i="13"/>
  <c r="P546" i="13"/>
  <c r="O546" i="13"/>
  <c r="Q546" i="13"/>
  <c r="N546" i="13"/>
  <c r="T546" i="13"/>
  <c r="S545" i="13"/>
  <c r="P545" i="13"/>
  <c r="O545" i="13"/>
  <c r="Q545" i="13"/>
  <c r="N545" i="13"/>
  <c r="T545" i="13"/>
  <c r="S544" i="13"/>
  <c r="P544" i="13"/>
  <c r="R544" i="13"/>
  <c r="O544" i="13"/>
  <c r="N544" i="13"/>
  <c r="T544" i="13"/>
  <c r="S543" i="13"/>
  <c r="P543" i="13"/>
  <c r="O543" i="13"/>
  <c r="N543" i="13"/>
  <c r="T543" i="13"/>
  <c r="S542" i="13"/>
  <c r="P542" i="13"/>
  <c r="O542" i="13"/>
  <c r="N542" i="13"/>
  <c r="T542" i="13"/>
  <c r="S541" i="13"/>
  <c r="P541" i="13"/>
  <c r="O541" i="13"/>
  <c r="N541" i="13"/>
  <c r="T541" i="13"/>
  <c r="S540" i="13"/>
  <c r="P540" i="13"/>
  <c r="O540" i="13"/>
  <c r="N540" i="13"/>
  <c r="T540" i="13"/>
  <c r="S539" i="13"/>
  <c r="P539" i="13"/>
  <c r="V539" i="13"/>
  <c r="O539" i="13"/>
  <c r="Q539" i="13"/>
  <c r="N539" i="13"/>
  <c r="T539" i="13"/>
  <c r="T538" i="13"/>
  <c r="S538" i="13"/>
  <c r="P538" i="13"/>
  <c r="V538" i="13"/>
  <c r="O538" i="13"/>
  <c r="N538" i="13"/>
  <c r="S537" i="13"/>
  <c r="P537" i="13"/>
  <c r="O537" i="13"/>
  <c r="Q537" i="13"/>
  <c r="N537" i="13"/>
  <c r="T537" i="13"/>
  <c r="S536" i="13"/>
  <c r="P536" i="13"/>
  <c r="R536" i="13"/>
  <c r="O536" i="13"/>
  <c r="Q536" i="13"/>
  <c r="N536" i="13"/>
  <c r="S535" i="13"/>
  <c r="P535" i="13"/>
  <c r="O535" i="13"/>
  <c r="N535" i="13"/>
  <c r="T535" i="13"/>
  <c r="S534" i="13"/>
  <c r="P534" i="13"/>
  <c r="R534" i="13"/>
  <c r="O534" i="13"/>
  <c r="N534" i="13"/>
  <c r="T534" i="13"/>
  <c r="S533" i="13"/>
  <c r="P533" i="13"/>
  <c r="O533" i="13"/>
  <c r="Q533" i="13"/>
  <c r="N533" i="13"/>
  <c r="T533" i="13"/>
  <c r="S532" i="13"/>
  <c r="P532" i="13"/>
  <c r="O532" i="13"/>
  <c r="Q532" i="13"/>
  <c r="N532" i="13"/>
  <c r="T532" i="13"/>
  <c r="S531" i="13"/>
  <c r="P531" i="13"/>
  <c r="R531" i="13"/>
  <c r="O531" i="13"/>
  <c r="Q531" i="13"/>
  <c r="U531" i="13"/>
  <c r="X531" i="13"/>
  <c r="N531" i="13"/>
  <c r="T531" i="13"/>
  <c r="S530" i="13"/>
  <c r="P530" i="13"/>
  <c r="V530" i="13"/>
  <c r="O530" i="13"/>
  <c r="N530" i="13"/>
  <c r="T530" i="13"/>
  <c r="S529" i="13"/>
  <c r="P529" i="13"/>
  <c r="V529" i="13"/>
  <c r="O529" i="13"/>
  <c r="Q529" i="13"/>
  <c r="N529" i="13"/>
  <c r="T529" i="13"/>
  <c r="S528" i="13"/>
  <c r="P528" i="13"/>
  <c r="R528" i="13"/>
  <c r="O528" i="13"/>
  <c r="Q528" i="13"/>
  <c r="N528" i="13"/>
  <c r="T528" i="13"/>
  <c r="S527" i="13"/>
  <c r="P527" i="13"/>
  <c r="O527" i="13"/>
  <c r="N527" i="13"/>
  <c r="T527" i="13"/>
  <c r="S526" i="13"/>
  <c r="P526" i="13"/>
  <c r="O526" i="13"/>
  <c r="Q526" i="13"/>
  <c r="N526" i="13"/>
  <c r="T526" i="13"/>
  <c r="S525" i="13"/>
  <c r="P525" i="13"/>
  <c r="O525" i="13"/>
  <c r="Q525" i="13"/>
  <c r="N525" i="13"/>
  <c r="T525" i="13"/>
  <c r="S524" i="13"/>
  <c r="P524" i="13"/>
  <c r="R524" i="13"/>
  <c r="O524" i="13"/>
  <c r="N524" i="13"/>
  <c r="T524" i="13"/>
  <c r="S523" i="13"/>
  <c r="P523" i="13"/>
  <c r="O523" i="13"/>
  <c r="Q523" i="13"/>
  <c r="N523" i="13"/>
  <c r="T523" i="13"/>
  <c r="S522" i="13"/>
  <c r="P522" i="13"/>
  <c r="O522" i="13"/>
  <c r="N522" i="13"/>
  <c r="T522" i="13"/>
  <c r="S521" i="13"/>
  <c r="P521" i="13"/>
  <c r="O521" i="13"/>
  <c r="Q521" i="13"/>
  <c r="N521" i="13"/>
  <c r="T521" i="13"/>
  <c r="S520" i="13"/>
  <c r="P520" i="13"/>
  <c r="R520" i="13"/>
  <c r="O520" i="13"/>
  <c r="N520" i="13"/>
  <c r="T520" i="13"/>
  <c r="S519" i="13"/>
  <c r="P519" i="13"/>
  <c r="V519" i="13"/>
  <c r="O519" i="13"/>
  <c r="N519" i="13"/>
  <c r="S518" i="13"/>
  <c r="P518" i="13"/>
  <c r="R518" i="13"/>
  <c r="O518" i="13"/>
  <c r="N518" i="13"/>
  <c r="T518" i="13"/>
  <c r="S517" i="13"/>
  <c r="P517" i="13"/>
  <c r="O517" i="13"/>
  <c r="N517" i="13"/>
  <c r="T517" i="13"/>
  <c r="S516" i="13"/>
  <c r="P516" i="13"/>
  <c r="R516" i="13"/>
  <c r="O516" i="13"/>
  <c r="N516" i="13"/>
  <c r="T516" i="13"/>
  <c r="S515" i="13"/>
  <c r="P515" i="13"/>
  <c r="V515" i="13"/>
  <c r="O515" i="13"/>
  <c r="Q515" i="13"/>
  <c r="N515" i="13"/>
  <c r="T515" i="13"/>
  <c r="S514" i="13"/>
  <c r="P514" i="13"/>
  <c r="O514" i="13"/>
  <c r="N514" i="13"/>
  <c r="T514" i="13"/>
  <c r="S513" i="13"/>
  <c r="P513" i="13"/>
  <c r="O513" i="13"/>
  <c r="Q513" i="13"/>
  <c r="N513" i="13"/>
  <c r="T513" i="13"/>
  <c r="S512" i="13"/>
  <c r="P512" i="13"/>
  <c r="R512" i="13"/>
  <c r="O512" i="13"/>
  <c r="Q512" i="13"/>
  <c r="U512" i="13"/>
  <c r="X512" i="13"/>
  <c r="N512" i="13"/>
  <c r="T512" i="13"/>
  <c r="S511" i="13"/>
  <c r="P511" i="13"/>
  <c r="O511" i="13"/>
  <c r="N511" i="13"/>
  <c r="T511" i="13"/>
  <c r="S510" i="13"/>
  <c r="P510" i="13"/>
  <c r="V510" i="13"/>
  <c r="O510" i="13"/>
  <c r="N510" i="13"/>
  <c r="T510" i="13"/>
  <c r="S509" i="13"/>
  <c r="P509" i="13"/>
  <c r="O509" i="13"/>
  <c r="N509" i="13"/>
  <c r="T509" i="13"/>
  <c r="S508" i="13"/>
  <c r="P508" i="13"/>
  <c r="R508" i="13"/>
  <c r="O508" i="13"/>
  <c r="Q508" i="13"/>
  <c r="U508" i="13"/>
  <c r="X508" i="13"/>
  <c r="N508" i="13"/>
  <c r="T508" i="13"/>
  <c r="S507" i="13"/>
  <c r="P507" i="13"/>
  <c r="V507" i="13"/>
  <c r="O507" i="13"/>
  <c r="Q507" i="13"/>
  <c r="N507" i="13"/>
  <c r="T507" i="13"/>
  <c r="S506" i="13"/>
  <c r="P506" i="13"/>
  <c r="V506" i="13"/>
  <c r="O506" i="13"/>
  <c r="N506" i="13"/>
  <c r="T506" i="13"/>
  <c r="S505" i="13"/>
  <c r="P505" i="13"/>
  <c r="V505" i="13"/>
  <c r="O505" i="13"/>
  <c r="Q505" i="13"/>
  <c r="N505" i="13"/>
  <c r="T505" i="13"/>
  <c r="S504" i="13"/>
  <c r="P504" i="13"/>
  <c r="R504" i="13"/>
  <c r="O504" i="13"/>
  <c r="W504" i="13"/>
  <c r="N504" i="13"/>
  <c r="T504" i="13"/>
  <c r="S503" i="13"/>
  <c r="P503" i="13"/>
  <c r="V503" i="13"/>
  <c r="O503" i="13"/>
  <c r="N503" i="13"/>
  <c r="T503" i="13"/>
  <c r="S502" i="13"/>
  <c r="P502" i="13"/>
  <c r="R502" i="13"/>
  <c r="O502" i="13"/>
  <c r="Q502" i="13"/>
  <c r="N502" i="13"/>
  <c r="S501" i="13"/>
  <c r="P501" i="13"/>
  <c r="O501" i="13"/>
  <c r="Q501" i="13"/>
  <c r="N501" i="13"/>
  <c r="T501" i="13"/>
  <c r="S500" i="13"/>
  <c r="P500" i="13"/>
  <c r="O500" i="13"/>
  <c r="Q500" i="13"/>
  <c r="N500" i="13"/>
  <c r="S499" i="13"/>
  <c r="P499" i="13"/>
  <c r="R499" i="13"/>
  <c r="O499" i="13"/>
  <c r="Q499" i="13"/>
  <c r="N499" i="13"/>
  <c r="T499" i="13"/>
  <c r="S498" i="13"/>
  <c r="P498" i="13"/>
  <c r="V498" i="13"/>
  <c r="O498" i="13"/>
  <c r="N498" i="13"/>
  <c r="T498" i="13"/>
  <c r="S497" i="13"/>
  <c r="P497" i="13"/>
  <c r="O497" i="13"/>
  <c r="Q497" i="13"/>
  <c r="N497" i="13"/>
  <c r="T497" i="13"/>
  <c r="S496" i="13"/>
  <c r="P496" i="13"/>
  <c r="R496" i="13"/>
  <c r="O496" i="13"/>
  <c r="N496" i="13"/>
  <c r="T496" i="13"/>
  <c r="S495" i="13"/>
  <c r="P495" i="13"/>
  <c r="V495" i="13"/>
  <c r="O495" i="13"/>
  <c r="N495" i="13"/>
  <c r="T495" i="13"/>
  <c r="S494" i="13"/>
  <c r="P494" i="13"/>
  <c r="O494" i="13"/>
  <c r="N494" i="13"/>
  <c r="T494" i="13"/>
  <c r="S493" i="13"/>
  <c r="P493" i="13"/>
  <c r="O493" i="13"/>
  <c r="N493" i="13"/>
  <c r="S492" i="13"/>
  <c r="P492" i="13"/>
  <c r="O492" i="13"/>
  <c r="Q492" i="13"/>
  <c r="N492" i="13"/>
  <c r="T492" i="13"/>
  <c r="S491" i="13"/>
  <c r="P491" i="13"/>
  <c r="O491" i="13"/>
  <c r="Q491" i="13"/>
  <c r="N491" i="13"/>
  <c r="T491" i="13"/>
  <c r="S490" i="13"/>
  <c r="P490" i="13"/>
  <c r="O490" i="13"/>
  <c r="Q490" i="13"/>
  <c r="N490" i="13"/>
  <c r="T490" i="13"/>
  <c r="S489" i="13"/>
  <c r="P489" i="13"/>
  <c r="V489" i="13"/>
  <c r="O489" i="13"/>
  <c r="Q489" i="13"/>
  <c r="N489" i="13"/>
  <c r="T489" i="13"/>
  <c r="S488" i="13"/>
  <c r="P488" i="13"/>
  <c r="O488" i="13"/>
  <c r="N488" i="13"/>
  <c r="T488" i="13"/>
  <c r="S487" i="13"/>
  <c r="P487" i="13"/>
  <c r="V487" i="13"/>
  <c r="O487" i="13"/>
  <c r="N487" i="13"/>
  <c r="T487" i="13"/>
  <c r="S486" i="13"/>
  <c r="P486" i="13"/>
  <c r="R486" i="13"/>
  <c r="O486" i="13"/>
  <c r="Q486" i="13"/>
  <c r="N486" i="13"/>
  <c r="T486" i="13"/>
  <c r="S485" i="13"/>
  <c r="P485" i="13"/>
  <c r="O485" i="13"/>
  <c r="Q485" i="13"/>
  <c r="N485" i="13"/>
  <c r="T485" i="13"/>
  <c r="S484" i="13"/>
  <c r="P484" i="13"/>
  <c r="O484" i="13"/>
  <c r="N484" i="13"/>
  <c r="W484" i="13"/>
  <c r="S483" i="13"/>
  <c r="P483" i="13"/>
  <c r="V483" i="13"/>
  <c r="O483" i="13"/>
  <c r="Q483" i="13"/>
  <c r="N483" i="13"/>
  <c r="T483" i="13"/>
  <c r="S482" i="13"/>
  <c r="P482" i="13"/>
  <c r="O482" i="13"/>
  <c r="Q482" i="13"/>
  <c r="N482" i="13"/>
  <c r="T482" i="13"/>
  <c r="S481" i="13"/>
  <c r="P481" i="13"/>
  <c r="V481" i="13"/>
  <c r="O481" i="13"/>
  <c r="Q481" i="13"/>
  <c r="N481" i="13"/>
  <c r="T481" i="13"/>
  <c r="S480" i="13"/>
  <c r="P480" i="13"/>
  <c r="R480" i="13"/>
  <c r="O480" i="13"/>
  <c r="N480" i="13"/>
  <c r="T480" i="13"/>
  <c r="S479" i="13"/>
  <c r="P479" i="13"/>
  <c r="O479" i="13"/>
  <c r="N479" i="13"/>
  <c r="T479" i="13"/>
  <c r="S478" i="13"/>
  <c r="P478" i="13"/>
  <c r="R478" i="13"/>
  <c r="O478" i="13"/>
  <c r="Q478" i="13"/>
  <c r="U478" i="13"/>
  <c r="X478" i="13"/>
  <c r="N478" i="13"/>
  <c r="T478" i="13"/>
  <c r="S477" i="13"/>
  <c r="P477" i="13"/>
  <c r="O477" i="13"/>
  <c r="N477" i="13"/>
  <c r="T477" i="13"/>
  <c r="S476" i="13"/>
  <c r="P476" i="13"/>
  <c r="O476" i="13"/>
  <c r="N476" i="13"/>
  <c r="T476" i="13"/>
  <c r="S475" i="13"/>
  <c r="P475" i="13"/>
  <c r="O475" i="13"/>
  <c r="Q475" i="13"/>
  <c r="N475" i="13"/>
  <c r="T475" i="13"/>
  <c r="S474" i="13"/>
  <c r="P474" i="13"/>
  <c r="V474" i="13"/>
  <c r="O474" i="13"/>
  <c r="Q474" i="13"/>
  <c r="N474" i="13"/>
  <c r="T474" i="13"/>
  <c r="S473" i="13"/>
  <c r="P473" i="13"/>
  <c r="V473" i="13"/>
  <c r="O473" i="13"/>
  <c r="N473" i="13"/>
  <c r="T473" i="13"/>
  <c r="S472" i="13"/>
  <c r="P472" i="13"/>
  <c r="O472" i="13"/>
  <c r="N472" i="13"/>
  <c r="T472" i="13"/>
  <c r="S471" i="13"/>
  <c r="P471" i="13"/>
  <c r="O471" i="13"/>
  <c r="N471" i="13"/>
  <c r="T471" i="13"/>
  <c r="S470" i="13"/>
  <c r="P470" i="13"/>
  <c r="R470" i="13"/>
  <c r="O470" i="13"/>
  <c r="W470" i="13"/>
  <c r="N470" i="13"/>
  <c r="T470" i="13"/>
  <c r="S469" i="13"/>
  <c r="P469" i="13"/>
  <c r="O469" i="13"/>
  <c r="N469" i="13"/>
  <c r="W469" i="13"/>
  <c r="S468" i="13"/>
  <c r="P468" i="13"/>
  <c r="O468" i="13"/>
  <c r="N468" i="13"/>
  <c r="T468" i="13"/>
  <c r="S467" i="13"/>
  <c r="P467" i="13"/>
  <c r="V467" i="13"/>
  <c r="O467" i="13"/>
  <c r="Q467" i="13"/>
  <c r="N467" i="13"/>
  <c r="W467" i="13"/>
  <c r="S466" i="13"/>
  <c r="P466" i="13"/>
  <c r="O466" i="13"/>
  <c r="Q466" i="13"/>
  <c r="N466" i="13"/>
  <c r="T466" i="13"/>
  <c r="S465" i="13"/>
  <c r="P465" i="13"/>
  <c r="V465" i="13"/>
  <c r="O465" i="13"/>
  <c r="N465" i="13"/>
  <c r="T465" i="13"/>
  <c r="S464" i="13"/>
  <c r="P464" i="13"/>
  <c r="V464" i="13"/>
  <c r="O464" i="13"/>
  <c r="N464" i="13"/>
  <c r="T464" i="13"/>
  <c r="S463" i="13"/>
  <c r="P463" i="13"/>
  <c r="V463" i="13"/>
  <c r="O463" i="13"/>
  <c r="N463" i="13"/>
  <c r="T463" i="13"/>
  <c r="S462" i="13"/>
  <c r="P462" i="13"/>
  <c r="R462" i="13"/>
  <c r="O462" i="13"/>
  <c r="Q462" i="13"/>
  <c r="N462" i="13"/>
  <c r="T462" i="13"/>
  <c r="S461" i="13"/>
  <c r="P461" i="13"/>
  <c r="R461" i="13"/>
  <c r="O461" i="13"/>
  <c r="Q461" i="13"/>
  <c r="U461" i="13"/>
  <c r="X461" i="13"/>
  <c r="N461" i="13"/>
  <c r="T461" i="13"/>
  <c r="S460" i="13"/>
  <c r="P460" i="13"/>
  <c r="R460" i="13"/>
  <c r="O460" i="13"/>
  <c r="N460" i="13"/>
  <c r="T460" i="13"/>
  <c r="S459" i="13"/>
  <c r="P459" i="13"/>
  <c r="V459" i="13"/>
  <c r="O459" i="13"/>
  <c r="W459" i="13"/>
  <c r="N459" i="13"/>
  <c r="T459" i="13"/>
  <c r="S458" i="13"/>
  <c r="P458" i="13"/>
  <c r="V458" i="13"/>
  <c r="O458" i="13"/>
  <c r="N458" i="13"/>
  <c r="S457" i="13"/>
  <c r="P457" i="13"/>
  <c r="R457" i="13"/>
  <c r="O457" i="13"/>
  <c r="Q457" i="13"/>
  <c r="N457" i="13"/>
  <c r="T457" i="13"/>
  <c r="S456" i="13"/>
  <c r="P456" i="13"/>
  <c r="V456" i="13"/>
  <c r="O456" i="13"/>
  <c r="N456" i="13"/>
  <c r="T456" i="13"/>
  <c r="S455" i="13"/>
  <c r="P455" i="13"/>
  <c r="R455" i="13"/>
  <c r="O455" i="13"/>
  <c r="N455" i="13"/>
  <c r="T455" i="13"/>
  <c r="S454" i="13"/>
  <c r="P454" i="13"/>
  <c r="R454" i="13"/>
  <c r="O454" i="13"/>
  <c r="Q454" i="13"/>
  <c r="N454" i="13"/>
  <c r="S453" i="13"/>
  <c r="P453" i="13"/>
  <c r="V453" i="13"/>
  <c r="O453" i="13"/>
  <c r="N453" i="13"/>
  <c r="T453" i="13"/>
  <c r="T452" i="13"/>
  <c r="S452" i="13"/>
  <c r="P452" i="13"/>
  <c r="O452" i="13"/>
  <c r="N452" i="13"/>
  <c r="S451" i="13"/>
  <c r="P451" i="13"/>
  <c r="R451" i="13"/>
  <c r="O451" i="13"/>
  <c r="Q451" i="13"/>
  <c r="N451" i="13"/>
  <c r="S450" i="13"/>
  <c r="P450" i="13"/>
  <c r="V450" i="13"/>
  <c r="O450" i="13"/>
  <c r="Q450" i="13"/>
  <c r="N450" i="13"/>
  <c r="T450" i="13"/>
  <c r="S449" i="13"/>
  <c r="P449" i="13"/>
  <c r="V449" i="13"/>
  <c r="O449" i="13"/>
  <c r="Q449" i="13"/>
  <c r="N449" i="13"/>
  <c r="T449" i="13"/>
  <c r="S448" i="13"/>
  <c r="P448" i="13"/>
  <c r="V448" i="13"/>
  <c r="O448" i="13"/>
  <c r="N448" i="13"/>
  <c r="T448" i="13"/>
  <c r="S447" i="13"/>
  <c r="P447" i="13"/>
  <c r="V447" i="13"/>
  <c r="O447" i="13"/>
  <c r="N447" i="13"/>
  <c r="T447" i="13"/>
  <c r="S446" i="13"/>
  <c r="P446" i="13"/>
  <c r="O446" i="13"/>
  <c r="N446" i="13"/>
  <c r="T446" i="13"/>
  <c r="S445" i="13"/>
  <c r="P445" i="13"/>
  <c r="V445" i="13"/>
  <c r="O445" i="13"/>
  <c r="Q445" i="13"/>
  <c r="N445" i="13"/>
  <c r="T445" i="13"/>
  <c r="S444" i="13"/>
  <c r="P444" i="13"/>
  <c r="R444" i="13"/>
  <c r="O444" i="13"/>
  <c r="Q444" i="13"/>
  <c r="N444" i="13"/>
  <c r="S443" i="13"/>
  <c r="P443" i="13"/>
  <c r="R443" i="13"/>
  <c r="O443" i="13"/>
  <c r="Q443" i="13"/>
  <c r="N443" i="13"/>
  <c r="T443" i="13"/>
  <c r="S442" i="13"/>
  <c r="P442" i="13"/>
  <c r="O442" i="13"/>
  <c r="N442" i="13"/>
  <c r="T442" i="13"/>
  <c r="S441" i="13"/>
  <c r="P441" i="13"/>
  <c r="V441" i="13"/>
  <c r="O441" i="13"/>
  <c r="N441" i="13"/>
  <c r="S440" i="13"/>
  <c r="P440" i="13"/>
  <c r="O440" i="13"/>
  <c r="N440" i="13"/>
  <c r="T440" i="13"/>
  <c r="S439" i="13"/>
  <c r="P439" i="13"/>
  <c r="V439" i="13"/>
  <c r="O439" i="13"/>
  <c r="N439" i="13"/>
  <c r="T439" i="13"/>
  <c r="S438" i="13"/>
  <c r="P438" i="13"/>
  <c r="R438" i="13"/>
  <c r="O438" i="13"/>
  <c r="N438" i="13"/>
  <c r="T438" i="13"/>
  <c r="S437" i="13"/>
  <c r="P437" i="13"/>
  <c r="V437" i="13"/>
  <c r="O437" i="13"/>
  <c r="Q437" i="13"/>
  <c r="N437" i="13"/>
  <c r="T437" i="13"/>
  <c r="S436" i="13"/>
  <c r="P436" i="13"/>
  <c r="R436" i="13"/>
  <c r="O436" i="13"/>
  <c r="Q436" i="13"/>
  <c r="N436" i="13"/>
  <c r="T436" i="13"/>
  <c r="S435" i="13"/>
  <c r="P435" i="13"/>
  <c r="V435" i="13"/>
  <c r="O435" i="13"/>
  <c r="Q435" i="13"/>
  <c r="N435" i="13"/>
  <c r="S434" i="13"/>
  <c r="P434" i="13"/>
  <c r="R434" i="13"/>
  <c r="O434" i="13"/>
  <c r="N434" i="13"/>
  <c r="T434" i="13"/>
  <c r="S433" i="13"/>
  <c r="P433" i="13"/>
  <c r="R433" i="13"/>
  <c r="O433" i="13"/>
  <c r="Q433" i="13"/>
  <c r="U433" i="13"/>
  <c r="X433" i="13"/>
  <c r="N433" i="13"/>
  <c r="W433" i="13"/>
  <c r="S432" i="13"/>
  <c r="P432" i="13"/>
  <c r="O432" i="13"/>
  <c r="N432" i="13"/>
  <c r="T432" i="13"/>
  <c r="S431" i="13"/>
  <c r="P431" i="13"/>
  <c r="R431" i="13"/>
  <c r="O431" i="13"/>
  <c r="N431" i="13"/>
  <c r="T431" i="13"/>
  <c r="S430" i="13"/>
  <c r="P430" i="13"/>
  <c r="R430" i="13"/>
  <c r="O430" i="13"/>
  <c r="Q430" i="13"/>
  <c r="N430" i="13"/>
  <c r="T430" i="13"/>
  <c r="S429" i="13"/>
  <c r="P429" i="13"/>
  <c r="R429" i="13"/>
  <c r="O429" i="13"/>
  <c r="Q429" i="13"/>
  <c r="N429" i="13"/>
  <c r="T429" i="13"/>
  <c r="S428" i="13"/>
  <c r="P428" i="13"/>
  <c r="V428" i="13"/>
  <c r="O428" i="13"/>
  <c r="Q428" i="13"/>
  <c r="N428" i="13"/>
  <c r="T428" i="13"/>
  <c r="S427" i="13"/>
  <c r="P427" i="13"/>
  <c r="V427" i="13"/>
  <c r="O427" i="13"/>
  <c r="N427" i="13"/>
  <c r="T427" i="13"/>
  <c r="S426" i="13"/>
  <c r="P426" i="13"/>
  <c r="R426" i="13"/>
  <c r="O426" i="13"/>
  <c r="Q426" i="13"/>
  <c r="N426" i="13"/>
  <c r="T426" i="13"/>
  <c r="S425" i="13"/>
  <c r="P425" i="13"/>
  <c r="O425" i="13"/>
  <c r="N425" i="13"/>
  <c r="T425" i="13"/>
  <c r="S424" i="13"/>
  <c r="P424" i="13"/>
  <c r="V424" i="13"/>
  <c r="O424" i="13"/>
  <c r="N424" i="13"/>
  <c r="T424" i="13"/>
  <c r="S423" i="13"/>
  <c r="P423" i="13"/>
  <c r="O423" i="13"/>
  <c r="N423" i="13"/>
  <c r="T423" i="13"/>
  <c r="S422" i="13"/>
  <c r="P422" i="13"/>
  <c r="O422" i="13"/>
  <c r="Q422" i="13"/>
  <c r="N422" i="13"/>
  <c r="T422" i="13"/>
  <c r="S421" i="13"/>
  <c r="P421" i="13"/>
  <c r="V421" i="13"/>
  <c r="O421" i="13"/>
  <c r="Q421" i="13"/>
  <c r="N421" i="13"/>
  <c r="T421" i="13"/>
  <c r="S420" i="13"/>
  <c r="P420" i="13"/>
  <c r="V420" i="13"/>
  <c r="O420" i="13"/>
  <c r="Q420" i="13"/>
  <c r="N420" i="13"/>
  <c r="T420" i="13"/>
  <c r="S419" i="13"/>
  <c r="P419" i="13"/>
  <c r="V419" i="13"/>
  <c r="O419" i="13"/>
  <c r="Q419" i="13"/>
  <c r="N419" i="13"/>
  <c r="T419" i="13"/>
  <c r="S418" i="13"/>
  <c r="P418" i="13"/>
  <c r="R418" i="13"/>
  <c r="O418" i="13"/>
  <c r="N418" i="13"/>
  <c r="S417" i="13"/>
  <c r="P417" i="13"/>
  <c r="O417" i="13"/>
  <c r="Q417" i="13"/>
  <c r="N417" i="13"/>
  <c r="T417" i="13"/>
  <c r="S416" i="13"/>
  <c r="P416" i="13"/>
  <c r="O416" i="13"/>
  <c r="N416" i="13"/>
  <c r="T416" i="13"/>
  <c r="S415" i="13"/>
  <c r="P415" i="13"/>
  <c r="O415" i="13"/>
  <c r="N415" i="13"/>
  <c r="T415" i="13"/>
  <c r="S414" i="13"/>
  <c r="P414" i="13"/>
  <c r="O414" i="13"/>
  <c r="Q414" i="13"/>
  <c r="N414" i="13"/>
  <c r="T414" i="13"/>
  <c r="S413" i="13"/>
  <c r="P413" i="13"/>
  <c r="V413" i="13"/>
  <c r="O413" i="13"/>
  <c r="Q413" i="13"/>
  <c r="N413" i="13"/>
  <c r="T413" i="13"/>
  <c r="S412" i="13"/>
  <c r="P412" i="13"/>
  <c r="V412" i="13"/>
  <c r="O412" i="13"/>
  <c r="Q412" i="13"/>
  <c r="N412" i="13"/>
  <c r="T412" i="13"/>
  <c r="S411" i="13"/>
  <c r="P411" i="13"/>
  <c r="V411" i="13"/>
  <c r="O411" i="13"/>
  <c r="Q411" i="13"/>
  <c r="N411" i="13"/>
  <c r="T411" i="13"/>
  <c r="S410" i="13"/>
  <c r="P410" i="13"/>
  <c r="R410" i="13"/>
  <c r="O410" i="13"/>
  <c r="Q410" i="13"/>
  <c r="N410" i="13"/>
  <c r="T410" i="13"/>
  <c r="S409" i="13"/>
  <c r="P409" i="13"/>
  <c r="O409" i="13"/>
  <c r="Q409" i="13"/>
  <c r="N409" i="13"/>
  <c r="T409" i="13"/>
  <c r="S408" i="13"/>
  <c r="P408" i="13"/>
  <c r="V408" i="13"/>
  <c r="O408" i="13"/>
  <c r="Q408" i="13"/>
  <c r="N408" i="13"/>
  <c r="T408" i="13"/>
  <c r="S407" i="13"/>
  <c r="P407" i="13"/>
  <c r="V407" i="13"/>
  <c r="O407" i="13"/>
  <c r="N407" i="13"/>
  <c r="T407" i="13"/>
  <c r="S406" i="13"/>
  <c r="P406" i="13"/>
  <c r="O406" i="13"/>
  <c r="Q406" i="13"/>
  <c r="N406" i="13"/>
  <c r="T406" i="13"/>
  <c r="S405" i="13"/>
  <c r="P405" i="13"/>
  <c r="V405" i="13"/>
  <c r="O405" i="13"/>
  <c r="Q405" i="13"/>
  <c r="N405" i="13"/>
  <c r="T405" i="13"/>
  <c r="S404" i="13"/>
  <c r="P404" i="13"/>
  <c r="R404" i="13"/>
  <c r="O404" i="13"/>
  <c r="Q404" i="13"/>
  <c r="N404" i="13"/>
  <c r="T404" i="13"/>
  <c r="S403" i="13"/>
  <c r="P403" i="13"/>
  <c r="V403" i="13"/>
  <c r="O403" i="13"/>
  <c r="N403" i="13"/>
  <c r="S402" i="13"/>
  <c r="P402" i="13"/>
  <c r="R402" i="13"/>
  <c r="O402" i="13"/>
  <c r="N402" i="13"/>
  <c r="T402" i="13"/>
  <c r="S401" i="13"/>
  <c r="P401" i="13"/>
  <c r="R401" i="13"/>
  <c r="O401" i="13"/>
  <c r="Q401" i="13"/>
  <c r="N401" i="13"/>
  <c r="T401" i="13"/>
  <c r="S400" i="13"/>
  <c r="P400" i="13"/>
  <c r="V400" i="13"/>
  <c r="O400" i="13"/>
  <c r="N400" i="13"/>
  <c r="T400" i="13"/>
  <c r="S399" i="13"/>
  <c r="P399" i="13"/>
  <c r="O399" i="13"/>
  <c r="N399" i="13"/>
  <c r="T399" i="13"/>
  <c r="S398" i="13"/>
  <c r="P398" i="13"/>
  <c r="O398" i="13"/>
  <c r="Q398" i="13"/>
  <c r="N398" i="13"/>
  <c r="T398" i="13"/>
  <c r="S397" i="13"/>
  <c r="P397" i="13"/>
  <c r="V397" i="13"/>
  <c r="O397" i="13"/>
  <c r="Q397" i="13"/>
  <c r="N397" i="13"/>
  <c r="T397" i="13"/>
  <c r="S396" i="13"/>
  <c r="P396" i="13"/>
  <c r="O396" i="13"/>
  <c r="Q396" i="13"/>
  <c r="N396" i="13"/>
  <c r="T396" i="13"/>
  <c r="S395" i="13"/>
  <c r="P395" i="13"/>
  <c r="V395" i="13"/>
  <c r="O395" i="13"/>
  <c r="Q395" i="13"/>
  <c r="N395" i="13"/>
  <c r="T395" i="13"/>
  <c r="S394" i="13"/>
  <c r="P394" i="13"/>
  <c r="R394" i="13"/>
  <c r="O394" i="13"/>
  <c r="N394" i="13"/>
  <c r="T394" i="13"/>
  <c r="S393" i="13"/>
  <c r="P393" i="13"/>
  <c r="R393" i="13"/>
  <c r="O393" i="13"/>
  <c r="Q393" i="13"/>
  <c r="U393" i="13"/>
  <c r="X393" i="13"/>
  <c r="N393" i="13"/>
  <c r="T393" i="13"/>
  <c r="S392" i="13"/>
  <c r="P392" i="13"/>
  <c r="V392" i="13"/>
  <c r="O392" i="13"/>
  <c r="N392" i="13"/>
  <c r="T392" i="13"/>
  <c r="S391" i="13"/>
  <c r="P391" i="13"/>
  <c r="O391" i="13"/>
  <c r="Q391" i="13"/>
  <c r="N391" i="13"/>
  <c r="T391" i="13"/>
  <c r="S390" i="13"/>
  <c r="P390" i="13"/>
  <c r="O390" i="13"/>
  <c r="Q390" i="13"/>
  <c r="N390" i="13"/>
  <c r="S389" i="13"/>
  <c r="P389" i="13"/>
  <c r="V389" i="13"/>
  <c r="O389" i="13"/>
  <c r="Q389" i="13"/>
  <c r="N389" i="13"/>
  <c r="T389" i="13"/>
  <c r="S388" i="13"/>
  <c r="P388" i="13"/>
  <c r="V388" i="13"/>
  <c r="O388" i="13"/>
  <c r="Q388" i="13"/>
  <c r="N388" i="13"/>
  <c r="T388" i="13"/>
  <c r="S387" i="13"/>
  <c r="P387" i="13"/>
  <c r="V387" i="13"/>
  <c r="O387" i="13"/>
  <c r="N387" i="13"/>
  <c r="T387" i="13"/>
  <c r="S386" i="13"/>
  <c r="P386" i="13"/>
  <c r="R386" i="13"/>
  <c r="O386" i="13"/>
  <c r="N386" i="13"/>
  <c r="T386" i="13"/>
  <c r="S385" i="13"/>
  <c r="P385" i="13"/>
  <c r="O385" i="13"/>
  <c r="Q385" i="13"/>
  <c r="N385" i="13"/>
  <c r="T385" i="13"/>
  <c r="S384" i="13"/>
  <c r="P384" i="13"/>
  <c r="V384" i="13"/>
  <c r="O384" i="13"/>
  <c r="Q384" i="13"/>
  <c r="N384" i="13"/>
  <c r="T384" i="13"/>
  <c r="S383" i="13"/>
  <c r="P383" i="13"/>
  <c r="V383" i="13"/>
  <c r="O383" i="13"/>
  <c r="N383" i="13"/>
  <c r="T383" i="13"/>
  <c r="S382" i="13"/>
  <c r="P382" i="13"/>
  <c r="O382" i="13"/>
  <c r="Q382" i="13"/>
  <c r="N382" i="13"/>
  <c r="T382" i="13"/>
  <c r="S381" i="13"/>
  <c r="P381" i="13"/>
  <c r="V381" i="13"/>
  <c r="O381" i="13"/>
  <c r="Q381" i="13"/>
  <c r="N381" i="13"/>
  <c r="T381" i="13"/>
  <c r="S380" i="13"/>
  <c r="P380" i="13"/>
  <c r="O380" i="13"/>
  <c r="Q380" i="13"/>
  <c r="N380" i="13"/>
  <c r="T380" i="13"/>
  <c r="S379" i="13"/>
  <c r="P379" i="13"/>
  <c r="V379" i="13"/>
  <c r="O379" i="13"/>
  <c r="Q379" i="13"/>
  <c r="N379" i="13"/>
  <c r="T379" i="13"/>
  <c r="S378" i="13"/>
  <c r="P378" i="13"/>
  <c r="R378" i="13"/>
  <c r="O378" i="13"/>
  <c r="N378" i="13"/>
  <c r="T378" i="13"/>
  <c r="S377" i="13"/>
  <c r="P377" i="13"/>
  <c r="O377" i="13"/>
  <c r="N377" i="13"/>
  <c r="T377" i="13"/>
  <c r="S376" i="13"/>
  <c r="P376" i="13"/>
  <c r="V376" i="13"/>
  <c r="O376" i="13"/>
  <c r="W376" i="13"/>
  <c r="N376" i="13"/>
  <c r="T376" i="13"/>
  <c r="S375" i="13"/>
  <c r="P375" i="13"/>
  <c r="R375" i="13"/>
  <c r="O375" i="13"/>
  <c r="N375" i="13"/>
  <c r="S374" i="13"/>
  <c r="P374" i="13"/>
  <c r="R374" i="13"/>
  <c r="O374" i="13"/>
  <c r="Q374" i="13"/>
  <c r="N374" i="13"/>
  <c r="T374" i="13"/>
  <c r="S373" i="13"/>
  <c r="P373" i="13"/>
  <c r="O373" i="13"/>
  <c r="Q373" i="13"/>
  <c r="N373" i="13"/>
  <c r="T373" i="13"/>
  <c r="S372" i="13"/>
  <c r="P372" i="13"/>
  <c r="V372" i="13"/>
  <c r="O372" i="13"/>
  <c r="Q372" i="13"/>
  <c r="N372" i="13"/>
  <c r="T372" i="13"/>
  <c r="S371" i="13"/>
  <c r="P371" i="13"/>
  <c r="V371" i="13"/>
  <c r="O371" i="13"/>
  <c r="Q371" i="13"/>
  <c r="N371" i="13"/>
  <c r="S370" i="13"/>
  <c r="P370" i="13"/>
  <c r="R370" i="13"/>
  <c r="O370" i="13"/>
  <c r="N370" i="13"/>
  <c r="S369" i="13"/>
  <c r="P369" i="13"/>
  <c r="R369" i="13"/>
  <c r="O369" i="13"/>
  <c r="Q369" i="13"/>
  <c r="N369" i="13"/>
  <c r="S368" i="13"/>
  <c r="P368" i="13"/>
  <c r="O368" i="13"/>
  <c r="N368" i="13"/>
  <c r="T368" i="13"/>
  <c r="S367" i="13"/>
  <c r="P367" i="13"/>
  <c r="V367" i="13"/>
  <c r="O367" i="13"/>
  <c r="Q367" i="13"/>
  <c r="N367" i="13"/>
  <c r="T367" i="13"/>
  <c r="S366" i="13"/>
  <c r="P366" i="13"/>
  <c r="V366" i="13"/>
  <c r="O366" i="13"/>
  <c r="Q366" i="13"/>
  <c r="N366" i="13"/>
  <c r="T366" i="13"/>
  <c r="S365" i="13"/>
  <c r="P365" i="13"/>
  <c r="V365" i="13"/>
  <c r="O365" i="13"/>
  <c r="Q365" i="13"/>
  <c r="N365" i="13"/>
  <c r="T365" i="13"/>
  <c r="S364" i="13"/>
  <c r="P364" i="13"/>
  <c r="R364" i="13"/>
  <c r="O364" i="13"/>
  <c r="Q364" i="13"/>
  <c r="N364" i="13"/>
  <c r="T364" i="13"/>
  <c r="S363" i="13"/>
  <c r="P363" i="13"/>
  <c r="V363" i="13"/>
  <c r="O363" i="13"/>
  <c r="N363" i="13"/>
  <c r="S362" i="13"/>
  <c r="P362" i="13"/>
  <c r="R362" i="13"/>
  <c r="O362" i="13"/>
  <c r="Q362" i="13"/>
  <c r="N362" i="13"/>
  <c r="T362" i="13"/>
  <c r="S361" i="13"/>
  <c r="P361" i="13"/>
  <c r="R361" i="13"/>
  <c r="O361" i="13"/>
  <c r="Q361" i="13"/>
  <c r="N361" i="13"/>
  <c r="S360" i="13"/>
  <c r="P360" i="13"/>
  <c r="O360" i="13"/>
  <c r="N360" i="13"/>
  <c r="T360" i="13"/>
  <c r="S359" i="13"/>
  <c r="P359" i="13"/>
  <c r="V359" i="13"/>
  <c r="O359" i="13"/>
  <c r="Q359" i="13"/>
  <c r="N359" i="13"/>
  <c r="T359" i="13"/>
  <c r="S358" i="13"/>
  <c r="P358" i="13"/>
  <c r="L6" i="13"/>
  <c r="O358" i="13"/>
  <c r="Q358" i="13"/>
  <c r="N358" i="13"/>
  <c r="T358" i="13"/>
  <c r="S357" i="13"/>
  <c r="P357" i="13"/>
  <c r="O357" i="13"/>
  <c r="Q357" i="13"/>
  <c r="N357" i="13"/>
  <c r="T357" i="13"/>
  <c r="S356" i="13"/>
  <c r="P356" i="13"/>
  <c r="V356" i="13"/>
  <c r="O356" i="13"/>
  <c r="Q356" i="13"/>
  <c r="N356" i="13"/>
  <c r="T356" i="13"/>
  <c r="S355" i="13"/>
  <c r="P355" i="13"/>
  <c r="V355" i="13"/>
  <c r="O355" i="13"/>
  <c r="Q355" i="13"/>
  <c r="N355" i="13"/>
  <c r="T355" i="13"/>
  <c r="S354" i="13"/>
  <c r="P354" i="13"/>
  <c r="R354" i="13"/>
  <c r="O354" i="13"/>
  <c r="N354" i="13"/>
  <c r="T354" i="13"/>
  <c r="S353" i="13"/>
  <c r="P353" i="13"/>
  <c r="O353" i="13"/>
  <c r="Q353" i="13"/>
  <c r="N353" i="13"/>
  <c r="T353" i="13"/>
  <c r="S352" i="13"/>
  <c r="P352" i="13"/>
  <c r="V352" i="13"/>
  <c r="O352" i="13"/>
  <c r="N352" i="13"/>
  <c r="T352" i="13"/>
  <c r="S351" i="13"/>
  <c r="P351" i="13"/>
  <c r="R351" i="13"/>
  <c r="O351" i="13"/>
  <c r="Q351" i="13"/>
  <c r="N351" i="13"/>
  <c r="T351" i="13"/>
  <c r="S350" i="13"/>
  <c r="P350" i="13"/>
  <c r="O350" i="13"/>
  <c r="Q350" i="13"/>
  <c r="N350" i="13"/>
  <c r="T350" i="13"/>
  <c r="S349" i="13"/>
  <c r="P349" i="13"/>
  <c r="O349" i="13"/>
  <c r="Q349" i="13"/>
  <c r="N349" i="13"/>
  <c r="T349" i="13"/>
  <c r="S348" i="13"/>
  <c r="P348" i="13"/>
  <c r="V348" i="13"/>
  <c r="O348" i="13"/>
  <c r="Q348" i="13"/>
  <c r="N348" i="13"/>
  <c r="T348" i="13"/>
  <c r="S347" i="13"/>
  <c r="P347" i="13"/>
  <c r="V347" i="13"/>
  <c r="O347" i="13"/>
  <c r="Q347" i="13"/>
  <c r="N347" i="13"/>
  <c r="T347" i="13"/>
  <c r="S346" i="13"/>
  <c r="P346" i="13"/>
  <c r="R346" i="13"/>
  <c r="O346" i="13"/>
  <c r="N346" i="13"/>
  <c r="T346" i="13"/>
  <c r="S345" i="13"/>
  <c r="P345" i="13"/>
  <c r="O345" i="13"/>
  <c r="Q345" i="13"/>
  <c r="N345" i="13"/>
  <c r="T345" i="13"/>
  <c r="S344" i="13"/>
  <c r="P344" i="13"/>
  <c r="V344" i="13"/>
  <c r="O344" i="13"/>
  <c r="Q344" i="13"/>
  <c r="N344" i="13"/>
  <c r="T344" i="13"/>
  <c r="S343" i="13"/>
  <c r="P343" i="13"/>
  <c r="V343" i="13"/>
  <c r="O343" i="13"/>
  <c r="N343" i="13"/>
  <c r="T343" i="13"/>
  <c r="S342" i="13"/>
  <c r="P342" i="13"/>
  <c r="O342" i="13"/>
  <c r="Q342" i="13"/>
  <c r="N342" i="13"/>
  <c r="T342" i="13"/>
  <c r="S341" i="13"/>
  <c r="P341" i="13"/>
  <c r="V341" i="13"/>
  <c r="O341" i="13"/>
  <c r="Q341" i="13"/>
  <c r="N341" i="13"/>
  <c r="T341" i="13"/>
  <c r="S340" i="13"/>
  <c r="P340" i="13"/>
  <c r="R340" i="13"/>
  <c r="O340" i="13"/>
  <c r="Q340" i="13"/>
  <c r="N340" i="13"/>
  <c r="T340" i="13"/>
  <c r="S339" i="13"/>
  <c r="P339" i="13"/>
  <c r="V339" i="13"/>
  <c r="O339" i="13"/>
  <c r="Q339" i="13"/>
  <c r="N339" i="13"/>
  <c r="T339" i="13"/>
  <c r="S338" i="13"/>
  <c r="P338" i="13"/>
  <c r="R338" i="13"/>
  <c r="O338" i="13"/>
  <c r="Q338" i="13"/>
  <c r="U338" i="13"/>
  <c r="X338" i="13"/>
  <c r="N338" i="13"/>
  <c r="T338" i="13"/>
  <c r="S337" i="13"/>
  <c r="P337" i="13"/>
  <c r="O337" i="13"/>
  <c r="Q337" i="13"/>
  <c r="N337" i="13"/>
  <c r="T337" i="13"/>
  <c r="S336" i="13"/>
  <c r="P336" i="13"/>
  <c r="V336" i="13"/>
  <c r="O336" i="13"/>
  <c r="N336" i="13"/>
  <c r="S335" i="13"/>
  <c r="P335" i="13"/>
  <c r="R335" i="13"/>
  <c r="O335" i="13"/>
  <c r="N335" i="13"/>
  <c r="T335" i="13"/>
  <c r="S334" i="13"/>
  <c r="P334" i="13"/>
  <c r="O334" i="13"/>
  <c r="Q334" i="13"/>
  <c r="N334" i="13"/>
  <c r="T334" i="13"/>
  <c r="S333" i="13"/>
  <c r="P333" i="13"/>
  <c r="V333" i="13"/>
  <c r="O333" i="13"/>
  <c r="Q333" i="13"/>
  <c r="N333" i="13"/>
  <c r="T333" i="13"/>
  <c r="S332" i="13"/>
  <c r="P332" i="13"/>
  <c r="V332" i="13"/>
  <c r="O332" i="13"/>
  <c r="Q332" i="13"/>
  <c r="N332" i="13"/>
  <c r="S331" i="13"/>
  <c r="P331" i="13"/>
  <c r="V331" i="13"/>
  <c r="O331" i="13"/>
  <c r="Q331" i="13"/>
  <c r="N331" i="13"/>
  <c r="T331" i="13"/>
  <c r="S330" i="13"/>
  <c r="P330" i="13"/>
  <c r="R330" i="13"/>
  <c r="O330" i="13"/>
  <c r="N330" i="13"/>
  <c r="T330" i="13"/>
  <c r="S329" i="13"/>
  <c r="P329" i="13"/>
  <c r="O329" i="13"/>
  <c r="N329" i="13"/>
  <c r="T329" i="13"/>
  <c r="S328" i="13"/>
  <c r="P328" i="13"/>
  <c r="R328" i="13"/>
  <c r="O328" i="13"/>
  <c r="W328" i="13"/>
  <c r="N328" i="13"/>
  <c r="T328" i="13"/>
  <c r="S327" i="13"/>
  <c r="P327" i="13"/>
  <c r="O327" i="13"/>
  <c r="N327" i="13"/>
  <c r="T327" i="13"/>
  <c r="T326" i="13"/>
  <c r="S326" i="13"/>
  <c r="P326" i="13"/>
  <c r="O326" i="13"/>
  <c r="Q326" i="13"/>
  <c r="N326" i="13"/>
  <c r="S325" i="13"/>
  <c r="P325" i="13"/>
  <c r="O325" i="13"/>
  <c r="Q325" i="13"/>
  <c r="N325" i="13"/>
  <c r="T325" i="13"/>
  <c r="S324" i="13"/>
  <c r="P324" i="13"/>
  <c r="R324" i="13"/>
  <c r="O324" i="13"/>
  <c r="Q324" i="13"/>
  <c r="N324" i="13"/>
  <c r="T324" i="13"/>
  <c r="S323" i="13"/>
  <c r="P323" i="13"/>
  <c r="V323" i="13"/>
  <c r="O323" i="13"/>
  <c r="N323" i="13"/>
  <c r="T323" i="13"/>
  <c r="S322" i="13"/>
  <c r="P322" i="13"/>
  <c r="R322" i="13"/>
  <c r="O322" i="13"/>
  <c r="N322" i="13"/>
  <c r="T322" i="13"/>
  <c r="S321" i="13"/>
  <c r="P321" i="13"/>
  <c r="R321" i="13"/>
  <c r="O321" i="13"/>
  <c r="Q321" i="13"/>
  <c r="N321" i="13"/>
  <c r="T321" i="13"/>
  <c r="S320" i="13"/>
  <c r="P320" i="13"/>
  <c r="V320" i="13"/>
  <c r="O320" i="13"/>
  <c r="Q320" i="13"/>
  <c r="N320" i="13"/>
  <c r="T320" i="13"/>
  <c r="S319" i="13"/>
  <c r="P319" i="13"/>
  <c r="O319" i="13"/>
  <c r="N319" i="13"/>
  <c r="T319" i="13"/>
  <c r="S318" i="13"/>
  <c r="P318" i="13"/>
  <c r="O318" i="13"/>
  <c r="Q318" i="13"/>
  <c r="N318" i="13"/>
  <c r="T318" i="13"/>
  <c r="S317" i="13"/>
  <c r="P317" i="13"/>
  <c r="V317" i="13"/>
  <c r="O317" i="13"/>
  <c r="Q317" i="13"/>
  <c r="N317" i="13"/>
  <c r="T317" i="13"/>
  <c r="S316" i="13"/>
  <c r="P316" i="13"/>
  <c r="R316" i="13"/>
  <c r="O316" i="13"/>
  <c r="Q316" i="13"/>
  <c r="N316" i="13"/>
  <c r="T316" i="13"/>
  <c r="S315" i="13"/>
  <c r="P315" i="13"/>
  <c r="V315" i="13"/>
  <c r="O315" i="13"/>
  <c r="N315" i="13"/>
  <c r="T315" i="13"/>
  <c r="S314" i="13"/>
  <c r="P314" i="13"/>
  <c r="R314" i="13"/>
  <c r="O314" i="13"/>
  <c r="N314" i="13"/>
  <c r="T314" i="13"/>
  <c r="S313" i="13"/>
  <c r="P313" i="13"/>
  <c r="R313" i="13"/>
  <c r="O313" i="13"/>
  <c r="N313" i="13"/>
  <c r="T313" i="13"/>
  <c r="S312" i="13"/>
  <c r="P312" i="13"/>
  <c r="O312" i="13"/>
  <c r="N312" i="13"/>
  <c r="T312" i="13"/>
  <c r="S311" i="13"/>
  <c r="P311" i="13"/>
  <c r="V311" i="13"/>
  <c r="O311" i="13"/>
  <c r="Q311" i="13"/>
  <c r="N311" i="13"/>
  <c r="T311" i="13"/>
  <c r="S310" i="13"/>
  <c r="P310" i="13"/>
  <c r="O310" i="13"/>
  <c r="Q310" i="13"/>
  <c r="N310" i="13"/>
  <c r="T310" i="13"/>
  <c r="S309" i="13"/>
  <c r="P309" i="13"/>
  <c r="O309" i="13"/>
  <c r="Q309" i="13"/>
  <c r="N309" i="13"/>
  <c r="T309" i="13"/>
  <c r="S308" i="13"/>
  <c r="P308" i="13"/>
  <c r="O308" i="13"/>
  <c r="Q308" i="13"/>
  <c r="N308" i="13"/>
  <c r="T308" i="13"/>
  <c r="S307" i="13"/>
  <c r="P307" i="13"/>
  <c r="V307" i="13"/>
  <c r="O307" i="13"/>
  <c r="Q307" i="13"/>
  <c r="N307" i="13"/>
  <c r="T307" i="13"/>
  <c r="S306" i="13"/>
  <c r="P306" i="13"/>
  <c r="O306" i="13"/>
  <c r="N306" i="13"/>
  <c r="T306" i="13"/>
  <c r="S305" i="13"/>
  <c r="P305" i="13"/>
  <c r="R305" i="13"/>
  <c r="O305" i="13"/>
  <c r="N305" i="13"/>
  <c r="S304" i="13"/>
  <c r="P304" i="13"/>
  <c r="O304" i="13"/>
  <c r="Q304" i="13"/>
  <c r="N304" i="13"/>
  <c r="T304" i="13"/>
  <c r="S303" i="13"/>
  <c r="P303" i="13"/>
  <c r="V303" i="13"/>
  <c r="O303" i="13"/>
  <c r="N303" i="13"/>
  <c r="T303" i="13"/>
  <c r="S302" i="13"/>
  <c r="P302" i="13"/>
  <c r="V302" i="13"/>
  <c r="O302" i="13"/>
  <c r="Q302" i="13"/>
  <c r="N302" i="13"/>
  <c r="S301" i="13"/>
  <c r="P301" i="13"/>
  <c r="V301" i="13"/>
  <c r="O301" i="13"/>
  <c r="Q301" i="13"/>
  <c r="N301" i="13"/>
  <c r="T301" i="13"/>
  <c r="S300" i="13"/>
  <c r="P300" i="13"/>
  <c r="O300" i="13"/>
  <c r="Q300" i="13"/>
  <c r="N300" i="13"/>
  <c r="T300" i="13"/>
  <c r="S299" i="13"/>
  <c r="P299" i="13"/>
  <c r="O299" i="13"/>
  <c r="Q299" i="13"/>
  <c r="N299" i="13"/>
  <c r="T299" i="13"/>
  <c r="S298" i="13"/>
  <c r="P298" i="13"/>
  <c r="O298" i="13"/>
  <c r="N298" i="13"/>
  <c r="T298" i="13"/>
  <c r="S297" i="13"/>
  <c r="P297" i="13"/>
  <c r="R297" i="13"/>
  <c r="O297" i="13"/>
  <c r="Q297" i="13"/>
  <c r="U297" i="13"/>
  <c r="X297" i="13"/>
  <c r="N297" i="13"/>
  <c r="T297" i="13"/>
  <c r="S296" i="13"/>
  <c r="P296" i="13"/>
  <c r="O296" i="13"/>
  <c r="Q296" i="13"/>
  <c r="N296" i="13"/>
  <c r="T296" i="13"/>
  <c r="S295" i="13"/>
  <c r="P295" i="13"/>
  <c r="R295" i="13"/>
  <c r="O295" i="13"/>
  <c r="Q295" i="13"/>
  <c r="N295" i="13"/>
  <c r="T295" i="13"/>
  <c r="S294" i="13"/>
  <c r="P294" i="13"/>
  <c r="O294" i="13"/>
  <c r="Q294" i="13"/>
  <c r="N294" i="13"/>
  <c r="T294" i="13"/>
  <c r="S293" i="13"/>
  <c r="P293" i="13"/>
  <c r="O293" i="13"/>
  <c r="N293" i="13"/>
  <c r="T293" i="13"/>
  <c r="S292" i="13"/>
  <c r="P292" i="13"/>
  <c r="V292" i="13"/>
  <c r="O292" i="13"/>
  <c r="Q292" i="13"/>
  <c r="N292" i="13"/>
  <c r="T292" i="13"/>
  <c r="S291" i="13"/>
  <c r="P291" i="13"/>
  <c r="O291" i="13"/>
  <c r="W291" i="13"/>
  <c r="N291" i="13"/>
  <c r="T291" i="13"/>
  <c r="S290" i="13"/>
  <c r="P290" i="13"/>
  <c r="O290" i="13"/>
  <c r="N290" i="13"/>
  <c r="T290" i="13"/>
  <c r="S289" i="13"/>
  <c r="P289" i="13"/>
  <c r="R289" i="13"/>
  <c r="O289" i="13"/>
  <c r="Q289" i="13"/>
  <c r="N289" i="13"/>
  <c r="T289" i="13"/>
  <c r="S288" i="13"/>
  <c r="P288" i="13"/>
  <c r="O288" i="13"/>
  <c r="Q288" i="13"/>
  <c r="N288" i="13"/>
  <c r="T288" i="13"/>
  <c r="S287" i="13"/>
  <c r="P287" i="13"/>
  <c r="V287" i="13"/>
  <c r="O287" i="13"/>
  <c r="Q287" i="13"/>
  <c r="N287" i="13"/>
  <c r="T287" i="13"/>
  <c r="S286" i="13"/>
  <c r="P286" i="13"/>
  <c r="O286" i="13"/>
  <c r="N286" i="13"/>
  <c r="T286" i="13"/>
  <c r="S285" i="13"/>
  <c r="P285" i="13"/>
  <c r="V285" i="13"/>
  <c r="O285" i="13"/>
  <c r="Q285" i="13"/>
  <c r="N285" i="13"/>
  <c r="S284" i="13"/>
  <c r="P284" i="13"/>
  <c r="R284" i="13"/>
  <c r="O284" i="13"/>
  <c r="N284" i="13"/>
  <c r="T284" i="13"/>
  <c r="S283" i="13"/>
  <c r="P283" i="13"/>
  <c r="V283" i="13"/>
  <c r="O283" i="13"/>
  <c r="N283" i="13"/>
  <c r="T283" i="13"/>
  <c r="S282" i="13"/>
  <c r="P282" i="13"/>
  <c r="O282" i="13"/>
  <c r="N282" i="13"/>
  <c r="T282" i="13"/>
  <c r="S281" i="13"/>
  <c r="P281" i="13"/>
  <c r="R281" i="13"/>
  <c r="O281" i="13"/>
  <c r="Q281" i="13"/>
  <c r="U281" i="13"/>
  <c r="X281" i="13"/>
  <c r="N281" i="13"/>
  <c r="T281" i="13"/>
  <c r="S280" i="13"/>
  <c r="P280" i="13"/>
  <c r="R280" i="13"/>
  <c r="O280" i="13"/>
  <c r="Q280" i="13"/>
  <c r="U280" i="13"/>
  <c r="X280" i="13"/>
  <c r="N280" i="13"/>
  <c r="T280" i="13"/>
  <c r="S279" i="13"/>
  <c r="P279" i="13"/>
  <c r="R279" i="13"/>
  <c r="O279" i="13"/>
  <c r="Q279" i="13"/>
  <c r="N279" i="13"/>
  <c r="T279" i="13"/>
  <c r="S278" i="13"/>
  <c r="P278" i="13"/>
  <c r="O278" i="13"/>
  <c r="Q278" i="13"/>
  <c r="N278" i="13"/>
  <c r="T278" i="13"/>
  <c r="S277" i="13"/>
  <c r="P277" i="13"/>
  <c r="V277" i="13"/>
  <c r="O277" i="13"/>
  <c r="Q277" i="13"/>
  <c r="N277" i="13"/>
  <c r="T277" i="13"/>
  <c r="S276" i="13"/>
  <c r="P276" i="13"/>
  <c r="V276" i="13"/>
  <c r="O276" i="13"/>
  <c r="Q276" i="13"/>
  <c r="N276" i="13"/>
  <c r="T276" i="13"/>
  <c r="S275" i="13"/>
  <c r="P275" i="13"/>
  <c r="V275" i="13"/>
  <c r="O275" i="13"/>
  <c r="N275" i="13"/>
  <c r="T275" i="13"/>
  <c r="S274" i="13"/>
  <c r="P274" i="13"/>
  <c r="O274" i="13"/>
  <c r="N274" i="13"/>
  <c r="T274" i="13"/>
  <c r="S273" i="13"/>
  <c r="P273" i="13"/>
  <c r="R273" i="13"/>
  <c r="O273" i="13"/>
  <c r="Q273" i="13"/>
  <c r="N273" i="13"/>
  <c r="T273" i="13"/>
  <c r="S272" i="13"/>
  <c r="P272" i="13"/>
  <c r="R272" i="13"/>
  <c r="O272" i="13"/>
  <c r="Q272" i="13"/>
  <c r="U272" i="13"/>
  <c r="X272" i="13"/>
  <c r="N272" i="13"/>
  <c r="T272" i="13"/>
  <c r="S271" i="13"/>
  <c r="P271" i="13"/>
  <c r="R271" i="13"/>
  <c r="O271" i="13"/>
  <c r="Q271" i="13"/>
  <c r="N271" i="13"/>
  <c r="S270" i="13"/>
  <c r="P270" i="13"/>
  <c r="O270" i="13"/>
  <c r="Q270" i="13"/>
  <c r="N270" i="13"/>
  <c r="T270" i="13"/>
  <c r="S269" i="13"/>
  <c r="P269" i="13"/>
  <c r="R269" i="13"/>
  <c r="O269" i="13"/>
  <c r="N269" i="13"/>
  <c r="T269" i="13"/>
  <c r="S268" i="13"/>
  <c r="P268" i="13"/>
  <c r="V268" i="13"/>
  <c r="O268" i="13"/>
  <c r="N268" i="13"/>
  <c r="T268" i="13"/>
  <c r="S267" i="13"/>
  <c r="P267" i="13"/>
  <c r="R267" i="13"/>
  <c r="O267" i="13"/>
  <c r="Q267" i="13"/>
  <c r="N267" i="13"/>
  <c r="T267" i="13"/>
  <c r="S266" i="13"/>
  <c r="P266" i="13"/>
  <c r="O266" i="13"/>
  <c r="Q266" i="13"/>
  <c r="N266" i="13"/>
  <c r="T266" i="13"/>
  <c r="S265" i="13"/>
  <c r="P265" i="13"/>
  <c r="O265" i="13"/>
  <c r="Q265" i="13"/>
  <c r="N265" i="13"/>
  <c r="S264" i="13"/>
  <c r="P264" i="13"/>
  <c r="O264" i="13"/>
  <c r="N264" i="13"/>
  <c r="T264" i="13"/>
  <c r="S263" i="13"/>
  <c r="P263" i="13"/>
  <c r="V263" i="13"/>
  <c r="O263" i="13"/>
  <c r="N263" i="13"/>
  <c r="T263" i="13"/>
  <c r="S262" i="13"/>
  <c r="P262" i="13"/>
  <c r="O262" i="13"/>
  <c r="Q262" i="13"/>
  <c r="N262" i="13"/>
  <c r="S261" i="13"/>
  <c r="P261" i="13"/>
  <c r="O261" i="13"/>
  <c r="Q261" i="13"/>
  <c r="N261" i="13"/>
  <c r="T261" i="13"/>
  <c r="S260" i="13"/>
  <c r="P260" i="13"/>
  <c r="R260" i="13"/>
  <c r="O260" i="13"/>
  <c r="Q260" i="13"/>
  <c r="N260" i="13"/>
  <c r="T260" i="13"/>
  <c r="S259" i="13"/>
  <c r="P259" i="13"/>
  <c r="R259" i="13"/>
  <c r="O259" i="13"/>
  <c r="Q259" i="13"/>
  <c r="N259" i="13"/>
  <c r="T259" i="13"/>
  <c r="S258" i="13"/>
  <c r="P258" i="13"/>
  <c r="O258" i="13"/>
  <c r="N258" i="13"/>
  <c r="T258" i="13"/>
  <c r="S257" i="13"/>
  <c r="P257" i="13"/>
  <c r="O257" i="13"/>
  <c r="Q257" i="13"/>
  <c r="N257" i="13"/>
  <c r="S256" i="13"/>
  <c r="P256" i="13"/>
  <c r="V256" i="13"/>
  <c r="O256" i="13"/>
  <c r="Q256" i="13"/>
  <c r="N256" i="13"/>
  <c r="T256" i="13"/>
  <c r="S255" i="13"/>
  <c r="P255" i="13"/>
  <c r="R255" i="13"/>
  <c r="O255" i="13"/>
  <c r="Q255" i="13"/>
  <c r="N255" i="13"/>
  <c r="T255" i="13"/>
  <c r="S254" i="13"/>
  <c r="P254" i="13"/>
  <c r="O254" i="13"/>
  <c r="Q254" i="13"/>
  <c r="N254" i="13"/>
  <c r="T254" i="13"/>
  <c r="S253" i="13"/>
  <c r="P253" i="13"/>
  <c r="V253" i="13"/>
  <c r="O253" i="13"/>
  <c r="Q253" i="13"/>
  <c r="N253" i="13"/>
  <c r="T253" i="13"/>
  <c r="S252" i="13"/>
  <c r="P252" i="13"/>
  <c r="V252" i="13"/>
  <c r="O252" i="13"/>
  <c r="Q252" i="13"/>
  <c r="N252" i="13"/>
  <c r="T252" i="13"/>
  <c r="S251" i="13"/>
  <c r="P251" i="13"/>
  <c r="V251" i="13"/>
  <c r="O251" i="13"/>
  <c r="Q251" i="13"/>
  <c r="N251" i="13"/>
  <c r="T251" i="13"/>
  <c r="S250" i="13"/>
  <c r="P250" i="13"/>
  <c r="O250" i="13"/>
  <c r="N250" i="13"/>
  <c r="T250" i="13"/>
  <c r="S249" i="13"/>
  <c r="P249" i="13"/>
  <c r="R249" i="13"/>
  <c r="O249" i="13"/>
  <c r="N249" i="13"/>
  <c r="T249" i="13"/>
  <c r="S248" i="13"/>
  <c r="P248" i="13"/>
  <c r="O248" i="13"/>
  <c r="Q248" i="13"/>
  <c r="N248" i="13"/>
  <c r="T248" i="13"/>
  <c r="S247" i="13"/>
  <c r="P247" i="13"/>
  <c r="R247" i="13"/>
  <c r="O247" i="13"/>
  <c r="N247" i="13"/>
  <c r="T247" i="13"/>
  <c r="S246" i="13"/>
  <c r="P246" i="13"/>
  <c r="O246" i="13"/>
  <c r="N246" i="13"/>
  <c r="T246" i="13"/>
  <c r="S245" i="13"/>
  <c r="P245" i="13"/>
  <c r="V245" i="13"/>
  <c r="O245" i="13"/>
  <c r="N245" i="13"/>
  <c r="T245" i="13"/>
  <c r="S244" i="13"/>
  <c r="P244" i="13"/>
  <c r="V244" i="13"/>
  <c r="O244" i="13"/>
  <c r="Q244" i="13"/>
  <c r="N244" i="13"/>
  <c r="T244" i="13"/>
  <c r="S243" i="13"/>
  <c r="P243" i="13"/>
  <c r="O243" i="13"/>
  <c r="Q243" i="13"/>
  <c r="N243" i="13"/>
  <c r="T243" i="13"/>
  <c r="S242" i="13"/>
  <c r="P242" i="13"/>
  <c r="O242" i="13"/>
  <c r="N242" i="13"/>
  <c r="T242" i="13"/>
  <c r="S241" i="13"/>
  <c r="P241" i="13"/>
  <c r="R241" i="13"/>
  <c r="O241" i="13"/>
  <c r="N241" i="13"/>
  <c r="T241" i="13"/>
  <c r="S240" i="13"/>
  <c r="P240" i="13"/>
  <c r="V240" i="13"/>
  <c r="O240" i="13"/>
  <c r="N240" i="13"/>
  <c r="T240" i="13"/>
  <c r="S239" i="13"/>
  <c r="P239" i="13"/>
  <c r="O239" i="13"/>
  <c r="N239" i="13"/>
  <c r="T239" i="13"/>
  <c r="S238" i="13"/>
  <c r="P238" i="13"/>
  <c r="V238" i="13"/>
  <c r="O238" i="13"/>
  <c r="Q238" i="13"/>
  <c r="N238" i="13"/>
  <c r="T238" i="13"/>
  <c r="S237" i="13"/>
  <c r="P237" i="13"/>
  <c r="R237" i="13"/>
  <c r="O237" i="13"/>
  <c r="Q237" i="13"/>
  <c r="N237" i="13"/>
  <c r="T237" i="13"/>
  <c r="S236" i="13"/>
  <c r="P236" i="13"/>
  <c r="V236" i="13"/>
  <c r="O236" i="13"/>
  <c r="Q236" i="13"/>
  <c r="N236" i="13"/>
  <c r="T236" i="13"/>
  <c r="S235" i="13"/>
  <c r="P235" i="13"/>
  <c r="V235" i="13"/>
  <c r="O235" i="13"/>
  <c r="Q235" i="13"/>
  <c r="N235" i="13"/>
  <c r="T235" i="13"/>
  <c r="S234" i="13"/>
  <c r="P234" i="13"/>
  <c r="R234" i="13"/>
  <c r="O234" i="13"/>
  <c r="Q234" i="13"/>
  <c r="N234" i="13"/>
  <c r="T234" i="13"/>
  <c r="S233" i="13"/>
  <c r="P233" i="13"/>
  <c r="V233" i="13"/>
  <c r="O233" i="13"/>
  <c r="Q233" i="13"/>
  <c r="N233" i="13"/>
  <c r="T233" i="13"/>
  <c r="S232" i="13"/>
  <c r="P232" i="13"/>
  <c r="R232" i="13"/>
  <c r="O232" i="13"/>
  <c r="N232" i="13"/>
  <c r="T232" i="13"/>
  <c r="S231" i="13"/>
  <c r="P231" i="13"/>
  <c r="R231" i="13"/>
  <c r="O231" i="13"/>
  <c r="Q231" i="13"/>
  <c r="N231" i="13"/>
  <c r="T231" i="13"/>
  <c r="S230" i="13"/>
  <c r="P230" i="13"/>
  <c r="V230" i="13"/>
  <c r="O230" i="13"/>
  <c r="Q230" i="13"/>
  <c r="N230" i="13"/>
  <c r="S229" i="13"/>
  <c r="P229" i="13"/>
  <c r="R229" i="13"/>
  <c r="O229" i="13"/>
  <c r="Q229" i="13"/>
  <c r="N229" i="13"/>
  <c r="T229" i="13"/>
  <c r="S228" i="13"/>
  <c r="P228" i="13"/>
  <c r="V228" i="13"/>
  <c r="O228" i="13"/>
  <c r="Q228" i="13"/>
  <c r="N228" i="13"/>
  <c r="T228" i="13"/>
  <c r="S227" i="13"/>
  <c r="P227" i="13"/>
  <c r="V227" i="13"/>
  <c r="O227" i="13"/>
  <c r="Q227" i="13"/>
  <c r="N227" i="13"/>
  <c r="T227" i="13"/>
  <c r="S226" i="13"/>
  <c r="P226" i="13"/>
  <c r="O226" i="13"/>
  <c r="Q226" i="13"/>
  <c r="N226" i="13"/>
  <c r="T226" i="13"/>
  <c r="S225" i="13"/>
  <c r="P225" i="13"/>
  <c r="V225" i="13"/>
  <c r="O225" i="13"/>
  <c r="Q225" i="13"/>
  <c r="N225" i="13"/>
  <c r="T225" i="13"/>
  <c r="S224" i="13"/>
  <c r="P224" i="13"/>
  <c r="R224" i="13"/>
  <c r="O224" i="13"/>
  <c r="Q224" i="13"/>
  <c r="N224" i="13"/>
  <c r="T224" i="13"/>
  <c r="S223" i="13"/>
  <c r="P223" i="13"/>
  <c r="R223" i="13"/>
  <c r="O223" i="13"/>
  <c r="Q223" i="13"/>
  <c r="N223" i="13"/>
  <c r="T223" i="13"/>
  <c r="S222" i="13"/>
  <c r="P222" i="13"/>
  <c r="O222" i="13"/>
  <c r="Q222" i="13"/>
  <c r="N222" i="13"/>
  <c r="S221" i="13"/>
  <c r="P221" i="13"/>
  <c r="R221" i="13"/>
  <c r="O221" i="13"/>
  <c r="Q221" i="13"/>
  <c r="N221" i="13"/>
  <c r="T221" i="13"/>
  <c r="S220" i="13"/>
  <c r="P220" i="13"/>
  <c r="V220" i="13"/>
  <c r="O220" i="13"/>
  <c r="Q220" i="13"/>
  <c r="N220" i="13"/>
  <c r="T220" i="13"/>
  <c r="S219" i="13"/>
  <c r="P219" i="13"/>
  <c r="V219" i="13"/>
  <c r="O219" i="13"/>
  <c r="Q219" i="13"/>
  <c r="N219" i="13"/>
  <c r="T219" i="13"/>
  <c r="S218" i="13"/>
  <c r="P218" i="13"/>
  <c r="O218" i="13"/>
  <c r="Q218" i="13"/>
  <c r="N218" i="13"/>
  <c r="S217" i="13"/>
  <c r="P217" i="13"/>
  <c r="V217" i="13"/>
  <c r="O217" i="13"/>
  <c r="Q217" i="13"/>
  <c r="N217" i="13"/>
  <c r="T217" i="13"/>
  <c r="S216" i="13"/>
  <c r="P216" i="13"/>
  <c r="R216" i="13"/>
  <c r="O216" i="13"/>
  <c r="Q216" i="13"/>
  <c r="N216" i="13"/>
  <c r="T216" i="13"/>
  <c r="S215" i="13"/>
  <c r="P215" i="13"/>
  <c r="R215" i="13"/>
  <c r="O215" i="13"/>
  <c r="Q215" i="13"/>
  <c r="N215" i="13"/>
  <c r="T215" i="13"/>
  <c r="S214" i="13"/>
  <c r="P214" i="13"/>
  <c r="V214" i="13"/>
  <c r="O214" i="13"/>
  <c r="Q214" i="13"/>
  <c r="N214" i="13"/>
  <c r="T214" i="13"/>
  <c r="S213" i="13"/>
  <c r="P213" i="13"/>
  <c r="V213" i="13"/>
  <c r="O213" i="13"/>
  <c r="Q213" i="13"/>
  <c r="N213" i="13"/>
  <c r="T213" i="13"/>
  <c r="S212" i="13"/>
  <c r="P212" i="13"/>
  <c r="V212" i="13"/>
  <c r="O212" i="13"/>
  <c r="N212" i="13"/>
  <c r="T212" i="13"/>
  <c r="S211" i="13"/>
  <c r="P211" i="13"/>
  <c r="V211" i="13"/>
  <c r="O211" i="13"/>
  <c r="Q211" i="13"/>
  <c r="N211" i="13"/>
  <c r="T211" i="13"/>
  <c r="S210" i="13"/>
  <c r="P210" i="13"/>
  <c r="R210" i="13"/>
  <c r="O210" i="13"/>
  <c r="Q210" i="13"/>
  <c r="N210" i="13"/>
  <c r="T210" i="13"/>
  <c r="S209" i="13"/>
  <c r="P209" i="13"/>
  <c r="V209" i="13"/>
  <c r="O209" i="13"/>
  <c r="N209" i="13"/>
  <c r="S208" i="13"/>
  <c r="P208" i="13"/>
  <c r="R208" i="13"/>
  <c r="O208" i="13"/>
  <c r="N208" i="13"/>
  <c r="T208" i="13"/>
  <c r="S207" i="13"/>
  <c r="P207" i="13"/>
  <c r="R207" i="13"/>
  <c r="O207" i="13"/>
  <c r="Q207" i="13"/>
  <c r="N207" i="13"/>
  <c r="S206" i="13"/>
  <c r="P206" i="13"/>
  <c r="O206" i="13"/>
  <c r="N206" i="13"/>
  <c r="T206" i="13"/>
  <c r="S205" i="13"/>
  <c r="P205" i="13"/>
  <c r="V205" i="13"/>
  <c r="O205" i="13"/>
  <c r="Q205" i="13"/>
  <c r="N205" i="13"/>
  <c r="T205" i="13"/>
  <c r="S204" i="13"/>
  <c r="P204" i="13"/>
  <c r="V204" i="13"/>
  <c r="O204" i="13"/>
  <c r="Q204" i="13"/>
  <c r="N204" i="13"/>
  <c r="T204" i="13"/>
  <c r="S203" i="13"/>
  <c r="P203" i="13"/>
  <c r="V203" i="13"/>
  <c r="O203" i="13"/>
  <c r="Q203" i="13"/>
  <c r="N203" i="13"/>
  <c r="T203" i="13"/>
  <c r="S202" i="13"/>
  <c r="P202" i="13"/>
  <c r="R202" i="13"/>
  <c r="O202" i="13"/>
  <c r="Q202" i="13"/>
  <c r="N202" i="13"/>
  <c r="T202" i="13"/>
  <c r="S201" i="13"/>
  <c r="P201" i="13"/>
  <c r="V201" i="13"/>
  <c r="O201" i="13"/>
  <c r="N201" i="13"/>
  <c r="T201" i="13"/>
  <c r="S200" i="13"/>
  <c r="P200" i="13"/>
  <c r="R200" i="13"/>
  <c r="O200" i="13"/>
  <c r="Q200" i="13"/>
  <c r="U200" i="13"/>
  <c r="X200" i="13"/>
  <c r="N200" i="13"/>
  <c r="T200" i="13"/>
  <c r="S199" i="13"/>
  <c r="P199" i="13"/>
  <c r="R199" i="13"/>
  <c r="O199" i="13"/>
  <c r="N199" i="13"/>
  <c r="T199" i="13"/>
  <c r="S198" i="13"/>
  <c r="P198" i="13"/>
  <c r="O198" i="13"/>
  <c r="N198" i="13"/>
  <c r="S197" i="13"/>
  <c r="P197" i="13"/>
  <c r="O197" i="13"/>
  <c r="Q197" i="13"/>
  <c r="N197" i="13"/>
  <c r="S196" i="13"/>
  <c r="P196" i="13"/>
  <c r="V196" i="13"/>
  <c r="O196" i="13"/>
  <c r="N196" i="13"/>
  <c r="T196" i="13"/>
  <c r="S195" i="13"/>
  <c r="P195" i="13"/>
  <c r="R195" i="13"/>
  <c r="O195" i="13"/>
  <c r="Q195" i="13"/>
  <c r="N195" i="13"/>
  <c r="T195" i="13"/>
  <c r="S194" i="13"/>
  <c r="P194" i="13"/>
  <c r="O194" i="13"/>
  <c r="N194" i="13"/>
  <c r="T194" i="13"/>
  <c r="S193" i="13"/>
  <c r="P193" i="13"/>
  <c r="V193" i="13"/>
  <c r="O193" i="13"/>
  <c r="Q193" i="13"/>
  <c r="N193" i="13"/>
  <c r="T193" i="13"/>
  <c r="S192" i="13"/>
  <c r="P192" i="13"/>
  <c r="R192" i="13"/>
  <c r="O192" i="13"/>
  <c r="Q192" i="13"/>
  <c r="N192" i="13"/>
  <c r="T192" i="13"/>
  <c r="S191" i="13"/>
  <c r="P191" i="13"/>
  <c r="V191" i="13"/>
  <c r="O191" i="13"/>
  <c r="Q191" i="13"/>
  <c r="N191" i="13"/>
  <c r="T191" i="13"/>
  <c r="S190" i="13"/>
  <c r="P190" i="13"/>
  <c r="V190" i="13"/>
  <c r="O190" i="13"/>
  <c r="N190" i="13"/>
  <c r="T190" i="13"/>
  <c r="S189" i="13"/>
  <c r="P189" i="13"/>
  <c r="V189" i="13"/>
  <c r="O189" i="13"/>
  <c r="Q189" i="13"/>
  <c r="N189" i="13"/>
  <c r="T189" i="13"/>
  <c r="S188" i="13"/>
  <c r="P188" i="13"/>
  <c r="V188" i="13"/>
  <c r="O188" i="13"/>
  <c r="N188" i="13"/>
  <c r="T188" i="13"/>
  <c r="S187" i="13"/>
  <c r="P187" i="13"/>
  <c r="R187" i="13"/>
  <c r="O187" i="13"/>
  <c r="Q187" i="13"/>
  <c r="N187" i="13"/>
  <c r="T187" i="13"/>
  <c r="S186" i="13"/>
  <c r="P186" i="13"/>
  <c r="R186" i="13"/>
  <c r="O186" i="13"/>
  <c r="Q186" i="13"/>
  <c r="U186" i="13"/>
  <c r="X186" i="13"/>
  <c r="N186" i="13"/>
  <c r="T186" i="13"/>
  <c r="S185" i="13"/>
  <c r="P185" i="13"/>
  <c r="V185" i="13"/>
  <c r="O185" i="13"/>
  <c r="N185" i="13"/>
  <c r="T185" i="13"/>
  <c r="S184" i="13"/>
  <c r="P184" i="13"/>
  <c r="R184" i="13"/>
  <c r="O184" i="13"/>
  <c r="Q184" i="13"/>
  <c r="U184" i="13"/>
  <c r="X184" i="13"/>
  <c r="N184" i="13"/>
  <c r="S183" i="13"/>
  <c r="P183" i="13"/>
  <c r="V183" i="13"/>
  <c r="O183" i="13"/>
  <c r="Q183" i="13"/>
  <c r="N183" i="13"/>
  <c r="T183" i="13"/>
  <c r="S182" i="13"/>
  <c r="P182" i="13"/>
  <c r="V182" i="13"/>
  <c r="O182" i="13"/>
  <c r="Q182" i="13"/>
  <c r="N182" i="13"/>
  <c r="S181" i="13"/>
  <c r="P181" i="13"/>
  <c r="V181" i="13"/>
  <c r="O181" i="13"/>
  <c r="N181" i="13"/>
  <c r="T181" i="13"/>
  <c r="S180" i="13"/>
  <c r="P180" i="13"/>
  <c r="V180" i="13"/>
  <c r="O180" i="13"/>
  <c r="Q180" i="13"/>
  <c r="N180" i="13"/>
  <c r="S179" i="13"/>
  <c r="P179" i="13"/>
  <c r="R179" i="13"/>
  <c r="O179" i="13"/>
  <c r="Q179" i="13"/>
  <c r="N179" i="13"/>
  <c r="T179" i="13"/>
  <c r="S178" i="13"/>
  <c r="P178" i="13"/>
  <c r="R178" i="13"/>
  <c r="O178" i="13"/>
  <c r="Q178" i="13"/>
  <c r="N178" i="13"/>
  <c r="T178" i="13"/>
  <c r="S177" i="13"/>
  <c r="P177" i="13"/>
  <c r="R177" i="13"/>
  <c r="O177" i="13"/>
  <c r="W177" i="13"/>
  <c r="N177" i="13"/>
  <c r="T177" i="13"/>
  <c r="S176" i="13"/>
  <c r="P176" i="13"/>
  <c r="V176" i="13"/>
  <c r="O176" i="13"/>
  <c r="N176" i="13"/>
  <c r="T176" i="13"/>
  <c r="S175" i="13"/>
  <c r="P175" i="13"/>
  <c r="V175" i="13"/>
  <c r="O175" i="13"/>
  <c r="N175" i="13"/>
  <c r="T175" i="13"/>
  <c r="S174" i="13"/>
  <c r="P174" i="13"/>
  <c r="V174" i="13"/>
  <c r="O174" i="13"/>
  <c r="Q174" i="13"/>
  <c r="N174" i="13"/>
  <c r="T174" i="13"/>
  <c r="S173" i="13"/>
  <c r="P173" i="13"/>
  <c r="V173" i="13"/>
  <c r="O173" i="13"/>
  <c r="Q173" i="13"/>
  <c r="N173" i="13"/>
  <c r="T173" i="13"/>
  <c r="S172" i="13"/>
  <c r="P172" i="13"/>
  <c r="V172" i="13"/>
  <c r="O172" i="13"/>
  <c r="N172" i="13"/>
  <c r="T172" i="13"/>
  <c r="S171" i="13"/>
  <c r="P171" i="13"/>
  <c r="R171" i="13"/>
  <c r="O171" i="13"/>
  <c r="N171" i="13"/>
  <c r="T171" i="13"/>
  <c r="S170" i="13"/>
  <c r="P170" i="13"/>
  <c r="R170" i="13"/>
  <c r="O170" i="13"/>
  <c r="Q170" i="13"/>
  <c r="N170" i="13"/>
  <c r="T170" i="13"/>
  <c r="S169" i="13"/>
  <c r="P169" i="13"/>
  <c r="V169" i="13"/>
  <c r="O169" i="13"/>
  <c r="N169" i="13"/>
  <c r="T169" i="13"/>
  <c r="S168" i="13"/>
  <c r="P168" i="13"/>
  <c r="R168" i="13"/>
  <c r="O168" i="13"/>
  <c r="N168" i="13"/>
  <c r="T168" i="13"/>
  <c r="S167" i="13"/>
  <c r="P167" i="13"/>
  <c r="V167" i="13"/>
  <c r="O167" i="13"/>
  <c r="Q167" i="13"/>
  <c r="N167" i="13"/>
  <c r="T167" i="13"/>
  <c r="S166" i="13"/>
  <c r="P166" i="13"/>
  <c r="V166" i="13"/>
  <c r="O166" i="13"/>
  <c r="Q166" i="13"/>
  <c r="N166" i="13"/>
  <c r="T166" i="13"/>
  <c r="S165" i="13"/>
  <c r="P165" i="13"/>
  <c r="V165" i="13"/>
  <c r="O165" i="13"/>
  <c r="Q165" i="13"/>
  <c r="N165" i="13"/>
  <c r="T165" i="13"/>
  <c r="S164" i="13"/>
  <c r="P164" i="13"/>
  <c r="O164" i="13"/>
  <c r="Q164" i="13"/>
  <c r="N164" i="13"/>
  <c r="T164" i="13"/>
  <c r="S163" i="13"/>
  <c r="P163" i="13"/>
  <c r="R163" i="13"/>
  <c r="O163" i="13"/>
  <c r="Q163" i="13"/>
  <c r="N163" i="13"/>
  <c r="T163" i="13"/>
  <c r="S162" i="13"/>
  <c r="P162" i="13"/>
  <c r="R162" i="13"/>
  <c r="O162" i="13"/>
  <c r="Q162" i="13"/>
  <c r="N162" i="13"/>
  <c r="T162" i="13"/>
  <c r="S161" i="13"/>
  <c r="P161" i="13"/>
  <c r="V161" i="13"/>
  <c r="O161" i="13"/>
  <c r="N161" i="13"/>
  <c r="T161" i="13"/>
  <c r="S160" i="13"/>
  <c r="P160" i="13"/>
  <c r="R160" i="13"/>
  <c r="O160" i="13"/>
  <c r="Q160" i="13"/>
  <c r="U160" i="13"/>
  <c r="X160" i="13"/>
  <c r="N160" i="13"/>
  <c r="T160" i="13"/>
  <c r="S159" i="13"/>
  <c r="P159" i="13"/>
  <c r="V159" i="13"/>
  <c r="O159" i="13"/>
  <c r="N159" i="13"/>
  <c r="T159" i="13"/>
  <c r="S158" i="13"/>
  <c r="P158" i="13"/>
  <c r="V158" i="13"/>
  <c r="O158" i="13"/>
  <c r="Q158" i="13"/>
  <c r="N158" i="13"/>
  <c r="T158" i="13"/>
  <c r="S157" i="13"/>
  <c r="P157" i="13"/>
  <c r="V157" i="13"/>
  <c r="O157" i="13"/>
  <c r="N157" i="13"/>
  <c r="T157" i="13"/>
  <c r="S156" i="13"/>
  <c r="P156" i="13"/>
  <c r="V156" i="13"/>
  <c r="O156" i="13"/>
  <c r="Q156" i="13"/>
  <c r="N156" i="13"/>
  <c r="T156" i="13"/>
  <c r="S155" i="13"/>
  <c r="P155" i="13"/>
  <c r="R155" i="13"/>
  <c r="O155" i="13"/>
  <c r="N155" i="13"/>
  <c r="T155" i="13"/>
  <c r="S154" i="13"/>
  <c r="P154" i="13"/>
  <c r="R154" i="13"/>
  <c r="O154" i="13"/>
  <c r="N154" i="13"/>
  <c r="T154" i="13"/>
  <c r="S153" i="13"/>
  <c r="P153" i="13"/>
  <c r="V153" i="13"/>
  <c r="O153" i="13"/>
  <c r="N153" i="13"/>
  <c r="T153" i="13"/>
  <c r="S152" i="13"/>
  <c r="P152" i="13"/>
  <c r="O152" i="13"/>
  <c r="N152" i="13"/>
  <c r="T152" i="13"/>
  <c r="S151" i="13"/>
  <c r="P151" i="13"/>
  <c r="V151" i="13"/>
  <c r="O151" i="13"/>
  <c r="N151" i="13"/>
  <c r="S150" i="13"/>
  <c r="P150" i="13"/>
  <c r="V150" i="13"/>
  <c r="O150" i="13"/>
  <c r="Q150" i="13"/>
  <c r="N150" i="13"/>
  <c r="T150" i="13"/>
  <c r="S149" i="13"/>
  <c r="P149" i="13"/>
  <c r="O149" i="13"/>
  <c r="N149" i="13"/>
  <c r="T149" i="13"/>
  <c r="S148" i="13"/>
  <c r="P148" i="13"/>
  <c r="V148" i="13"/>
  <c r="O148" i="13"/>
  <c r="N148" i="13"/>
  <c r="T148" i="13"/>
  <c r="S147" i="13"/>
  <c r="P147" i="13"/>
  <c r="R147" i="13"/>
  <c r="O147" i="13"/>
  <c r="N147" i="13"/>
  <c r="S146" i="13"/>
  <c r="P146" i="13"/>
  <c r="R146" i="13"/>
  <c r="O146" i="13"/>
  <c r="Q146" i="13"/>
  <c r="N146" i="13"/>
  <c r="T146" i="13"/>
  <c r="S145" i="13"/>
  <c r="P145" i="13"/>
  <c r="R145" i="13"/>
  <c r="O145" i="13"/>
  <c r="N145" i="13"/>
  <c r="T145" i="13"/>
  <c r="S144" i="13"/>
  <c r="P144" i="13"/>
  <c r="V144" i="13"/>
  <c r="O144" i="13"/>
  <c r="Q144" i="13"/>
  <c r="N144" i="13"/>
  <c r="S143" i="13"/>
  <c r="P143" i="13"/>
  <c r="V143" i="13"/>
  <c r="O143" i="13"/>
  <c r="N143" i="13"/>
  <c r="T143" i="13"/>
  <c r="S142" i="13"/>
  <c r="P142" i="13"/>
  <c r="O142" i="13"/>
  <c r="Q142" i="13"/>
  <c r="N142" i="13"/>
  <c r="T142" i="13"/>
  <c r="S141" i="13"/>
  <c r="P141" i="13"/>
  <c r="V141" i="13"/>
  <c r="O141" i="13"/>
  <c r="Q141" i="13"/>
  <c r="N141" i="13"/>
  <c r="T141" i="13"/>
  <c r="S140" i="13"/>
  <c r="P140" i="13"/>
  <c r="V140" i="13"/>
  <c r="O140" i="13"/>
  <c r="W140" i="13"/>
  <c r="N140" i="13"/>
  <c r="T140" i="13"/>
  <c r="S139" i="13"/>
  <c r="P139" i="13"/>
  <c r="R139" i="13"/>
  <c r="O139" i="13"/>
  <c r="W139" i="13"/>
  <c r="N139" i="13"/>
  <c r="T139" i="13"/>
  <c r="S138" i="13"/>
  <c r="P138" i="13"/>
  <c r="R138" i="13"/>
  <c r="O138" i="13"/>
  <c r="Q138" i="13"/>
  <c r="N138" i="13"/>
  <c r="S137" i="13"/>
  <c r="P137" i="13"/>
  <c r="V137" i="13"/>
  <c r="O137" i="13"/>
  <c r="N137" i="13"/>
  <c r="T137" i="13"/>
  <c r="S136" i="13"/>
  <c r="P136" i="13"/>
  <c r="O136" i="13"/>
  <c r="Q136" i="13"/>
  <c r="N136" i="13"/>
  <c r="S135" i="13"/>
  <c r="P135" i="13"/>
  <c r="V135" i="13"/>
  <c r="O135" i="13"/>
  <c r="Q135" i="13"/>
  <c r="N135" i="13"/>
  <c r="T135" i="13"/>
  <c r="S134" i="13"/>
  <c r="P134" i="13"/>
  <c r="V134" i="13"/>
  <c r="O134" i="13"/>
  <c r="Q134" i="13"/>
  <c r="N134" i="13"/>
  <c r="T134" i="13"/>
  <c r="S133" i="13"/>
  <c r="P133" i="13"/>
  <c r="R133" i="13"/>
  <c r="O133" i="13"/>
  <c r="Q133" i="13"/>
  <c r="N133" i="13"/>
  <c r="T133" i="13"/>
  <c r="S132" i="13"/>
  <c r="P132" i="13"/>
  <c r="V132" i="13"/>
  <c r="O132" i="13"/>
  <c r="Q132" i="13"/>
  <c r="N132" i="13"/>
  <c r="T132" i="13"/>
  <c r="S131" i="13"/>
  <c r="P131" i="13"/>
  <c r="O131" i="13"/>
  <c r="N131" i="13"/>
  <c r="T131" i="13"/>
  <c r="S130" i="13"/>
  <c r="P130" i="13"/>
  <c r="R130" i="13"/>
  <c r="O130" i="13"/>
  <c r="N130" i="13"/>
  <c r="T130" i="13"/>
  <c r="S129" i="13"/>
  <c r="P129" i="13"/>
  <c r="V129" i="13"/>
  <c r="O129" i="13"/>
  <c r="N129" i="13"/>
  <c r="T129" i="13"/>
  <c r="S128" i="13"/>
  <c r="P128" i="13"/>
  <c r="V128" i="13"/>
  <c r="O128" i="13"/>
  <c r="N128" i="13"/>
  <c r="T128" i="13"/>
  <c r="S127" i="13"/>
  <c r="P127" i="13"/>
  <c r="V127" i="13"/>
  <c r="O127" i="13"/>
  <c r="N127" i="13"/>
  <c r="T127" i="13"/>
  <c r="S126" i="13"/>
  <c r="P126" i="13"/>
  <c r="V126" i="13"/>
  <c r="O126" i="13"/>
  <c r="Q126" i="13"/>
  <c r="N126" i="13"/>
  <c r="T126" i="13"/>
  <c r="S125" i="13"/>
  <c r="P125" i="13"/>
  <c r="R125" i="13"/>
  <c r="O125" i="13"/>
  <c r="Q125" i="13"/>
  <c r="N125" i="13"/>
  <c r="T125" i="13"/>
  <c r="S124" i="13"/>
  <c r="P124" i="13"/>
  <c r="V124" i="13"/>
  <c r="O124" i="13"/>
  <c r="Q124" i="13"/>
  <c r="N124" i="13"/>
  <c r="T124" i="13"/>
  <c r="S123" i="13"/>
  <c r="P123" i="13"/>
  <c r="O123" i="13"/>
  <c r="N123" i="13"/>
  <c r="T123" i="13"/>
  <c r="S122" i="13"/>
  <c r="P122" i="13"/>
  <c r="R122" i="13"/>
  <c r="O122" i="13"/>
  <c r="Q122" i="13"/>
  <c r="N122" i="13"/>
  <c r="T122" i="13"/>
  <c r="S121" i="13"/>
  <c r="P121" i="13"/>
  <c r="R121" i="13"/>
  <c r="O121" i="13"/>
  <c r="N121" i="13"/>
  <c r="T121" i="13"/>
  <c r="S120" i="13"/>
  <c r="P120" i="13"/>
  <c r="R120" i="13"/>
  <c r="O120" i="13"/>
  <c r="W120" i="13"/>
  <c r="N120" i="13"/>
  <c r="T120" i="13"/>
  <c r="T119" i="13"/>
  <c r="S119" i="13"/>
  <c r="P119" i="13"/>
  <c r="V119" i="13"/>
  <c r="O119" i="13"/>
  <c r="Q119" i="13"/>
  <c r="N119" i="13"/>
  <c r="S118" i="13"/>
  <c r="P118" i="13"/>
  <c r="V118" i="13"/>
  <c r="O118" i="13"/>
  <c r="N118" i="13"/>
  <c r="T118" i="13"/>
  <c r="S117" i="13"/>
  <c r="P117" i="13"/>
  <c r="R117" i="13"/>
  <c r="O117" i="13"/>
  <c r="N117" i="13"/>
  <c r="T117" i="13"/>
  <c r="S116" i="13"/>
  <c r="P116" i="13"/>
  <c r="O116" i="13"/>
  <c r="Q116" i="13"/>
  <c r="N116" i="13"/>
  <c r="S115" i="13"/>
  <c r="P115" i="13"/>
  <c r="O115" i="13"/>
  <c r="Q115" i="13"/>
  <c r="N115" i="13"/>
  <c r="T115" i="13"/>
  <c r="S114" i="13"/>
  <c r="P114" i="13"/>
  <c r="R114" i="13"/>
  <c r="O114" i="13"/>
  <c r="N114" i="13"/>
  <c r="T114" i="13"/>
  <c r="S113" i="13"/>
  <c r="P113" i="13"/>
  <c r="V113" i="13"/>
  <c r="O113" i="13"/>
  <c r="N113" i="13"/>
  <c r="T113" i="13"/>
  <c r="S112" i="13"/>
  <c r="P112" i="13"/>
  <c r="V112" i="13"/>
  <c r="O112" i="13"/>
  <c r="N112" i="13"/>
  <c r="T112" i="13"/>
  <c r="S111" i="13"/>
  <c r="P111" i="13"/>
  <c r="V111" i="13"/>
  <c r="O111" i="13"/>
  <c r="N111" i="13"/>
  <c r="T111" i="13"/>
  <c r="S110" i="13"/>
  <c r="P110" i="13"/>
  <c r="V110" i="13"/>
  <c r="O110" i="13"/>
  <c r="Q110" i="13"/>
  <c r="N110" i="13"/>
  <c r="T110" i="13"/>
  <c r="S109" i="13"/>
  <c r="P109" i="13"/>
  <c r="V109" i="13"/>
  <c r="O109" i="13"/>
  <c r="Q109" i="13"/>
  <c r="N109" i="13"/>
  <c r="T109" i="13"/>
  <c r="S108" i="13"/>
  <c r="P108" i="13"/>
  <c r="O108" i="13"/>
  <c r="N108" i="13"/>
  <c r="T108" i="13"/>
  <c r="S107" i="13"/>
  <c r="P107" i="13"/>
  <c r="R107" i="13"/>
  <c r="O107" i="13"/>
  <c r="N107" i="13"/>
  <c r="T107" i="13"/>
  <c r="T106" i="13"/>
  <c r="S106" i="13"/>
  <c r="P106" i="13"/>
  <c r="R106" i="13"/>
  <c r="O106" i="13"/>
  <c r="Q106" i="13"/>
  <c r="N106" i="13"/>
  <c r="S105" i="13"/>
  <c r="P105" i="13"/>
  <c r="V105" i="13"/>
  <c r="O105" i="13"/>
  <c r="W105" i="13"/>
  <c r="N105" i="13"/>
  <c r="T105" i="13"/>
  <c r="S104" i="13"/>
  <c r="P104" i="13"/>
  <c r="O104" i="13"/>
  <c r="N104" i="13"/>
  <c r="T104" i="13"/>
  <c r="S103" i="13"/>
  <c r="P103" i="13"/>
  <c r="V103" i="13"/>
  <c r="O103" i="13"/>
  <c r="Q103" i="13"/>
  <c r="N103" i="13"/>
  <c r="T103" i="13"/>
  <c r="S102" i="13"/>
  <c r="P102" i="13"/>
  <c r="V102" i="13"/>
  <c r="O102" i="13"/>
  <c r="Q102" i="13"/>
  <c r="N102" i="13"/>
  <c r="T102" i="13"/>
  <c r="S101" i="13"/>
  <c r="P101" i="13"/>
  <c r="V101" i="13"/>
  <c r="O101" i="13"/>
  <c r="N101" i="13"/>
  <c r="T101" i="13"/>
  <c r="S100" i="13"/>
  <c r="P100" i="13"/>
  <c r="R100" i="13"/>
  <c r="O100" i="13"/>
  <c r="N100" i="13"/>
  <c r="T100" i="13"/>
  <c r="S99" i="13"/>
  <c r="P99" i="13"/>
  <c r="R99" i="13"/>
  <c r="O99" i="13"/>
  <c r="Q99" i="13"/>
  <c r="N99" i="13"/>
  <c r="T99" i="13"/>
  <c r="S98" i="13"/>
  <c r="P98" i="13"/>
  <c r="R98" i="13"/>
  <c r="O98" i="13"/>
  <c r="Q98" i="13"/>
  <c r="N98" i="13"/>
  <c r="T98" i="13"/>
  <c r="S97" i="13"/>
  <c r="P97" i="13"/>
  <c r="V97" i="13"/>
  <c r="O97" i="13"/>
  <c r="Q97" i="13"/>
  <c r="N97" i="13"/>
  <c r="T97" i="13"/>
  <c r="S96" i="13"/>
  <c r="P96" i="13"/>
  <c r="R96" i="13"/>
  <c r="O96" i="13"/>
  <c r="N96" i="13"/>
  <c r="S95" i="13"/>
  <c r="P95" i="13"/>
  <c r="V95" i="13"/>
  <c r="O95" i="13"/>
  <c r="N95" i="13"/>
  <c r="T95" i="13"/>
  <c r="S94" i="13"/>
  <c r="P94" i="13"/>
  <c r="R94" i="13"/>
  <c r="O94" i="13"/>
  <c r="Q94" i="13"/>
  <c r="N94" i="13"/>
  <c r="T94" i="13"/>
  <c r="S93" i="13"/>
  <c r="P93" i="13"/>
  <c r="V93" i="13"/>
  <c r="O93" i="13"/>
  <c r="N93" i="13"/>
  <c r="S92" i="13"/>
  <c r="P92" i="13"/>
  <c r="V92" i="13"/>
  <c r="O92" i="13"/>
  <c r="N92" i="13"/>
  <c r="T92" i="13"/>
  <c r="S91" i="13"/>
  <c r="P91" i="13"/>
  <c r="V91" i="13"/>
  <c r="O91" i="13"/>
  <c r="N91" i="13"/>
  <c r="T91" i="13"/>
  <c r="S90" i="13"/>
  <c r="P90" i="13"/>
  <c r="V90" i="13"/>
  <c r="O90" i="13"/>
  <c r="Q90" i="13"/>
  <c r="N90" i="13"/>
  <c r="T90" i="13"/>
  <c r="S89" i="13"/>
  <c r="P89" i="13"/>
  <c r="V89" i="13"/>
  <c r="O89" i="13"/>
  <c r="Q89" i="13"/>
  <c r="U89" i="13"/>
  <c r="X89" i="13"/>
  <c r="N89" i="13"/>
  <c r="S88" i="13"/>
  <c r="P88" i="13"/>
  <c r="V88" i="13"/>
  <c r="O88" i="13"/>
  <c r="N88" i="13"/>
  <c r="T88" i="13"/>
  <c r="S87" i="13"/>
  <c r="P87" i="13"/>
  <c r="V87" i="13"/>
  <c r="O87" i="13"/>
  <c r="N87" i="13"/>
  <c r="S86" i="13"/>
  <c r="P86" i="13"/>
  <c r="O86" i="13"/>
  <c r="Q86" i="13"/>
  <c r="N86" i="13"/>
  <c r="T86" i="13"/>
  <c r="S85" i="13"/>
  <c r="P85" i="13"/>
  <c r="V85" i="13"/>
  <c r="O85" i="13"/>
  <c r="N85" i="13"/>
  <c r="T85" i="13"/>
  <c r="S84" i="13"/>
  <c r="P84" i="13"/>
  <c r="V84" i="13"/>
  <c r="O84" i="13"/>
  <c r="N84" i="13"/>
  <c r="T84" i="13"/>
  <c r="S83" i="13"/>
  <c r="P83" i="13"/>
  <c r="R83" i="13"/>
  <c r="O83" i="13"/>
  <c r="N83" i="13"/>
  <c r="S82" i="13"/>
  <c r="P82" i="13"/>
  <c r="R82" i="13"/>
  <c r="O82" i="13"/>
  <c r="Q82" i="13"/>
  <c r="U82" i="13"/>
  <c r="X82" i="13"/>
  <c r="N82" i="13"/>
  <c r="T82" i="13"/>
  <c r="S81" i="13"/>
  <c r="P81" i="13"/>
  <c r="V81" i="13"/>
  <c r="O81" i="13"/>
  <c r="N81" i="13"/>
  <c r="T81" i="13"/>
  <c r="S80" i="13"/>
  <c r="P80" i="13"/>
  <c r="O80" i="13"/>
  <c r="N80" i="13"/>
  <c r="S79" i="13"/>
  <c r="P79" i="13"/>
  <c r="V79" i="13"/>
  <c r="O79" i="13"/>
  <c r="N79" i="13"/>
  <c r="S78" i="13"/>
  <c r="P78" i="13"/>
  <c r="V78" i="13"/>
  <c r="O78" i="13"/>
  <c r="N78" i="13"/>
  <c r="T78" i="13"/>
  <c r="S77" i="13"/>
  <c r="P77" i="13"/>
  <c r="V77" i="13"/>
  <c r="O77" i="13"/>
  <c r="N77" i="13"/>
  <c r="T77" i="13"/>
  <c r="S76" i="13"/>
  <c r="P76" i="13"/>
  <c r="V76" i="13"/>
  <c r="O76" i="13"/>
  <c r="N76" i="13"/>
  <c r="T76" i="13"/>
  <c r="S75" i="13"/>
  <c r="P75" i="13"/>
  <c r="R75" i="13"/>
  <c r="O75" i="13"/>
  <c r="Q75" i="13"/>
  <c r="N75" i="13"/>
  <c r="T75" i="13"/>
  <c r="S74" i="13"/>
  <c r="P74" i="13"/>
  <c r="R74" i="13"/>
  <c r="O74" i="13"/>
  <c r="Q74" i="13"/>
  <c r="N74" i="13"/>
  <c r="T74" i="13"/>
  <c r="S73" i="13"/>
  <c r="P73" i="13"/>
  <c r="O73" i="13"/>
  <c r="N73" i="13"/>
  <c r="T73" i="13"/>
  <c r="S72" i="13"/>
  <c r="P72" i="13"/>
  <c r="V72" i="13"/>
  <c r="O72" i="13"/>
  <c r="N72" i="13"/>
  <c r="T72" i="13"/>
  <c r="S71" i="13"/>
  <c r="P71" i="13"/>
  <c r="V71" i="13"/>
  <c r="O71" i="13"/>
  <c r="N71" i="13"/>
  <c r="W71" i="13"/>
  <c r="S70" i="13"/>
  <c r="P70" i="13"/>
  <c r="V70" i="13"/>
  <c r="O70" i="13"/>
  <c r="Q70" i="13"/>
  <c r="N70" i="13"/>
  <c r="S69" i="13"/>
  <c r="P69" i="13"/>
  <c r="R69" i="13"/>
  <c r="O69" i="13"/>
  <c r="N69" i="13"/>
  <c r="T69" i="13"/>
  <c r="S68" i="13"/>
  <c r="P68" i="13"/>
  <c r="V68" i="13"/>
  <c r="O68" i="13"/>
  <c r="N68" i="13"/>
  <c r="T68" i="13"/>
  <c r="S67" i="13"/>
  <c r="P67" i="13"/>
  <c r="R67" i="13"/>
  <c r="O67" i="13"/>
  <c r="N67" i="13"/>
  <c r="T67" i="13"/>
  <c r="S66" i="13"/>
  <c r="P66" i="13"/>
  <c r="O66" i="13"/>
  <c r="Q66" i="13"/>
  <c r="N66" i="13"/>
  <c r="T66" i="13"/>
  <c r="S65" i="13"/>
  <c r="P65" i="13"/>
  <c r="V65" i="13"/>
  <c r="O65" i="13"/>
  <c r="N65" i="13"/>
  <c r="S64" i="13"/>
  <c r="P64" i="13"/>
  <c r="V64" i="13"/>
  <c r="O64" i="13"/>
  <c r="N64" i="13"/>
  <c r="T64" i="13"/>
  <c r="S63" i="13"/>
  <c r="P63" i="13"/>
  <c r="V63" i="13"/>
  <c r="O63" i="13"/>
  <c r="N63" i="13"/>
  <c r="T63" i="13"/>
  <c r="S62" i="13"/>
  <c r="P62" i="13"/>
  <c r="V62" i="13"/>
  <c r="O62" i="13"/>
  <c r="Q62" i="13"/>
  <c r="N62" i="13"/>
  <c r="S61" i="13"/>
  <c r="P61" i="13"/>
  <c r="R61" i="13"/>
  <c r="O61" i="13"/>
  <c r="Q61" i="13"/>
  <c r="N61" i="13"/>
  <c r="T61" i="13"/>
  <c r="S60" i="13"/>
  <c r="P60" i="13"/>
  <c r="V60" i="13"/>
  <c r="O60" i="13"/>
  <c r="Q60" i="13"/>
  <c r="N60" i="13"/>
  <c r="T60" i="13"/>
  <c r="S59" i="13"/>
  <c r="P59" i="13"/>
  <c r="R59" i="13"/>
  <c r="O59" i="13"/>
  <c r="Q59" i="13"/>
  <c r="U59" i="13"/>
  <c r="X59" i="13"/>
  <c r="N59" i="13"/>
  <c r="T59" i="13"/>
  <c r="S58" i="13"/>
  <c r="P58" i="13"/>
  <c r="R58" i="13"/>
  <c r="O58" i="13"/>
  <c r="Q58" i="13"/>
  <c r="U58" i="13"/>
  <c r="X58" i="13"/>
  <c r="N58" i="13"/>
  <c r="T58" i="13"/>
  <c r="S57" i="13"/>
  <c r="P57" i="13"/>
  <c r="R57" i="13"/>
  <c r="O57" i="13"/>
  <c r="N57" i="13"/>
  <c r="T57" i="13"/>
  <c r="S56" i="13"/>
  <c r="P56" i="13"/>
  <c r="O56" i="13"/>
  <c r="Q56" i="13"/>
  <c r="N56" i="13"/>
  <c r="T56" i="13"/>
  <c r="S55" i="13"/>
  <c r="P55" i="13"/>
  <c r="V55" i="13"/>
  <c r="O55" i="13"/>
  <c r="N55" i="13"/>
  <c r="T55" i="13"/>
  <c r="S54" i="13"/>
  <c r="P54" i="13"/>
  <c r="V54" i="13"/>
  <c r="O54" i="13"/>
  <c r="Q54" i="13"/>
  <c r="N54" i="13"/>
  <c r="T54" i="13"/>
  <c r="S53" i="13"/>
  <c r="P53" i="13"/>
  <c r="V53" i="13"/>
  <c r="O53" i="13"/>
  <c r="Q53" i="13"/>
  <c r="U53" i="13"/>
  <c r="X53" i="13"/>
  <c r="N53" i="13"/>
  <c r="T53" i="13"/>
  <c r="S52" i="13"/>
  <c r="P52" i="13"/>
  <c r="V52" i="13"/>
  <c r="O52" i="13"/>
  <c r="Q52" i="13"/>
  <c r="N52" i="13"/>
  <c r="T52" i="13"/>
  <c r="T51" i="13"/>
  <c r="S51" i="13"/>
  <c r="P51" i="13"/>
  <c r="V51" i="13"/>
  <c r="O51" i="13"/>
  <c r="Q51" i="13"/>
  <c r="N51" i="13"/>
  <c r="S50" i="13"/>
  <c r="P50" i="13"/>
  <c r="O50" i="13"/>
  <c r="Q50" i="13"/>
  <c r="N50" i="13"/>
  <c r="T50" i="13"/>
  <c r="S49" i="13"/>
  <c r="P49" i="13"/>
  <c r="R49" i="13"/>
  <c r="O49" i="13"/>
  <c r="N49" i="13"/>
  <c r="S48" i="13"/>
  <c r="P48" i="13"/>
  <c r="V48" i="13"/>
  <c r="O48" i="13"/>
  <c r="N48" i="13"/>
  <c r="T48" i="13"/>
  <c r="S47" i="13"/>
  <c r="P47" i="13"/>
  <c r="V47" i="13"/>
  <c r="O47" i="13"/>
  <c r="N47" i="13"/>
  <c r="T47" i="13"/>
  <c r="S46" i="13"/>
  <c r="P46" i="13"/>
  <c r="V46" i="13"/>
  <c r="O46" i="13"/>
  <c r="Q46" i="13"/>
  <c r="N46" i="13"/>
  <c r="T46" i="13"/>
  <c r="S45" i="13"/>
  <c r="P45" i="13"/>
  <c r="V45" i="13"/>
  <c r="O45" i="13"/>
  <c r="Q45" i="13"/>
  <c r="N45" i="13"/>
  <c r="T45" i="13"/>
  <c r="S44" i="13"/>
  <c r="P44" i="13"/>
  <c r="O44" i="13"/>
  <c r="N44" i="13"/>
  <c r="T44" i="13"/>
  <c r="S43" i="13"/>
  <c r="P43" i="13"/>
  <c r="R43" i="13"/>
  <c r="O43" i="13"/>
  <c r="N43" i="13"/>
  <c r="T43" i="13"/>
  <c r="S42" i="13"/>
  <c r="P42" i="13"/>
  <c r="R42" i="13"/>
  <c r="O42" i="13"/>
  <c r="Q42" i="13"/>
  <c r="N42" i="13"/>
  <c r="T42" i="13"/>
  <c r="S41" i="13"/>
  <c r="P41" i="13"/>
  <c r="O41" i="13"/>
  <c r="W41" i="13"/>
  <c r="N41" i="13"/>
  <c r="T41" i="13"/>
  <c r="S40" i="13"/>
  <c r="P40" i="13"/>
  <c r="R40" i="13"/>
  <c r="O40" i="13"/>
  <c r="N40" i="13"/>
  <c r="S39" i="13"/>
  <c r="P39" i="13"/>
  <c r="V39" i="13"/>
  <c r="O39" i="13"/>
  <c r="N39" i="13"/>
  <c r="T39" i="13"/>
  <c r="S38" i="13"/>
  <c r="P38" i="13"/>
  <c r="V38" i="13"/>
  <c r="O38" i="13"/>
  <c r="Q38" i="13"/>
  <c r="N38" i="13"/>
  <c r="T38" i="13"/>
  <c r="S37" i="13"/>
  <c r="P37" i="13"/>
  <c r="V37" i="13"/>
  <c r="O37" i="13"/>
  <c r="N37" i="13"/>
  <c r="T37" i="13"/>
  <c r="S36" i="13"/>
  <c r="P36" i="13"/>
  <c r="O36" i="13"/>
  <c r="N36" i="13"/>
  <c r="T36" i="13"/>
  <c r="S35" i="13"/>
  <c r="P35" i="13"/>
  <c r="R35" i="13"/>
  <c r="O35" i="13"/>
  <c r="N35" i="13"/>
  <c r="T35" i="13"/>
  <c r="S34" i="13"/>
  <c r="P34" i="13"/>
  <c r="R34" i="13"/>
  <c r="O34" i="13"/>
  <c r="N34" i="13"/>
  <c r="T34" i="13"/>
  <c r="S33" i="13"/>
  <c r="P33" i="13"/>
  <c r="V33" i="13"/>
  <c r="O33" i="13"/>
  <c r="Q33" i="13"/>
  <c r="N33" i="13"/>
  <c r="S32" i="13"/>
  <c r="P32" i="13"/>
  <c r="R32" i="13"/>
  <c r="O32" i="13"/>
  <c r="N32" i="13"/>
  <c r="W32" i="13"/>
  <c r="S31" i="13"/>
  <c r="P31" i="13"/>
  <c r="V31" i="13"/>
  <c r="O31" i="13"/>
  <c r="Q31" i="13"/>
  <c r="N31" i="13"/>
  <c r="T31" i="13"/>
  <c r="S30" i="13"/>
  <c r="P30" i="13"/>
  <c r="R30" i="13"/>
  <c r="O30" i="13"/>
  <c r="Q30" i="13"/>
  <c r="U30" i="13"/>
  <c r="X30" i="13"/>
  <c r="N30" i="13"/>
  <c r="W30" i="13"/>
  <c r="S29" i="13"/>
  <c r="P29" i="13"/>
  <c r="O29" i="13"/>
  <c r="Q29" i="13"/>
  <c r="N29" i="13"/>
  <c r="T29" i="13"/>
  <c r="S28" i="13"/>
  <c r="P28" i="13"/>
  <c r="V28" i="13"/>
  <c r="O28" i="13"/>
  <c r="N28" i="13"/>
  <c r="S27" i="13"/>
  <c r="P27" i="13"/>
  <c r="R27" i="13"/>
  <c r="O27" i="13"/>
  <c r="W27" i="13"/>
  <c r="N27" i="13"/>
  <c r="T27" i="13"/>
  <c r="S26" i="13"/>
  <c r="P26" i="13"/>
  <c r="V26" i="13"/>
  <c r="R26" i="13"/>
  <c r="O26" i="13"/>
  <c r="N26" i="13"/>
  <c r="T26" i="13"/>
  <c r="S25" i="13"/>
  <c r="P25" i="13"/>
  <c r="V25" i="13"/>
  <c r="O25" i="13"/>
  <c r="N25" i="13"/>
  <c r="S24" i="13"/>
  <c r="P24" i="13"/>
  <c r="O24" i="13"/>
  <c r="N24" i="13"/>
  <c r="T24" i="13"/>
  <c r="S23" i="13"/>
  <c r="P23" i="13"/>
  <c r="V23" i="13"/>
  <c r="O23" i="13"/>
  <c r="N23" i="13"/>
  <c r="T23" i="13"/>
  <c r="S22" i="13"/>
  <c r="P22" i="13"/>
  <c r="V22" i="13"/>
  <c r="O22" i="13"/>
  <c r="Q22" i="13"/>
  <c r="N22" i="13"/>
  <c r="T22" i="13"/>
  <c r="S21" i="13"/>
  <c r="P21" i="13"/>
  <c r="O21" i="13"/>
  <c r="Q21" i="13"/>
  <c r="N21" i="13"/>
  <c r="T21" i="13"/>
  <c r="S20" i="13"/>
  <c r="P20" i="13"/>
  <c r="V20" i="13"/>
  <c r="O20" i="13"/>
  <c r="Q20" i="13"/>
  <c r="N20" i="13"/>
  <c r="S19" i="13"/>
  <c r="P19" i="13"/>
  <c r="R19" i="13"/>
  <c r="O19" i="13"/>
  <c r="N19" i="13"/>
  <c r="T19" i="13"/>
  <c r="S18" i="13"/>
  <c r="P18" i="13"/>
  <c r="R18" i="13"/>
  <c r="O18" i="13"/>
  <c r="Q18" i="13"/>
  <c r="N18" i="13"/>
  <c r="T18" i="13"/>
  <c r="S17" i="13"/>
  <c r="P17" i="13"/>
  <c r="R17" i="13"/>
  <c r="O17" i="13"/>
  <c r="Q17" i="13"/>
  <c r="U17" i="13"/>
  <c r="X17" i="13"/>
  <c r="N17" i="13"/>
  <c r="T17" i="13"/>
  <c r="S16" i="13"/>
  <c r="P16" i="13"/>
  <c r="R16" i="13"/>
  <c r="O16" i="13"/>
  <c r="Q16" i="13"/>
  <c r="N16" i="13"/>
  <c r="T16" i="13"/>
  <c r="S15" i="13"/>
  <c r="P15" i="13"/>
  <c r="V15" i="13"/>
  <c r="O15" i="13"/>
  <c r="N15" i="13"/>
  <c r="T15" i="13"/>
  <c r="S14" i="13"/>
  <c r="P14" i="13"/>
  <c r="O14" i="13"/>
  <c r="Q14" i="13"/>
  <c r="N14" i="13"/>
  <c r="T14" i="13"/>
  <c r="J14" i="13"/>
  <c r="S13" i="13"/>
  <c r="P13" i="13"/>
  <c r="R13" i="13"/>
  <c r="O13" i="13"/>
  <c r="Q13" i="13"/>
  <c r="N13" i="13"/>
  <c r="J13" i="13"/>
  <c r="S12" i="13"/>
  <c r="P12" i="13"/>
  <c r="V12" i="13"/>
  <c r="O12" i="13"/>
  <c r="N12" i="13"/>
  <c r="T12" i="13"/>
  <c r="S11" i="13"/>
  <c r="P11" i="13"/>
  <c r="R11" i="13"/>
  <c r="O11" i="13"/>
  <c r="Q11" i="13"/>
  <c r="N11" i="13"/>
  <c r="T11" i="13"/>
  <c r="S10" i="13"/>
  <c r="P10" i="13"/>
  <c r="V10" i="13"/>
  <c r="O10" i="13"/>
  <c r="N10" i="13"/>
  <c r="T10" i="13"/>
  <c r="S9" i="13"/>
  <c r="P9" i="13"/>
  <c r="R9" i="13"/>
  <c r="V9" i="13"/>
  <c r="O9" i="13"/>
  <c r="N9" i="13"/>
  <c r="T9" i="13"/>
  <c r="L9" i="13"/>
  <c r="S8" i="13"/>
  <c r="P8" i="13"/>
  <c r="O8" i="13"/>
  <c r="N8" i="13"/>
  <c r="T8" i="13"/>
  <c r="S7" i="13"/>
  <c r="P7" i="13"/>
  <c r="R7" i="13"/>
  <c r="O7" i="13"/>
  <c r="N7" i="13"/>
  <c r="T7" i="13"/>
  <c r="S6" i="13"/>
  <c r="P6" i="13"/>
  <c r="O6" i="13"/>
  <c r="Q6" i="13"/>
  <c r="N6" i="13"/>
  <c r="S5" i="13"/>
  <c r="P5" i="13"/>
  <c r="V5" i="13"/>
  <c r="O5" i="13"/>
  <c r="Q5" i="13"/>
  <c r="N5" i="13"/>
  <c r="T5" i="13"/>
  <c r="S4" i="13"/>
  <c r="P4" i="13"/>
  <c r="V4" i="13"/>
  <c r="O4" i="13"/>
  <c r="N4" i="13"/>
  <c r="T4" i="13"/>
  <c r="L4" i="13"/>
  <c r="L10" i="13"/>
  <c r="S3" i="13"/>
  <c r="P3" i="13"/>
  <c r="V3" i="13"/>
  <c r="R3" i="13"/>
  <c r="O3" i="13"/>
  <c r="N3" i="13"/>
  <c r="H3" i="13"/>
  <c r="I2" i="13"/>
  <c r="R256" i="13"/>
  <c r="R458" i="13"/>
  <c r="Q614" i="13"/>
  <c r="U614" i="13"/>
  <c r="X614" i="13"/>
  <c r="V686" i="13"/>
  <c r="R10" i="13"/>
  <c r="V364" i="13"/>
  <c r="R505" i="13"/>
  <c r="R128" i="13"/>
  <c r="V221" i="13"/>
  <c r="R245" i="13"/>
  <c r="R365" i="13"/>
  <c r="R383" i="13"/>
  <c r="R412" i="13"/>
  <c r="W451" i="13"/>
  <c r="R459" i="13"/>
  <c r="Q468" i="13"/>
  <c r="R483" i="13"/>
  <c r="V602" i="13"/>
  <c r="Q627" i="13"/>
  <c r="R643" i="13"/>
  <c r="R689" i="13"/>
  <c r="V866" i="13"/>
  <c r="Q868" i="13"/>
  <c r="R964" i="13"/>
  <c r="V1017" i="13"/>
  <c r="V1172" i="13"/>
  <c r="Q43" i="13"/>
  <c r="U43" i="13"/>
  <c r="X43" i="13"/>
  <c r="V49" i="13"/>
  <c r="V69" i="13"/>
  <c r="R176" i="13"/>
  <c r="R277" i="13"/>
  <c r="W278" i="13"/>
  <c r="V295" i="13"/>
  <c r="V321" i="13"/>
  <c r="R356" i="13"/>
  <c r="R359" i="13"/>
  <c r="R367" i="13"/>
  <c r="Q458" i="13"/>
  <c r="R584" i="13"/>
  <c r="R624" i="13"/>
  <c r="V650" i="13"/>
  <c r="V701" i="13"/>
  <c r="R747" i="13"/>
  <c r="R763" i="13"/>
  <c r="R770" i="13"/>
  <c r="V773" i="13"/>
  <c r="R944" i="13"/>
  <c r="R1032" i="13"/>
  <c r="R1208" i="13"/>
  <c r="R1361" i="13"/>
  <c r="V725" i="13"/>
  <c r="R855" i="13"/>
  <c r="V963" i="13"/>
  <c r="R976" i="13"/>
  <c r="R1021" i="13"/>
  <c r="R1073" i="13"/>
  <c r="R1118" i="13"/>
  <c r="R1135" i="13"/>
  <c r="R1308" i="13"/>
  <c r="R132" i="13"/>
  <c r="Q587" i="13"/>
  <c r="V615" i="13"/>
  <c r="W294" i="13"/>
  <c r="R392" i="13"/>
  <c r="R437" i="13"/>
  <c r="R53" i="13"/>
  <c r="V61" i="13"/>
  <c r="R81" i="13"/>
  <c r="R161" i="13"/>
  <c r="W262" i="13"/>
  <c r="R301" i="13"/>
  <c r="V369" i="13"/>
  <c r="W430" i="13"/>
  <c r="R439" i="13"/>
  <c r="Q453" i="13"/>
  <c r="R481" i="13"/>
  <c r="R489" i="13"/>
  <c r="V516" i="13"/>
  <c r="R530" i="13"/>
  <c r="R600" i="13"/>
  <c r="V619" i="13"/>
  <c r="R705" i="13"/>
  <c r="V717" i="13"/>
  <c r="V807" i="13"/>
  <c r="V815" i="13"/>
  <c r="Q830" i="13"/>
  <c r="R846" i="13"/>
  <c r="V932" i="13"/>
  <c r="V989" i="13"/>
  <c r="V1029" i="13"/>
  <c r="W1034" i="13"/>
  <c r="Q1036" i="13"/>
  <c r="V1052" i="13"/>
  <c r="Q1063" i="13"/>
  <c r="R1096" i="13"/>
  <c r="R1132" i="13"/>
  <c r="V1191" i="13"/>
  <c r="R1264" i="13"/>
  <c r="V1275" i="13"/>
  <c r="R1303" i="13"/>
  <c r="V1340" i="13"/>
  <c r="V289" i="13"/>
  <c r="L5" i="13"/>
  <c r="R68" i="13"/>
  <c r="R348" i="13"/>
  <c r="V237" i="13"/>
  <c r="Q315" i="13"/>
  <c r="Q484" i="13"/>
  <c r="V518" i="13"/>
  <c r="V591" i="13"/>
  <c r="Q651" i="13"/>
  <c r="R936" i="13"/>
  <c r="V973" i="13"/>
  <c r="Q1051" i="13"/>
  <c r="Q1111" i="13"/>
  <c r="R1139" i="13"/>
  <c r="V1188" i="13"/>
  <c r="V1210" i="13"/>
  <c r="Q1226" i="13"/>
  <c r="V1279" i="13"/>
  <c r="V1379" i="13"/>
  <c r="R48" i="13"/>
  <c r="R448" i="13"/>
  <c r="R60" i="13"/>
  <c r="R65" i="13"/>
  <c r="R180" i="13"/>
  <c r="R205" i="13"/>
  <c r="R333" i="13"/>
  <c r="R376" i="13"/>
  <c r="R405" i="13"/>
  <c r="R424" i="13"/>
  <c r="V610" i="13"/>
  <c r="R794" i="13"/>
  <c r="R819" i="13"/>
  <c r="W946" i="13"/>
  <c r="W986" i="13"/>
  <c r="R1003" i="13"/>
  <c r="R1033" i="13"/>
  <c r="V1177" i="13"/>
  <c r="V1286" i="13"/>
  <c r="W1317" i="13"/>
  <c r="V1324" i="13"/>
  <c r="V1337" i="13"/>
  <c r="Q1339" i="13"/>
  <c r="U1339" i="13"/>
  <c r="X1339" i="13"/>
  <c r="V1395" i="13"/>
  <c r="V898" i="13"/>
  <c r="R898" i="13"/>
  <c r="Q80" i="13"/>
  <c r="R85" i="13"/>
  <c r="R101" i="13"/>
  <c r="R129" i="13"/>
  <c r="R165" i="13"/>
  <c r="R182" i="13"/>
  <c r="V229" i="13"/>
  <c r="Q242" i="13"/>
  <c r="R268" i="13"/>
  <c r="Q303" i="13"/>
  <c r="U303" i="13"/>
  <c r="X303" i="13"/>
  <c r="V305" i="13"/>
  <c r="R317" i="13"/>
  <c r="W321" i="13"/>
  <c r="R336" i="13"/>
  <c r="R344" i="13"/>
  <c r="Q378" i="13"/>
  <c r="R384" i="13"/>
  <c r="Q387" i="13"/>
  <c r="R400" i="13"/>
  <c r="Q407" i="13"/>
  <c r="R408" i="13"/>
  <c r="Q423" i="13"/>
  <c r="V430" i="13"/>
  <c r="R435" i="13"/>
  <c r="V436" i="13"/>
  <c r="V444" i="13"/>
  <c r="V455" i="13"/>
  <c r="V502" i="13"/>
  <c r="W522" i="13"/>
  <c r="Q522" i="13"/>
  <c r="V698" i="13"/>
  <c r="R698" i="13"/>
  <c r="V722" i="13"/>
  <c r="R722" i="13"/>
  <c r="V803" i="13"/>
  <c r="R803" i="13"/>
  <c r="V985" i="13"/>
  <c r="R985" i="13"/>
  <c r="R1176" i="13"/>
  <c r="V1176" i="13"/>
  <c r="R1220" i="13"/>
  <c r="V1220" i="13"/>
  <c r="R1345" i="13"/>
  <c r="V1345" i="13"/>
  <c r="R1278" i="13"/>
  <c r="V1278" i="13"/>
  <c r="Q128" i="13"/>
  <c r="Q175" i="13"/>
  <c r="V192" i="13"/>
  <c r="Q194" i="13"/>
  <c r="V200" i="13"/>
  <c r="R303" i="13"/>
  <c r="Q319" i="13"/>
  <c r="R407" i="13"/>
  <c r="Q432" i="13"/>
  <c r="R467" i="13"/>
  <c r="V478" i="13"/>
  <c r="W697" i="13"/>
  <c r="Q697" i="13"/>
  <c r="R706" i="13"/>
  <c r="V930" i="13"/>
  <c r="R930" i="13"/>
  <c r="R971" i="13"/>
  <c r="V971" i="13"/>
  <c r="V1064" i="13"/>
  <c r="R1064" i="13"/>
  <c r="V1140" i="13"/>
  <c r="R1140" i="13"/>
  <c r="R172" i="13"/>
  <c r="W180" i="13"/>
  <c r="R285" i="13"/>
  <c r="V429" i="13"/>
  <c r="R498" i="13"/>
  <c r="R506" i="13"/>
  <c r="V535" i="13"/>
  <c r="R535" i="13"/>
  <c r="R594" i="13"/>
  <c r="V594" i="13"/>
  <c r="V842" i="13"/>
  <c r="R842" i="13"/>
  <c r="V897" i="13"/>
  <c r="R897" i="13"/>
  <c r="V1103" i="13"/>
  <c r="R1103" i="13"/>
  <c r="V1291" i="13"/>
  <c r="R1291" i="13"/>
  <c r="V547" i="13"/>
  <c r="R547" i="13"/>
  <c r="W793" i="13"/>
  <c r="Q793" i="13"/>
  <c r="W1108" i="13"/>
  <c r="R238" i="13"/>
  <c r="V249" i="13"/>
  <c r="V328" i="13"/>
  <c r="Q360" i="13"/>
  <c r="V361" i="13"/>
  <c r="W428" i="13"/>
  <c r="V438" i="13"/>
  <c r="V486" i="13"/>
  <c r="Q493" i="13"/>
  <c r="R515" i="13"/>
  <c r="R869" i="13"/>
  <c r="V869" i="13"/>
  <c r="V906" i="13"/>
  <c r="R906" i="13"/>
  <c r="R968" i="13"/>
  <c r="V968" i="13"/>
  <c r="V999" i="13"/>
  <c r="R999" i="13"/>
  <c r="V1013" i="13"/>
  <c r="R1013" i="13"/>
  <c r="R1024" i="13"/>
  <c r="V1024" i="13"/>
  <c r="V1061" i="13"/>
  <c r="R1061" i="13"/>
  <c r="R1236" i="13"/>
  <c r="V1236" i="13"/>
  <c r="W1383" i="13"/>
  <c r="Q1383" i="13"/>
  <c r="V1143" i="13"/>
  <c r="R1143" i="13"/>
  <c r="Q3" i="13"/>
  <c r="Q171" i="13"/>
  <c r="U171" i="13"/>
  <c r="X171" i="13"/>
  <c r="V184" i="13"/>
  <c r="R190" i="13"/>
  <c r="Q198" i="13"/>
  <c r="Q206" i="13"/>
  <c r="V223" i="13"/>
  <c r="R251" i="13"/>
  <c r="V267" i="13"/>
  <c r="V279" i="13"/>
  <c r="Q327" i="13"/>
  <c r="V340" i="13"/>
  <c r="R450" i="13"/>
  <c r="V451" i="13"/>
  <c r="Q456" i="13"/>
  <c r="V470" i="13"/>
  <c r="R495" i="13"/>
  <c r="R503" i="13"/>
  <c r="V543" i="13"/>
  <c r="R543" i="13"/>
  <c r="V551" i="13"/>
  <c r="Q564" i="13"/>
  <c r="W564" i="13"/>
  <c r="R965" i="13"/>
  <c r="V965" i="13"/>
  <c r="R1100" i="13"/>
  <c r="V1207" i="13"/>
  <c r="R1207" i="13"/>
  <c r="Q1355" i="13"/>
  <c r="V933" i="13"/>
  <c r="R933" i="13"/>
  <c r="V1005" i="13"/>
  <c r="R1005" i="13"/>
  <c r="Q76" i="13"/>
  <c r="V121" i="13"/>
  <c r="Q123" i="13"/>
  <c r="W189" i="13"/>
  <c r="V207" i="13"/>
  <c r="R214" i="13"/>
  <c r="W273" i="13"/>
  <c r="R492" i="13"/>
  <c r="V492" i="13"/>
  <c r="V564" i="13"/>
  <c r="R564" i="13"/>
  <c r="Q829" i="13"/>
  <c r="R1179" i="13"/>
  <c r="V1179" i="13"/>
  <c r="W1230" i="13"/>
  <c r="Q1230" i="13"/>
  <c r="R507" i="13"/>
  <c r="R588" i="13"/>
  <c r="V588" i="13"/>
  <c r="V806" i="13"/>
  <c r="R806" i="13"/>
  <c r="W565" i="13"/>
  <c r="W591" i="13"/>
  <c r="V628" i="13"/>
  <c r="Q635" i="13"/>
  <c r="V707" i="13"/>
  <c r="V781" i="13"/>
  <c r="R830" i="13"/>
  <c r="V843" i="13"/>
  <c r="W855" i="13"/>
  <c r="W874" i="13"/>
  <c r="V890" i="13"/>
  <c r="V908" i="13"/>
  <c r="V916" i="13"/>
  <c r="Q971" i="13"/>
  <c r="R972" i="13"/>
  <c r="Q975" i="13"/>
  <c r="R1019" i="13"/>
  <c r="W1021" i="13"/>
  <c r="R1072" i="13"/>
  <c r="Q1150" i="13"/>
  <c r="V1174" i="13"/>
  <c r="W1177" i="13"/>
  <c r="Q1179" i="13"/>
  <c r="V1186" i="13"/>
  <c r="V1244" i="13"/>
  <c r="V1276" i="13"/>
  <c r="R1311" i="13"/>
  <c r="Q1391" i="13"/>
  <c r="R1394" i="13"/>
  <c r="R572" i="13"/>
  <c r="W707" i="13"/>
  <c r="V827" i="13"/>
  <c r="W883" i="13"/>
  <c r="V923" i="13"/>
  <c r="W949" i="13"/>
  <c r="W978" i="13"/>
  <c r="W1010" i="13"/>
  <c r="W1242" i="13"/>
  <c r="R1320" i="13"/>
  <c r="V907" i="13"/>
  <c r="W1038" i="13"/>
  <c r="W1363" i="13"/>
  <c r="R679" i="13"/>
  <c r="R694" i="13"/>
  <c r="W706" i="13"/>
  <c r="R790" i="13"/>
  <c r="R851" i="13"/>
  <c r="R1009" i="13"/>
  <c r="R1057" i="13"/>
  <c r="R1081" i="13"/>
  <c r="R1089" i="13"/>
  <c r="R1119" i="13"/>
  <c r="R1147" i="13"/>
  <c r="R1240" i="13"/>
  <c r="R1258" i="13"/>
  <c r="R1330" i="13"/>
  <c r="R1380" i="13"/>
  <c r="Q772" i="13"/>
  <c r="Q789" i="13"/>
  <c r="V802" i="13"/>
  <c r="R814" i="13"/>
  <c r="V823" i="13"/>
  <c r="W897" i="13"/>
  <c r="V980" i="13"/>
  <c r="V1004" i="13"/>
  <c r="V1023" i="13"/>
  <c r="Q1028" i="13"/>
  <c r="W1037" i="13"/>
  <c r="R1092" i="13"/>
  <c r="W1124" i="13"/>
  <c r="V1136" i="13"/>
  <c r="R1227" i="13"/>
  <c r="V1235" i="13"/>
  <c r="R1242" i="13"/>
  <c r="Q1285" i="13"/>
  <c r="R1298" i="13"/>
  <c r="Q1319" i="13"/>
  <c r="V1325" i="13"/>
  <c r="R1332" i="13"/>
  <c r="R1354" i="13"/>
  <c r="V566" i="13"/>
  <c r="V709" i="13"/>
  <c r="V782" i="13"/>
  <c r="Q798" i="13"/>
  <c r="U798" i="13"/>
  <c r="X798" i="13"/>
  <c r="V799" i="13"/>
  <c r="Q813" i="13"/>
  <c r="V917" i="13"/>
  <c r="R952" i="13"/>
  <c r="R969" i="13"/>
  <c r="V995" i="13"/>
  <c r="R1028" i="13"/>
  <c r="V1107" i="13"/>
  <c r="Q1118" i="13"/>
  <c r="V1127" i="13"/>
  <c r="Q1135" i="13"/>
  <c r="U1135" i="13"/>
  <c r="X1135" i="13"/>
  <c r="R1306" i="13"/>
  <c r="V1339" i="13"/>
  <c r="V1357" i="13"/>
  <c r="V1365" i="13"/>
  <c r="Q1367" i="13"/>
  <c r="U1367" i="13"/>
  <c r="X1367" i="13"/>
  <c r="Q1372" i="13"/>
  <c r="R1402" i="13"/>
  <c r="Q284" i="13"/>
  <c r="U284" i="13"/>
  <c r="X284" i="13"/>
  <c r="W284" i="13"/>
  <c r="W298" i="13"/>
  <c r="Q298" i="13"/>
  <c r="W323" i="13"/>
  <c r="Q323" i="13"/>
  <c r="Q209" i="13"/>
  <c r="R233" i="13"/>
  <c r="V309" i="13"/>
  <c r="R309" i="13"/>
  <c r="W394" i="13"/>
  <c r="Q394" i="13"/>
  <c r="U394" i="13"/>
  <c r="X394" i="13"/>
  <c r="V7" i="13"/>
  <c r="V96" i="13"/>
  <c r="V100" i="13"/>
  <c r="V160" i="13"/>
  <c r="V208" i="13"/>
  <c r="V255" i="13"/>
  <c r="V260" i="13"/>
  <c r="W264" i="13"/>
  <c r="Q264" i="13"/>
  <c r="W270" i="13"/>
  <c r="W297" i="13"/>
  <c r="W314" i="13"/>
  <c r="Q314" i="13"/>
  <c r="U314" i="13"/>
  <c r="X314" i="13"/>
  <c r="Q363" i="13"/>
  <c r="W385" i="13"/>
  <c r="W411" i="13"/>
  <c r="W416" i="13"/>
  <c r="Q416" i="13"/>
  <c r="R526" i="13"/>
  <c r="V526" i="13"/>
  <c r="R599" i="13"/>
  <c r="V599" i="13"/>
  <c r="V1370" i="13"/>
  <c r="R1370" i="13"/>
  <c r="V1377" i="13"/>
  <c r="R1377" i="13"/>
  <c r="R337" i="13"/>
  <c r="V337" i="13"/>
  <c r="R5" i="13"/>
  <c r="Q139" i="13"/>
  <c r="U139" i="13"/>
  <c r="X139" i="13"/>
  <c r="Q275" i="13"/>
  <c r="V40" i="13"/>
  <c r="W197" i="13"/>
  <c r="W212" i="13"/>
  <c r="W217" i="13"/>
  <c r="W220" i="13"/>
  <c r="W225" i="13"/>
  <c r="W228" i="13"/>
  <c r="W233" i="13"/>
  <c r="W258" i="13"/>
  <c r="W260" i="13"/>
  <c r="W261" i="13"/>
  <c r="W281" i="13"/>
  <c r="R332" i="13"/>
  <c r="W345" i="13"/>
  <c r="W347" i="13"/>
  <c r="R372" i="13"/>
  <c r="V380" i="13"/>
  <c r="R380" i="13"/>
  <c r="V416" i="13"/>
  <c r="R416" i="13"/>
  <c r="R423" i="13"/>
  <c r="V423" i="13"/>
  <c r="Q473" i="13"/>
  <c r="W473" i="13"/>
  <c r="R500" i="13"/>
  <c r="V500" i="13"/>
  <c r="V522" i="13"/>
  <c r="R522" i="13"/>
  <c r="W638" i="13"/>
  <c r="Q638" i="13"/>
  <c r="V1025" i="13"/>
  <c r="Q448" i="13"/>
  <c r="W448" i="13"/>
  <c r="R484" i="13"/>
  <c r="V484" i="13"/>
  <c r="W590" i="13"/>
  <c r="Q590" i="13"/>
  <c r="V735" i="13"/>
  <c r="Q737" i="13"/>
  <c r="R957" i="13"/>
  <c r="V957" i="13"/>
  <c r="W959" i="13"/>
  <c r="Q959" i="13"/>
  <c r="Q24" i="13"/>
  <c r="R25" i="13"/>
  <c r="Q67" i="13"/>
  <c r="U67" i="13"/>
  <c r="X67" i="13"/>
  <c r="Q71" i="13"/>
  <c r="R76" i="13"/>
  <c r="Q84" i="13"/>
  <c r="Q88" i="13"/>
  <c r="R89" i="13"/>
  <c r="R93" i="13"/>
  <c r="W104" i="13"/>
  <c r="Q131" i="13"/>
  <c r="R140" i="13"/>
  <c r="R144" i="13"/>
  <c r="Q152" i="13"/>
  <c r="R157" i="13"/>
  <c r="W164" i="13"/>
  <c r="W169" i="13"/>
  <c r="W201" i="13"/>
  <c r="W208" i="13"/>
  <c r="W232" i="13"/>
  <c r="R236" i="13"/>
  <c r="W250" i="13"/>
  <c r="Q250" i="13"/>
  <c r="R263" i="13"/>
  <c r="R276" i="13"/>
  <c r="Q293" i="13"/>
  <c r="W293" i="13"/>
  <c r="R353" i="13"/>
  <c r="V353" i="13"/>
  <c r="R389" i="13"/>
  <c r="V415" i="13"/>
  <c r="R415" i="13"/>
  <c r="W517" i="13"/>
  <c r="Q517" i="13"/>
  <c r="R539" i="13"/>
  <c r="W541" i="13"/>
  <c r="Q541" i="13"/>
  <c r="W561" i="13"/>
  <c r="Q561" i="13"/>
  <c r="R567" i="13"/>
  <c r="V739" i="13"/>
  <c r="R739" i="13"/>
  <c r="V755" i="13"/>
  <c r="R755" i="13"/>
  <c r="R797" i="13"/>
  <c r="W821" i="13"/>
  <c r="Q821" i="13"/>
  <c r="R1155" i="13"/>
  <c r="V1155" i="13"/>
  <c r="Q79" i="13"/>
  <c r="R220" i="13"/>
  <c r="R228" i="13"/>
  <c r="Q290" i="13"/>
  <c r="Q306" i="13"/>
  <c r="Q376" i="13"/>
  <c r="U376" i="13"/>
  <c r="X376" i="13"/>
  <c r="Q415" i="13"/>
  <c r="V514" i="13"/>
  <c r="R514" i="13"/>
  <c r="R635" i="13"/>
  <c r="W710" i="13"/>
  <c r="Q710" i="13"/>
  <c r="V778" i="13"/>
  <c r="R778" i="13"/>
  <c r="Q7" i="13"/>
  <c r="Q23" i="13"/>
  <c r="R28" i="13"/>
  <c r="Q40" i="13"/>
  <c r="R45" i="13"/>
  <c r="W52" i="13"/>
  <c r="W56" i="13"/>
  <c r="Q83" i="13"/>
  <c r="U83" i="13"/>
  <c r="X83" i="13"/>
  <c r="Q87" i="13"/>
  <c r="R92" i="13"/>
  <c r="W99" i="13"/>
  <c r="W103" i="13"/>
  <c r="Q104" i="13"/>
  <c r="R109" i="13"/>
  <c r="W121" i="13"/>
  <c r="Q147" i="13"/>
  <c r="U147" i="13"/>
  <c r="X147" i="13"/>
  <c r="Q151" i="13"/>
  <c r="R156" i="13"/>
  <c r="W163" i="13"/>
  <c r="W167" i="13"/>
  <c r="Q168" i="13"/>
  <c r="U168" i="13"/>
  <c r="X168" i="13"/>
  <c r="R169" i="13"/>
  <c r="R173" i="13"/>
  <c r="W184" i="13"/>
  <c r="R188" i="13"/>
  <c r="R193" i="13"/>
  <c r="W196" i="13"/>
  <c r="W200" i="13"/>
  <c r="Q201" i="13"/>
  <c r="U201" i="13"/>
  <c r="X201" i="13"/>
  <c r="R204" i="13"/>
  <c r="Q208" i="13"/>
  <c r="U208" i="13"/>
  <c r="X208" i="13"/>
  <c r="R211" i="13"/>
  <c r="W214" i="13"/>
  <c r="R219" i="13"/>
  <c r="W223" i="13"/>
  <c r="R227" i="13"/>
  <c r="Q232" i="13"/>
  <c r="U232" i="13"/>
  <c r="X232" i="13"/>
  <c r="R235" i="13"/>
  <c r="W236" i="13"/>
  <c r="W238" i="13"/>
  <c r="V241" i="13"/>
  <c r="W256" i="13"/>
  <c r="V272" i="13"/>
  <c r="W274" i="13"/>
  <c r="Q274" i="13"/>
  <c r="R275" i="13"/>
  <c r="Q305" i="13"/>
  <c r="U305" i="13"/>
  <c r="X305" i="13"/>
  <c r="W311" i="13"/>
  <c r="W330" i="13"/>
  <c r="Q330" i="13"/>
  <c r="U330" i="13"/>
  <c r="X330" i="13"/>
  <c r="W338" i="13"/>
  <c r="Q346" i="13"/>
  <c r="U346" i="13"/>
  <c r="X346" i="13"/>
  <c r="Q368" i="13"/>
  <c r="Q400" i="13"/>
  <c r="V401" i="13"/>
  <c r="W427" i="13"/>
  <c r="Q427" i="13"/>
  <c r="V442" i="13"/>
  <c r="R442" i="13"/>
  <c r="W477" i="13"/>
  <c r="Q477" i="13"/>
  <c r="R494" i="13"/>
  <c r="V494" i="13"/>
  <c r="W509" i="13"/>
  <c r="Q509" i="13"/>
  <c r="Q514" i="13"/>
  <c r="R538" i="13"/>
  <c r="V587" i="13"/>
  <c r="R587" i="13"/>
  <c r="V675" i="13"/>
  <c r="R675" i="13"/>
  <c r="R329" i="13"/>
  <c r="V329" i="13"/>
  <c r="V497" i="13"/>
  <c r="R497" i="13"/>
  <c r="Q28" i="13"/>
  <c r="U28" i="13"/>
  <c r="X28" i="13"/>
  <c r="Q32" i="13"/>
  <c r="U32" i="13"/>
  <c r="X32" i="13"/>
  <c r="R84" i="13"/>
  <c r="R88" i="13"/>
  <c r="Q143" i="13"/>
  <c r="R148" i="13"/>
  <c r="Q188" i="13"/>
  <c r="Q336" i="13"/>
  <c r="U336" i="13"/>
  <c r="X336" i="13"/>
  <c r="W352" i="13"/>
  <c r="Q352" i="13"/>
  <c r="V368" i="13"/>
  <c r="R368" i="13"/>
  <c r="Q386" i="13"/>
  <c r="U386" i="13"/>
  <c r="X386" i="13"/>
  <c r="W494" i="13"/>
  <c r="Q494" i="13"/>
  <c r="W566" i="13"/>
  <c r="Q566" i="13"/>
  <c r="U566" i="13"/>
  <c r="X566" i="13"/>
  <c r="Q630" i="13"/>
  <c r="V680" i="13"/>
  <c r="R680" i="13"/>
  <c r="R703" i="13"/>
  <c r="V703" i="13"/>
  <c r="Q44" i="13"/>
  <c r="Q91" i="13"/>
  <c r="Q95" i="13"/>
  <c r="Q108" i="13"/>
  <c r="Q112" i="13"/>
  <c r="Q159" i="13"/>
  <c r="Q172" i="13"/>
  <c r="U172" i="13"/>
  <c r="X172" i="13"/>
  <c r="Q176" i="13"/>
  <c r="U176" i="13"/>
  <c r="X176" i="13"/>
  <c r="Q185" i="13"/>
  <c r="R201" i="13"/>
  <c r="Q239" i="13"/>
  <c r="T262" i="13"/>
  <c r="Q268" i="13"/>
  <c r="W268" i="13"/>
  <c r="Q283" i="13"/>
  <c r="W301" i="13"/>
  <c r="Q312" i="13"/>
  <c r="V313" i="13"/>
  <c r="V327" i="13"/>
  <c r="R327" i="13"/>
  <c r="W335" i="13"/>
  <c r="Q335" i="13"/>
  <c r="W354" i="13"/>
  <c r="Q354" i="13"/>
  <c r="U354" i="13"/>
  <c r="X354" i="13"/>
  <c r="Q375" i="13"/>
  <c r="U375" i="13"/>
  <c r="X375" i="13"/>
  <c r="W383" i="13"/>
  <c r="Q383" i="13"/>
  <c r="U383" i="13"/>
  <c r="X383" i="13"/>
  <c r="Q403" i="13"/>
  <c r="W424" i="13"/>
  <c r="Q424" i="13"/>
  <c r="Q442" i="13"/>
  <c r="V466" i="13"/>
  <c r="R466" i="13"/>
  <c r="W506" i="13"/>
  <c r="Q506" i="13"/>
  <c r="W553" i="13"/>
  <c r="Q553" i="13"/>
  <c r="W586" i="13"/>
  <c r="Q586" i="13"/>
  <c r="W619" i="13"/>
  <c r="Q619" i="13"/>
  <c r="U619" i="13"/>
  <c r="X619" i="13"/>
  <c r="V620" i="13"/>
  <c r="R668" i="13"/>
  <c r="V668" i="13"/>
  <c r="R377" i="13"/>
  <c r="V377" i="13"/>
  <c r="Q96" i="13"/>
  <c r="U96" i="13"/>
  <c r="X96" i="13"/>
  <c r="R225" i="13"/>
  <c r="Q246" i="13"/>
  <c r="V293" i="13"/>
  <c r="R293" i="13"/>
  <c r="V325" i="13"/>
  <c r="R325" i="13"/>
  <c r="V349" i="13"/>
  <c r="R349" i="13"/>
  <c r="V404" i="13"/>
  <c r="W51" i="13"/>
  <c r="W73" i="13"/>
  <c r="W115" i="13"/>
  <c r="W119" i="13"/>
  <c r="W132" i="13"/>
  <c r="W137" i="13"/>
  <c r="W179" i="13"/>
  <c r="W191" i="13"/>
  <c r="R196" i="13"/>
  <c r="V216" i="13"/>
  <c r="V224" i="13"/>
  <c r="V232" i="13"/>
  <c r="V271" i="13"/>
  <c r="V280" i="13"/>
  <c r="W282" i="13"/>
  <c r="Q282" i="13"/>
  <c r="W299" i="13"/>
  <c r="R341" i="13"/>
  <c r="T369" i="13"/>
  <c r="W369" i="13"/>
  <c r="W402" i="13"/>
  <c r="Q402" i="13"/>
  <c r="U402" i="13"/>
  <c r="X402" i="13"/>
  <c r="R474" i="13"/>
  <c r="V490" i="13"/>
  <c r="R490" i="13"/>
  <c r="R529" i="13"/>
  <c r="R532" i="13"/>
  <c r="V532" i="13"/>
  <c r="Q609" i="13"/>
  <c r="W609" i="13"/>
  <c r="R639" i="13"/>
  <c r="V663" i="13"/>
  <c r="R663" i="13"/>
  <c r="W331" i="13"/>
  <c r="W344" i="13"/>
  <c r="W362" i="13"/>
  <c r="W384" i="13"/>
  <c r="W419" i="13"/>
  <c r="W426" i="13"/>
  <c r="W431" i="13"/>
  <c r="R471" i="13"/>
  <c r="V471" i="13"/>
  <c r="W476" i="13"/>
  <c r="R477" i="13"/>
  <c r="V477" i="13"/>
  <c r="W511" i="13"/>
  <c r="W516" i="13"/>
  <c r="Q516" i="13"/>
  <c r="U516" i="13"/>
  <c r="X516" i="13"/>
  <c r="V537" i="13"/>
  <c r="R537" i="13"/>
  <c r="V546" i="13"/>
  <c r="R546" i="13"/>
  <c r="V563" i="13"/>
  <c r="R563" i="13"/>
  <c r="R604" i="13"/>
  <c r="V604" i="13"/>
  <c r="V648" i="13"/>
  <c r="R648" i="13"/>
  <c r="V670" i="13"/>
  <c r="W694" i="13"/>
  <c r="Q694" i="13"/>
  <c r="V766" i="13"/>
  <c r="R766" i="13"/>
  <c r="R829" i="13"/>
  <c r="V829" i="13"/>
  <c r="Q873" i="13"/>
  <c r="W873" i="13"/>
  <c r="R885" i="13"/>
  <c r="V885" i="13"/>
  <c r="W951" i="13"/>
  <c r="Q951" i="13"/>
  <c r="W272" i="13"/>
  <c r="W279" i="13"/>
  <c r="W304" i="13"/>
  <c r="W339" i="13"/>
  <c r="W351" i="13"/>
  <c r="W379" i="13"/>
  <c r="W391" i="13"/>
  <c r="R397" i="13"/>
  <c r="W410" i="13"/>
  <c r="W463" i="13"/>
  <c r="Q470" i="13"/>
  <c r="U470" i="13"/>
  <c r="X470" i="13"/>
  <c r="R487" i="13"/>
  <c r="V511" i="13"/>
  <c r="R511" i="13"/>
  <c r="R519" i="13"/>
  <c r="V521" i="13"/>
  <c r="R521" i="13"/>
  <c r="W530" i="13"/>
  <c r="Q530" i="13"/>
  <c r="W540" i="13"/>
  <c r="Q540" i="13"/>
  <c r="R575" i="13"/>
  <c r="R580" i="13"/>
  <c r="R667" i="13"/>
  <c r="V667" i="13"/>
  <c r="V714" i="13"/>
  <c r="R714" i="13"/>
  <c r="V734" i="13"/>
  <c r="R734" i="13"/>
  <c r="W805" i="13"/>
  <c r="Q805" i="13"/>
  <c r="V1115" i="13"/>
  <c r="R1115" i="13"/>
  <c r="Q476" i="13"/>
  <c r="V482" i="13"/>
  <c r="R482" i="13"/>
  <c r="W518" i="13"/>
  <c r="Q518" i="13"/>
  <c r="U518" i="13"/>
  <c r="X518" i="13"/>
  <c r="W524" i="13"/>
  <c r="Q524" i="13"/>
  <c r="U524" i="13"/>
  <c r="X524" i="13"/>
  <c r="W536" i="13"/>
  <c r="T536" i="13"/>
  <c r="V554" i="13"/>
  <c r="R554" i="13"/>
  <c r="R574" i="13"/>
  <c r="V574" i="13"/>
  <c r="V583" i="13"/>
  <c r="R626" i="13"/>
  <c r="V626" i="13"/>
  <c r="V655" i="13"/>
  <c r="R655" i="13"/>
  <c r="W683" i="13"/>
  <c r="T683" i="13"/>
  <c r="W721" i="13"/>
  <c r="Q721" i="13"/>
  <c r="R727" i="13"/>
  <c r="V787" i="13"/>
  <c r="R787" i="13"/>
  <c r="R839" i="13"/>
  <c r="V839" i="13"/>
  <c r="W841" i="13"/>
  <c r="Q841" i="13"/>
  <c r="R859" i="13"/>
  <c r="V859" i="13"/>
  <c r="R868" i="13"/>
  <c r="V868" i="13"/>
  <c r="V882" i="13"/>
  <c r="R882" i="13"/>
  <c r="W900" i="13"/>
  <c r="Q900" i="13"/>
  <c r="Q929" i="13"/>
  <c r="W929" i="13"/>
  <c r="Q935" i="13"/>
  <c r="Q472" i="13"/>
  <c r="W472" i="13"/>
  <c r="W533" i="13"/>
  <c r="W542" i="13"/>
  <c r="Q542" i="13"/>
  <c r="R595" i="13"/>
  <c r="V595" i="13"/>
  <c r="W603" i="13"/>
  <c r="Q603" i="13"/>
  <c r="U603" i="13"/>
  <c r="X603" i="13"/>
  <c r="R618" i="13"/>
  <c r="V618" i="13"/>
  <c r="V623" i="13"/>
  <c r="R634" i="13"/>
  <c r="V634" i="13"/>
  <c r="V660" i="13"/>
  <c r="V662" i="13"/>
  <c r="R662" i="13"/>
  <c r="W678" i="13"/>
  <c r="Q678" i="13"/>
  <c r="W742" i="13"/>
  <c r="Q742" i="13"/>
  <c r="Q758" i="13"/>
  <c r="V779" i="13"/>
  <c r="R779" i="13"/>
  <c r="V273" i="13"/>
  <c r="W295" i="13"/>
  <c r="W307" i="13"/>
  <c r="W367" i="13"/>
  <c r="Q370" i="13"/>
  <c r="Q392" i="13"/>
  <c r="U392" i="13"/>
  <c r="X392" i="13"/>
  <c r="V393" i="13"/>
  <c r="W395" i="13"/>
  <c r="Q399" i="13"/>
  <c r="W408" i="13"/>
  <c r="Q418" i="13"/>
  <c r="U418" i="13"/>
  <c r="X418" i="13"/>
  <c r="R421" i="13"/>
  <c r="R425" i="13"/>
  <c r="V425" i="13"/>
  <c r="Q438" i="13"/>
  <c r="U438" i="13"/>
  <c r="X438" i="13"/>
  <c r="V460" i="13"/>
  <c r="Q469" i="13"/>
  <c r="V475" i="13"/>
  <c r="R475" i="13"/>
  <c r="W478" i="13"/>
  <c r="V479" i="13"/>
  <c r="R479" i="13"/>
  <c r="Q488" i="13"/>
  <c r="W488" i="13"/>
  <c r="Q498" i="13"/>
  <c r="U498" i="13"/>
  <c r="X498" i="13"/>
  <c r="V499" i="13"/>
  <c r="Q510" i="13"/>
  <c r="Q520" i="13"/>
  <c r="U520" i="13"/>
  <c r="X520" i="13"/>
  <c r="W520" i="13"/>
  <c r="V534" i="13"/>
  <c r="R542" i="13"/>
  <c r="V542" i="13"/>
  <c r="Q559" i="13"/>
  <c r="U559" i="13"/>
  <c r="X559" i="13"/>
  <c r="Q573" i="13"/>
  <c r="W573" i="13"/>
  <c r="R579" i="13"/>
  <c r="V579" i="13"/>
  <c r="V607" i="13"/>
  <c r="R607" i="13"/>
  <c r="R631" i="13"/>
  <c r="W654" i="13"/>
  <c r="Q654" i="13"/>
  <c r="R659" i="13"/>
  <c r="V659" i="13"/>
  <c r="V671" i="13"/>
  <c r="R671" i="13"/>
  <c r="V683" i="13"/>
  <c r="R683" i="13"/>
  <c r="R751" i="13"/>
  <c r="V751" i="13"/>
  <c r="W753" i="13"/>
  <c r="Q753" i="13"/>
  <c r="R767" i="13"/>
  <c r="V767" i="13"/>
  <c r="W769" i="13"/>
  <c r="Q769" i="13"/>
  <c r="W567" i="13"/>
  <c r="V603" i="13"/>
  <c r="V616" i="13"/>
  <c r="V640" i="13"/>
  <c r="W702" i="13"/>
  <c r="Q702" i="13"/>
  <c r="U702" i="13"/>
  <c r="X702" i="13"/>
  <c r="R710" i="13"/>
  <c r="Q714" i="13"/>
  <c r="W714" i="13"/>
  <c r="V730" i="13"/>
  <c r="R730" i="13"/>
  <c r="R813" i="13"/>
  <c r="V813" i="13"/>
  <c r="Q905" i="13"/>
  <c r="W905" i="13"/>
  <c r="R915" i="13"/>
  <c r="V915" i="13"/>
  <c r="V961" i="13"/>
  <c r="R961" i="13"/>
  <c r="W436" i="13"/>
  <c r="W444" i="13"/>
  <c r="W447" i="13"/>
  <c r="W462" i="13"/>
  <c r="W466" i="13"/>
  <c r="W471" i="13"/>
  <c r="W487" i="13"/>
  <c r="W490" i="13"/>
  <c r="W495" i="13"/>
  <c r="V508" i="13"/>
  <c r="W525" i="13"/>
  <c r="W532" i="13"/>
  <c r="W552" i="13"/>
  <c r="Q567" i="13"/>
  <c r="W574" i="13"/>
  <c r="W577" i="13"/>
  <c r="Q585" i="13"/>
  <c r="W617" i="13"/>
  <c r="Q622" i="13"/>
  <c r="R630" i="13"/>
  <c r="R638" i="13"/>
  <c r="V642" i="13"/>
  <c r="V652" i="13"/>
  <c r="V654" i="13"/>
  <c r="R654" i="13"/>
  <c r="W659" i="13"/>
  <c r="W662" i="13"/>
  <c r="Q662" i="13"/>
  <c r="W667" i="13"/>
  <c r="W670" i="13"/>
  <c r="Q670" i="13"/>
  <c r="U670" i="13"/>
  <c r="X670" i="13"/>
  <c r="W675" i="13"/>
  <c r="V678" i="13"/>
  <c r="R678" i="13"/>
  <c r="Q704" i="13"/>
  <c r="W704" i="13"/>
  <c r="V758" i="13"/>
  <c r="R775" i="13"/>
  <c r="V775" i="13"/>
  <c r="Q809" i="13"/>
  <c r="Q825" i="13"/>
  <c r="W859" i="13"/>
  <c r="Q859" i="13"/>
  <c r="U859" i="13"/>
  <c r="X859" i="13"/>
  <c r="R873" i="13"/>
  <c r="Q889" i="13"/>
  <c r="U889" i="13"/>
  <c r="X889" i="13"/>
  <c r="W889" i="13"/>
  <c r="V935" i="13"/>
  <c r="R935" i="13"/>
  <c r="W943" i="13"/>
  <c r="Q943" i="13"/>
  <c r="R1134" i="13"/>
  <c r="V1134" i="13"/>
  <c r="W713" i="13"/>
  <c r="Q713" i="13"/>
  <c r="R743" i="13"/>
  <c r="V743" i="13"/>
  <c r="W745" i="13"/>
  <c r="Q745" i="13"/>
  <c r="Q750" i="13"/>
  <c r="R805" i="13"/>
  <c r="V805" i="13"/>
  <c r="R821" i="13"/>
  <c r="V821" i="13"/>
  <c r="W836" i="13"/>
  <c r="W838" i="13"/>
  <c r="Q838" i="13"/>
  <c r="W884" i="13"/>
  <c r="Q884" i="13"/>
  <c r="R900" i="13"/>
  <c r="V900" i="13"/>
  <c r="V929" i="13"/>
  <c r="W443" i="13"/>
  <c r="W461" i="13"/>
  <c r="W501" i="13"/>
  <c r="W508" i="13"/>
  <c r="W527" i="13"/>
  <c r="W535" i="13"/>
  <c r="W548" i="13"/>
  <c r="W560" i="13"/>
  <c r="W582" i="13"/>
  <c r="W646" i="13"/>
  <c r="R647" i="13"/>
  <c r="R656" i="13"/>
  <c r="R672" i="13"/>
  <c r="Q682" i="13"/>
  <c r="R731" i="13"/>
  <c r="W845" i="13"/>
  <c r="V865" i="13"/>
  <c r="R865" i="13"/>
  <c r="R877" i="13"/>
  <c r="V877" i="13"/>
  <c r="R893" i="13"/>
  <c r="V893" i="13"/>
  <c r="R924" i="13"/>
  <c r="V924" i="13"/>
  <c r="R977" i="13"/>
  <c r="V977" i="13"/>
  <c r="W1076" i="13"/>
  <c r="Q1076" i="13"/>
  <c r="W568" i="13"/>
  <c r="V644" i="13"/>
  <c r="V646" i="13"/>
  <c r="R646" i="13"/>
  <c r="Q687" i="13"/>
  <c r="U687" i="13"/>
  <c r="X687" i="13"/>
  <c r="W687" i="13"/>
  <c r="V695" i="13"/>
  <c r="R695" i="13"/>
  <c r="Q703" i="13"/>
  <c r="U703" i="13"/>
  <c r="X703" i="13"/>
  <c r="W718" i="13"/>
  <c r="Q718" i="13"/>
  <c r="R759" i="13"/>
  <c r="V759" i="13"/>
  <c r="W761" i="13"/>
  <c r="Q761" i="13"/>
  <c r="R771" i="13"/>
  <c r="Q788" i="13"/>
  <c r="W788" i="13"/>
  <c r="Q817" i="13"/>
  <c r="R845" i="13"/>
  <c r="V845" i="13"/>
  <c r="W923" i="13"/>
  <c r="Q923" i="13"/>
  <c r="Q1003" i="13"/>
  <c r="U1003" i="13"/>
  <c r="X1003" i="13"/>
  <c r="W1003" i="13"/>
  <c r="V1068" i="13"/>
  <c r="R1068" i="13"/>
  <c r="W725" i="13"/>
  <c r="W729" i="13"/>
  <c r="W777" i="13"/>
  <c r="Q828" i="13"/>
  <c r="W828" i="13"/>
  <c r="R884" i="13"/>
  <c r="V884" i="13"/>
  <c r="W892" i="13"/>
  <c r="W899" i="13"/>
  <c r="Q899" i="13"/>
  <c r="Q909" i="13"/>
  <c r="W920" i="13"/>
  <c r="V943" i="13"/>
  <c r="R943" i="13"/>
  <c r="Q956" i="13"/>
  <c r="W983" i="13"/>
  <c r="Q983" i="13"/>
  <c r="W1067" i="13"/>
  <c r="Q1067" i="13"/>
  <c r="V1097" i="13"/>
  <c r="R1097" i="13"/>
  <c r="V1099" i="13"/>
  <c r="R1099" i="13"/>
  <c r="W1154" i="13"/>
  <c r="Q1154" i="13"/>
  <c r="V1300" i="13"/>
  <c r="R1300" i="13"/>
  <c r="W699" i="13"/>
  <c r="W701" i="13"/>
  <c r="W785" i="13"/>
  <c r="R786" i="13"/>
  <c r="R854" i="13"/>
  <c r="R867" i="13"/>
  <c r="V867" i="13"/>
  <c r="W872" i="13"/>
  <c r="R876" i="13"/>
  <c r="V876" i="13"/>
  <c r="R892" i="13"/>
  <c r="V892" i="13"/>
  <c r="R931" i="13"/>
  <c r="V931" i="13"/>
  <c r="Q934" i="13"/>
  <c r="W934" i="13"/>
  <c r="V956" i="13"/>
  <c r="R956" i="13"/>
  <c r="R981" i="13"/>
  <c r="V981" i="13"/>
  <c r="W991" i="13"/>
  <c r="Q991" i="13"/>
  <c r="Q1061" i="13"/>
  <c r="U1061" i="13"/>
  <c r="X1061" i="13"/>
  <c r="W1061" i="13"/>
  <c r="W690" i="13"/>
  <c r="R691" i="13"/>
  <c r="W715" i="13"/>
  <c r="R718" i="13"/>
  <c r="Q725" i="13"/>
  <c r="U725" i="13"/>
  <c r="X725" i="13"/>
  <c r="R726" i="13"/>
  <c r="Q729" i="13"/>
  <c r="R774" i="13"/>
  <c r="Q777" i="13"/>
  <c r="Q782" i="13"/>
  <c r="U782" i="13"/>
  <c r="X782" i="13"/>
  <c r="V783" i="13"/>
  <c r="W837" i="13"/>
  <c r="R838" i="13"/>
  <c r="R850" i="13"/>
  <c r="W857" i="13"/>
  <c r="Q857" i="13"/>
  <c r="R870" i="13"/>
  <c r="V870" i="13"/>
  <c r="Q892" i="13"/>
  <c r="U892" i="13"/>
  <c r="X892" i="13"/>
  <c r="R904" i="13"/>
  <c r="W917" i="13"/>
  <c r="Q917" i="13"/>
  <c r="U917" i="13"/>
  <c r="X917" i="13"/>
  <c r="W928" i="13"/>
  <c r="R940" i="13"/>
  <c r="V948" i="13"/>
  <c r="R948" i="13"/>
  <c r="V1041" i="13"/>
  <c r="R1041" i="13"/>
  <c r="W1043" i="13"/>
  <c r="Q1043" i="13"/>
  <c r="W1104" i="13"/>
  <c r="R1167" i="13"/>
  <c r="W1185" i="13"/>
  <c r="Q785" i="13"/>
  <c r="W833" i="13"/>
  <c r="R837" i="13"/>
  <c r="V837" i="13"/>
  <c r="W846" i="13"/>
  <c r="R853" i="13"/>
  <c r="V853" i="13"/>
  <c r="V857" i="13"/>
  <c r="R857" i="13"/>
  <c r="R875" i="13"/>
  <c r="V875" i="13"/>
  <c r="R883" i="13"/>
  <c r="V883" i="13"/>
  <c r="V889" i="13"/>
  <c r="W891" i="13"/>
  <c r="Q891" i="13"/>
  <c r="R901" i="13"/>
  <c r="V901" i="13"/>
  <c r="R913" i="13"/>
  <c r="W939" i="13"/>
  <c r="Q939" i="13"/>
  <c r="U939" i="13"/>
  <c r="X939" i="13"/>
  <c r="Q948" i="13"/>
  <c r="U948" i="13"/>
  <c r="X948" i="13"/>
  <c r="R960" i="13"/>
  <c r="W980" i="13"/>
  <c r="Q980" i="13"/>
  <c r="U980" i="13"/>
  <c r="X980" i="13"/>
  <c r="V988" i="13"/>
  <c r="R988" i="13"/>
  <c r="W1035" i="13"/>
  <c r="Q1035" i="13"/>
  <c r="R1088" i="13"/>
  <c r="Q1141" i="13"/>
  <c r="U1141" i="13"/>
  <c r="X1141" i="13"/>
  <c r="W1141" i="13"/>
  <c r="R1144" i="13"/>
  <c r="V1144" i="13"/>
  <c r="W1175" i="13"/>
  <c r="Q1175" i="13"/>
  <c r="V658" i="13"/>
  <c r="V666" i="13"/>
  <c r="V674" i="13"/>
  <c r="W716" i="13"/>
  <c r="V733" i="13"/>
  <c r="V741" i="13"/>
  <c r="V749" i="13"/>
  <c r="V757" i="13"/>
  <c r="V765" i="13"/>
  <c r="Q790" i="13"/>
  <c r="U790" i="13"/>
  <c r="X790" i="13"/>
  <c r="V791" i="13"/>
  <c r="W797" i="13"/>
  <c r="W801" i="13"/>
  <c r="W806" i="13"/>
  <c r="W814" i="13"/>
  <c r="Q837" i="13"/>
  <c r="V847" i="13"/>
  <c r="V856" i="13"/>
  <c r="R856" i="13"/>
  <c r="V858" i="13"/>
  <c r="R863" i="13"/>
  <c r="V880" i="13"/>
  <c r="R880" i="13"/>
  <c r="Q901" i="13"/>
  <c r="U901" i="13"/>
  <c r="X901" i="13"/>
  <c r="W955" i="13"/>
  <c r="Q955" i="13"/>
  <c r="U955" i="13"/>
  <c r="X955" i="13"/>
  <c r="W977" i="13"/>
  <c r="W987" i="13"/>
  <c r="Q987" i="13"/>
  <c r="W1166" i="13"/>
  <c r="Q1166" i="13"/>
  <c r="W925" i="13"/>
  <c r="W937" i="13"/>
  <c r="W947" i="13"/>
  <c r="W1052" i="13"/>
  <c r="Q1052" i="13"/>
  <c r="U1052" i="13"/>
  <c r="X1052" i="13"/>
  <c r="Q1100" i="13"/>
  <c r="U1100" i="13"/>
  <c r="X1100" i="13"/>
  <c r="W1100" i="13"/>
  <c r="W1206" i="13"/>
  <c r="Q1206" i="13"/>
  <c r="W1214" i="13"/>
  <c r="Q1214" i="13"/>
  <c r="W1258" i="13"/>
  <c r="Q1258" i="13"/>
  <c r="U1258" i="13"/>
  <c r="X1258" i="13"/>
  <c r="W869" i="13"/>
  <c r="W908" i="13"/>
  <c r="R920" i="13"/>
  <c r="R928" i="13"/>
  <c r="W963" i="13"/>
  <c r="W979" i="13"/>
  <c r="W1024" i="13"/>
  <c r="Q1024" i="13"/>
  <c r="V1037" i="13"/>
  <c r="R1037" i="13"/>
  <c r="R1084" i="13"/>
  <c r="W1095" i="13"/>
  <c r="Q1095" i="13"/>
  <c r="Q1347" i="13"/>
  <c r="U1347" i="13"/>
  <c r="X1347" i="13"/>
  <c r="W1347" i="13"/>
  <c r="W822" i="13"/>
  <c r="R862" i="13"/>
  <c r="R872" i="13"/>
  <c r="W880" i="13"/>
  <c r="R881" i="13"/>
  <c r="W888" i="13"/>
  <c r="W907" i="13"/>
  <c r="W915" i="13"/>
  <c r="W924" i="13"/>
  <c r="Q925" i="13"/>
  <c r="W938" i="13"/>
  <c r="Q947" i="13"/>
  <c r="U947" i="13"/>
  <c r="X947" i="13"/>
  <c r="W967" i="13"/>
  <c r="W996" i="13"/>
  <c r="Q996" i="13"/>
  <c r="U996" i="13"/>
  <c r="X996" i="13"/>
  <c r="R1027" i="13"/>
  <c r="Q1040" i="13"/>
  <c r="V1049" i="13"/>
  <c r="R1049" i="13"/>
  <c r="Q1109" i="13"/>
  <c r="V1114" i="13"/>
  <c r="R1114" i="13"/>
  <c r="V1124" i="13"/>
  <c r="R1124" i="13"/>
  <c r="Q1143" i="13"/>
  <c r="U1143" i="13"/>
  <c r="X1143" i="13"/>
  <c r="Q1162" i="13"/>
  <c r="R1203" i="13"/>
  <c r="V1203" i="13"/>
  <c r="V1245" i="13"/>
  <c r="R1245" i="13"/>
  <c r="W1023" i="13"/>
  <c r="Q1023" i="13"/>
  <c r="U1023" i="13"/>
  <c r="X1023" i="13"/>
  <c r="W1039" i="13"/>
  <c r="Q1039" i="13"/>
  <c r="Q1045" i="13"/>
  <c r="V1116" i="13"/>
  <c r="R1116" i="13"/>
  <c r="V1224" i="13"/>
  <c r="R1224" i="13"/>
  <c r="R1234" i="13"/>
  <c r="V1234" i="13"/>
  <c r="R1349" i="13"/>
  <c r="V1349" i="13"/>
  <c r="W877" i="13"/>
  <c r="W885" i="13"/>
  <c r="W893" i="13"/>
  <c r="W931" i="13"/>
  <c r="W940" i="13"/>
  <c r="V955" i="13"/>
  <c r="W961" i="13"/>
  <c r="V1077" i="13"/>
  <c r="R1077" i="13"/>
  <c r="R1080" i="13"/>
  <c r="V1108" i="13"/>
  <c r="R1108" i="13"/>
  <c r="R1126" i="13"/>
  <c r="V1126" i="13"/>
  <c r="V1148" i="13"/>
  <c r="R1148" i="13"/>
  <c r="R1159" i="13"/>
  <c r="V1184" i="13"/>
  <c r="R1184" i="13"/>
  <c r="W1209" i="13"/>
  <c r="R1202" i="13"/>
  <c r="V1202" i="13"/>
  <c r="V1287" i="13"/>
  <c r="R1287" i="13"/>
  <c r="W1005" i="13"/>
  <c r="W1050" i="13"/>
  <c r="W1071" i="13"/>
  <c r="W1075" i="13"/>
  <c r="W1084" i="13"/>
  <c r="W1088" i="13"/>
  <c r="W1151" i="13"/>
  <c r="W1159" i="13"/>
  <c r="W1167" i="13"/>
  <c r="V1183" i="13"/>
  <c r="V1250" i="13"/>
  <c r="R1250" i="13"/>
  <c r="V1259" i="13"/>
  <c r="R1259" i="13"/>
  <c r="Q1314" i="13"/>
  <c r="W1314" i="13"/>
  <c r="R1355" i="13"/>
  <c r="V1355" i="13"/>
  <c r="W988" i="13"/>
  <c r="Q1006" i="13"/>
  <c r="W1012" i="13"/>
  <c r="R1036" i="13"/>
  <c r="W1066" i="13"/>
  <c r="Q1071" i="13"/>
  <c r="Q1075" i="13"/>
  <c r="U1075" i="13"/>
  <c r="X1075" i="13"/>
  <c r="R1076" i="13"/>
  <c r="W1079" i="13"/>
  <c r="Q1080" i="13"/>
  <c r="W1083" i="13"/>
  <c r="Q1084" i="13"/>
  <c r="Q1088" i="13"/>
  <c r="W1091" i="13"/>
  <c r="W1114" i="13"/>
  <c r="V1120" i="13"/>
  <c r="W1122" i="13"/>
  <c r="W1126" i="13"/>
  <c r="W1134" i="13"/>
  <c r="W1138" i="13"/>
  <c r="W1146" i="13"/>
  <c r="Q1151" i="13"/>
  <c r="U1151" i="13"/>
  <c r="X1151" i="13"/>
  <c r="V1152" i="13"/>
  <c r="Q1159" i="13"/>
  <c r="V1160" i="13"/>
  <c r="Q1167" i="13"/>
  <c r="V1168" i="13"/>
  <c r="R1175" i="13"/>
  <c r="Q1185" i="13"/>
  <c r="R1216" i="13"/>
  <c r="V1216" i="13"/>
  <c r="V1232" i="13"/>
  <c r="R1232" i="13"/>
  <c r="R1270" i="13"/>
  <c r="V1270" i="13"/>
  <c r="W1277" i="13"/>
  <c r="V1329" i="13"/>
  <c r="R1329" i="13"/>
  <c r="R1374" i="13"/>
  <c r="V1374" i="13"/>
  <c r="V1274" i="13"/>
  <c r="R1274" i="13"/>
  <c r="V1346" i="13"/>
  <c r="R1346" i="13"/>
  <c r="Q1359" i="13"/>
  <c r="U1359" i="13"/>
  <c r="X1359" i="13"/>
  <c r="W995" i="13"/>
  <c r="W1056" i="13"/>
  <c r="W1113" i="13"/>
  <c r="W1130" i="13"/>
  <c r="R1194" i="13"/>
  <c r="V1194" i="13"/>
  <c r="V1199" i="13"/>
  <c r="R1199" i="13"/>
  <c r="V1211" i="13"/>
  <c r="R1211" i="13"/>
  <c r="W1276" i="13"/>
  <c r="T1276" i="13"/>
  <c r="V1282" i="13"/>
  <c r="R1282" i="13"/>
  <c r="V1290" i="13"/>
  <c r="R1290" i="13"/>
  <c r="W1295" i="13"/>
  <c r="Q1295" i="13"/>
  <c r="V1362" i="13"/>
  <c r="R1362" i="13"/>
  <c r="W1369" i="13"/>
  <c r="W1233" i="13"/>
  <c r="T1233" i="13"/>
  <c r="T1242" i="13"/>
  <c r="W1253" i="13"/>
  <c r="Q1253" i="13"/>
  <c r="W1262" i="13"/>
  <c r="Q1262" i="13"/>
  <c r="R1310" i="13"/>
  <c r="V1310" i="13"/>
  <c r="V1313" i="13"/>
  <c r="R1313" i="13"/>
  <c r="R1315" i="13"/>
  <c r="V1315" i="13"/>
  <c r="W1322" i="13"/>
  <c r="T1322" i="13"/>
  <c r="V1323" i="13"/>
  <c r="V1393" i="13"/>
  <c r="R1393" i="13"/>
  <c r="W972" i="13"/>
  <c r="W985" i="13"/>
  <c r="Q995" i="13"/>
  <c r="U995" i="13"/>
  <c r="X995" i="13"/>
  <c r="W1007" i="13"/>
  <c r="W1025" i="13"/>
  <c r="W1027" i="13"/>
  <c r="W1032" i="13"/>
  <c r="W1042" i="13"/>
  <c r="W1055" i="13"/>
  <c r="Q1056" i="13"/>
  <c r="W1059" i="13"/>
  <c r="W1068" i="13"/>
  <c r="W1098" i="13"/>
  <c r="W1101" i="13"/>
  <c r="V1104" i="13"/>
  <c r="Q1113" i="13"/>
  <c r="Q1121" i="13"/>
  <c r="Q1130" i="13"/>
  <c r="W1148" i="13"/>
  <c r="V1158" i="13"/>
  <c r="V1166" i="13"/>
  <c r="W1181" i="13"/>
  <c r="R1196" i="13"/>
  <c r="V1196" i="13"/>
  <c r="T1291" i="13"/>
  <c r="W1291" i="13"/>
  <c r="V1302" i="13"/>
  <c r="V1331" i="13"/>
  <c r="V1356" i="13"/>
  <c r="R1356" i="13"/>
  <c r="V1385" i="13"/>
  <c r="R1385" i="13"/>
  <c r="W1172" i="13"/>
  <c r="W1184" i="13"/>
  <c r="W1198" i="13"/>
  <c r="V1212" i="13"/>
  <c r="W1218" i="13"/>
  <c r="W1219" i="13"/>
  <c r="T1250" i="13"/>
  <c r="W1252" i="13"/>
  <c r="V1263" i="13"/>
  <c r="R1266" i="13"/>
  <c r="V1267" i="13"/>
  <c r="W1269" i="13"/>
  <c r="V1271" i="13"/>
  <c r="W1283" i="13"/>
  <c r="W1284" i="13"/>
  <c r="W1365" i="13"/>
  <c r="V1371" i="13"/>
  <c r="R1378" i="13"/>
  <c r="W1381" i="13"/>
  <c r="V1382" i="13"/>
  <c r="R1386" i="13"/>
  <c r="W1389" i="13"/>
  <c r="V1390" i="13"/>
  <c r="W1397" i="13"/>
  <c r="V1398" i="13"/>
  <c r="R1401" i="13"/>
  <c r="W1201" i="13"/>
  <c r="V1347" i="13"/>
  <c r="W1361" i="13"/>
  <c r="Q1190" i="13"/>
  <c r="W1200" i="13"/>
  <c r="W1202" i="13"/>
  <c r="W1216" i="13"/>
  <c r="R1219" i="13"/>
  <c r="Q1222" i="13"/>
  <c r="Q1227" i="13"/>
  <c r="U1227" i="13"/>
  <c r="X1227" i="13"/>
  <c r="V1228" i="13"/>
  <c r="W1234" i="13"/>
  <c r="W1238" i="13"/>
  <c r="R1239" i="13"/>
  <c r="W1245" i="13"/>
  <c r="R1255" i="13"/>
  <c r="Q1261" i="13"/>
  <c r="W1274" i="13"/>
  <c r="W1282" i="13"/>
  <c r="W1293" i="13"/>
  <c r="Q1294" i="13"/>
  <c r="U1294" i="13"/>
  <c r="X1294" i="13"/>
  <c r="W1302" i="13"/>
  <c r="Q1303" i="13"/>
  <c r="U1303" i="13"/>
  <c r="X1303" i="13"/>
  <c r="Q1306" i="13"/>
  <c r="U1306" i="13"/>
  <c r="X1306" i="13"/>
  <c r="R1316" i="13"/>
  <c r="V1317" i="13"/>
  <c r="W1327" i="13"/>
  <c r="R1328" i="13"/>
  <c r="Q1332" i="13"/>
  <c r="U1332" i="13"/>
  <c r="X1332" i="13"/>
  <c r="Q1335" i="13"/>
  <c r="U1335" i="13"/>
  <c r="X1335" i="13"/>
  <c r="Q1341" i="13"/>
  <c r="U1341" i="13"/>
  <c r="X1341" i="13"/>
  <c r="W1343" i="13"/>
  <c r="W1349" i="13"/>
  <c r="W1358" i="13"/>
  <c r="Q1373" i="13"/>
  <c r="U1373" i="13"/>
  <c r="X1373" i="13"/>
  <c r="W1375" i="13"/>
  <c r="Q1380" i="13"/>
  <c r="U1380" i="13"/>
  <c r="X1380" i="13"/>
  <c r="Q1388" i="13"/>
  <c r="U1388" i="13"/>
  <c r="X1388" i="13"/>
  <c r="Q1396" i="13"/>
  <c r="U1396" i="13"/>
  <c r="X1396" i="13"/>
  <c r="Q1399" i="13"/>
  <c r="Q1234" i="13"/>
  <c r="Q1238" i="13"/>
  <c r="Q1245" i="13"/>
  <c r="V1252" i="13"/>
  <c r="V1294" i="13"/>
  <c r="W1301" i="13"/>
  <c r="W1325" i="13"/>
  <c r="W1334" i="13"/>
  <c r="V1341" i="13"/>
  <c r="Q1343" i="13"/>
  <c r="U1343" i="13"/>
  <c r="X1343" i="13"/>
  <c r="W1357" i="13"/>
  <c r="Q1375" i="13"/>
  <c r="U1375" i="13"/>
  <c r="X1375" i="13"/>
  <c r="W1378" i="13"/>
  <c r="R1383" i="13"/>
  <c r="W1386" i="13"/>
  <c r="R1391" i="13"/>
  <c r="W1394" i="13"/>
  <c r="R1399" i="13"/>
  <c r="W1210" i="13"/>
  <c r="W1217" i="13"/>
  <c r="V1218" i="13"/>
  <c r="W1224" i="13"/>
  <c r="W1232" i="13"/>
  <c r="W1243" i="13"/>
  <c r="W1264" i="13"/>
  <c r="V1268" i="13"/>
  <c r="W1290" i="13"/>
  <c r="T1310" i="13"/>
  <c r="W1318" i="13"/>
  <c r="R1338" i="13"/>
  <c r="V1363" i="13"/>
  <c r="W1366" i="13"/>
  <c r="W1374" i="13"/>
  <c r="V1403" i="13"/>
  <c r="W11" i="13"/>
  <c r="W21" i="13"/>
  <c r="W29" i="13"/>
  <c r="W133" i="13"/>
  <c r="W141" i="13"/>
  <c r="W14" i="13"/>
  <c r="W17" i="13"/>
  <c r="R12" i="13"/>
  <c r="V13" i="13"/>
  <c r="V18" i="13"/>
  <c r="R22" i="13"/>
  <c r="Q25" i="13"/>
  <c r="U25" i="13"/>
  <c r="X25" i="13"/>
  <c r="V34" i="13"/>
  <c r="R38" i="13"/>
  <c r="Q41" i="13"/>
  <c r="V42" i="13"/>
  <c r="R46" i="13"/>
  <c r="Q49" i="13"/>
  <c r="R54" i="13"/>
  <c r="V58" i="13"/>
  <c r="R62" i="13"/>
  <c r="Q65" i="13"/>
  <c r="U65" i="13"/>
  <c r="X65" i="13"/>
  <c r="R70" i="13"/>
  <c r="Q73" i="13"/>
  <c r="V74" i="13"/>
  <c r="R78" i="13"/>
  <c r="Q81" i="13"/>
  <c r="U81" i="13"/>
  <c r="X81" i="13"/>
  <c r="V82" i="13"/>
  <c r="V98" i="13"/>
  <c r="R102" i="13"/>
  <c r="Q105" i="13"/>
  <c r="V106" i="13"/>
  <c r="R110" i="13"/>
  <c r="Q113" i="13"/>
  <c r="R118" i="13"/>
  <c r="Q121" i="13"/>
  <c r="U121" i="13"/>
  <c r="X121" i="13"/>
  <c r="V122" i="13"/>
  <c r="R126" i="13"/>
  <c r="Q129" i="13"/>
  <c r="U129" i="13"/>
  <c r="X129" i="13"/>
  <c r="V130" i="13"/>
  <c r="R134" i="13"/>
  <c r="Q137" i="13"/>
  <c r="V138" i="13"/>
  <c r="Q145" i="13"/>
  <c r="U145" i="13"/>
  <c r="X145" i="13"/>
  <c r="V146" i="13"/>
  <c r="R150" i="13"/>
  <c r="Q153" i="13"/>
  <c r="V154" i="13"/>
  <c r="R158" i="13"/>
  <c r="Q161" i="13"/>
  <c r="U161" i="13"/>
  <c r="X161" i="13"/>
  <c r="V162" i="13"/>
  <c r="R166" i="13"/>
  <c r="Q169" i="13"/>
  <c r="U169" i="13"/>
  <c r="X169" i="13"/>
  <c r="V170" i="13"/>
  <c r="R174" i="13"/>
  <c r="Q177" i="13"/>
  <c r="U177" i="13"/>
  <c r="X177" i="13"/>
  <c r="V178" i="13"/>
  <c r="R183" i="13"/>
  <c r="V187" i="13"/>
  <c r="Q190" i="13"/>
  <c r="Q196" i="13"/>
  <c r="U196" i="13"/>
  <c r="X196" i="13"/>
  <c r="Q212" i="13"/>
  <c r="V215" i="13"/>
  <c r="V231" i="13"/>
  <c r="W50" i="13"/>
  <c r="W58" i="13"/>
  <c r="W66" i="13"/>
  <c r="W74" i="13"/>
  <c r="W82" i="13"/>
  <c r="W90" i="13"/>
  <c r="W98" i="13"/>
  <c r="W106" i="13"/>
  <c r="W122" i="13"/>
  <c r="W146" i="13"/>
  <c r="W192" i="13"/>
  <c r="V210" i="13"/>
  <c r="V299" i="13"/>
  <c r="R299" i="13"/>
  <c r="V318" i="13"/>
  <c r="R318" i="13"/>
  <c r="W45" i="13"/>
  <c r="W125" i="13"/>
  <c r="W165" i="13"/>
  <c r="W173" i="13"/>
  <c r="W205" i="13"/>
  <c r="R218" i="13"/>
  <c r="V218" i="13"/>
  <c r="V246" i="13"/>
  <c r="R246" i="13"/>
  <c r="Q377" i="13"/>
  <c r="U377" i="13"/>
  <c r="X377" i="13"/>
  <c r="W377" i="13"/>
  <c r="H4" i="13"/>
  <c r="H10" i="13"/>
  <c r="R15" i="13"/>
  <c r="V19" i="13"/>
  <c r="R23" i="13"/>
  <c r="V27" i="13"/>
  <c r="R31" i="13"/>
  <c r="V35" i="13"/>
  <c r="R39" i="13"/>
  <c r="R47" i="13"/>
  <c r="R55" i="13"/>
  <c r="V59" i="13"/>
  <c r="R63" i="13"/>
  <c r="V67" i="13"/>
  <c r="R71" i="13"/>
  <c r="V75" i="13"/>
  <c r="R79" i="13"/>
  <c r="V83" i="13"/>
  <c r="R87" i="13"/>
  <c r="R95" i="13"/>
  <c r="V99" i="13"/>
  <c r="R103" i="13"/>
  <c r="V107" i="13"/>
  <c r="R119" i="13"/>
  <c r="R127" i="13"/>
  <c r="R135" i="13"/>
  <c r="V139" i="13"/>
  <c r="R143" i="13"/>
  <c r="V147" i="13"/>
  <c r="R151" i="13"/>
  <c r="V155" i="13"/>
  <c r="R159" i="13"/>
  <c r="V163" i="13"/>
  <c r="V171" i="13"/>
  <c r="R175" i="13"/>
  <c r="V179" i="13"/>
  <c r="R181" i="13"/>
  <c r="T184" i="13"/>
  <c r="R191" i="13"/>
  <c r="V195" i="13"/>
  <c r="T197" i="13"/>
  <c r="Q199" i="13"/>
  <c r="U199" i="13"/>
  <c r="X199" i="13"/>
  <c r="W213" i="13"/>
  <c r="W216" i="13"/>
  <c r="R226" i="13"/>
  <c r="V226" i="13"/>
  <c r="Q245" i="13"/>
  <c r="U245" i="13"/>
  <c r="X245" i="13"/>
  <c r="W245" i="13"/>
  <c r="Q258" i="13"/>
  <c r="V259" i="13"/>
  <c r="Q504" i="13"/>
  <c r="U504" i="13"/>
  <c r="X504" i="13"/>
  <c r="W109" i="13"/>
  <c r="Q240" i="13"/>
  <c r="W240" i="13"/>
  <c r="Q37" i="13"/>
  <c r="Q69" i="13"/>
  <c r="U69" i="13"/>
  <c r="X69" i="13"/>
  <c r="Q77" i="13"/>
  <c r="Q93" i="13"/>
  <c r="Q149" i="13"/>
  <c r="Q157" i="13"/>
  <c r="U157" i="13"/>
  <c r="X157" i="13"/>
  <c r="T180" i="13"/>
  <c r="W183" i="13"/>
  <c r="R203" i="13"/>
  <c r="R209" i="13"/>
  <c r="W210" i="13"/>
  <c r="W215" i="13"/>
  <c r="W221" i="13"/>
  <c r="W224" i="13"/>
  <c r="W231" i="13"/>
  <c r="V265" i="13"/>
  <c r="R265" i="13"/>
  <c r="W266" i="13"/>
  <c r="Q313" i="13"/>
  <c r="U313" i="13"/>
  <c r="X313" i="13"/>
  <c r="W313" i="13"/>
  <c r="W38" i="13"/>
  <c r="W46" i="13"/>
  <c r="W54" i="13"/>
  <c r="W86" i="13"/>
  <c r="W94" i="13"/>
  <c r="W110" i="13"/>
  <c r="W126" i="13"/>
  <c r="W134" i="13"/>
  <c r="W142" i="13"/>
  <c r="W150" i="13"/>
  <c r="W234" i="13"/>
  <c r="W253" i="13"/>
  <c r="V257" i="13"/>
  <c r="R257" i="13"/>
  <c r="R290" i="13"/>
  <c r="V290" i="13"/>
  <c r="Q480" i="13"/>
  <c r="W480" i="13"/>
  <c r="V186" i="13"/>
  <c r="V199" i="13"/>
  <c r="W226" i="13"/>
  <c r="W202" i="13"/>
  <c r="W252" i="13"/>
  <c r="Q329" i="13"/>
  <c r="W329" i="13"/>
  <c r="V382" i="13"/>
  <c r="R382" i="13"/>
  <c r="T435" i="13"/>
  <c r="W435" i="13"/>
  <c r="T454" i="13"/>
  <c r="W454" i="13"/>
  <c r="V234" i="13"/>
  <c r="W254" i="13"/>
  <c r="R258" i="13"/>
  <c r="V258" i="13"/>
  <c r="W259" i="13"/>
  <c r="V291" i="13"/>
  <c r="R291" i="13"/>
  <c r="V342" i="13"/>
  <c r="R342" i="13"/>
  <c r="V406" i="13"/>
  <c r="R406" i="13"/>
  <c r="W460" i="13"/>
  <c r="Q460" i="13"/>
  <c r="U460" i="13"/>
  <c r="X460" i="13"/>
  <c r="Q465" i="13"/>
  <c r="W465" i="13"/>
  <c r="W229" i="13"/>
  <c r="W237" i="13"/>
  <c r="W248" i="13"/>
  <c r="R266" i="13"/>
  <c r="V266" i="13"/>
  <c r="W267" i="13"/>
  <c r="R298" i="13"/>
  <c r="V298" i="13"/>
  <c r="V326" i="13"/>
  <c r="R326" i="13"/>
  <c r="V390" i="13"/>
  <c r="R390" i="13"/>
  <c r="Q434" i="13"/>
  <c r="U434" i="13"/>
  <c r="X434" i="13"/>
  <c r="W434" i="13"/>
  <c r="V440" i="13"/>
  <c r="R440" i="13"/>
  <c r="V598" i="13"/>
  <c r="R598" i="13"/>
  <c r="R253" i="13"/>
  <c r="V254" i="13"/>
  <c r="R254" i="13"/>
  <c r="W255" i="13"/>
  <c r="W288" i="13"/>
  <c r="R306" i="13"/>
  <c r="V306" i="13"/>
  <c r="V350" i="13"/>
  <c r="R350" i="13"/>
  <c r="V414" i="13"/>
  <c r="R414" i="13"/>
  <c r="W187" i="13"/>
  <c r="W203" i="13"/>
  <c r="W211" i="13"/>
  <c r="W219" i="13"/>
  <c r="W227" i="13"/>
  <c r="W235" i="13"/>
  <c r="R242" i="13"/>
  <c r="V242" i="13"/>
  <c r="W243" i="13"/>
  <c r="V270" i="13"/>
  <c r="R270" i="13"/>
  <c r="W276" i="13"/>
  <c r="V286" i="13"/>
  <c r="R286" i="13"/>
  <c r="W296" i="13"/>
  <c r="V310" i="13"/>
  <c r="R310" i="13"/>
  <c r="W353" i="13"/>
  <c r="V374" i="13"/>
  <c r="W417" i="13"/>
  <c r="Q464" i="13"/>
  <c r="W464" i="13"/>
  <c r="W244" i="13"/>
  <c r="V262" i="13"/>
  <c r="R262" i="13"/>
  <c r="R282" i="13"/>
  <c r="V282" i="13"/>
  <c r="V294" i="13"/>
  <c r="R294" i="13"/>
  <c r="V334" i="13"/>
  <c r="R334" i="13"/>
  <c r="V398" i="13"/>
  <c r="R398" i="13"/>
  <c r="Q441" i="13"/>
  <c r="R446" i="13"/>
  <c r="V446" i="13"/>
  <c r="Q544" i="13"/>
  <c r="U544" i="13"/>
  <c r="X544" i="13"/>
  <c r="W544" i="13"/>
  <c r="R250" i="13"/>
  <c r="V250" i="13"/>
  <c r="R274" i="13"/>
  <c r="V274" i="13"/>
  <c r="V278" i="13"/>
  <c r="R278" i="13"/>
  <c r="W280" i="13"/>
  <c r="W289" i="13"/>
  <c r="R302" i="13"/>
  <c r="V358" i="13"/>
  <c r="R358" i="13"/>
  <c r="V422" i="13"/>
  <c r="R422" i="13"/>
  <c r="V509" i="13"/>
  <c r="R509" i="13"/>
  <c r="W310" i="13"/>
  <c r="W318" i="13"/>
  <c r="W326" i="13"/>
  <c r="W334" i="13"/>
  <c r="W342" i="13"/>
  <c r="W350" i="13"/>
  <c r="W358" i="13"/>
  <c r="W366" i="13"/>
  <c r="W398" i="13"/>
  <c r="W406" i="13"/>
  <c r="W414" i="13"/>
  <c r="W422" i="13"/>
  <c r="V501" i="13"/>
  <c r="R501" i="13"/>
  <c r="V541" i="13"/>
  <c r="R541" i="13"/>
  <c r="W625" i="13"/>
  <c r="Q625" i="13"/>
  <c r="U625" i="13"/>
  <c r="X625" i="13"/>
  <c r="W633" i="13"/>
  <c r="Q633" i="13"/>
  <c r="W641" i="13"/>
  <c r="Q641" i="13"/>
  <c r="W649" i="13"/>
  <c r="Q649" i="13"/>
  <c r="W657" i="13"/>
  <c r="Q657" i="13"/>
  <c r="U657" i="13"/>
  <c r="X657" i="13"/>
  <c r="W665" i="13"/>
  <c r="Q665" i="13"/>
  <c r="W673" i="13"/>
  <c r="Q673" i="13"/>
  <c r="W292" i="13"/>
  <c r="W300" i="13"/>
  <c r="R307" i="13"/>
  <c r="W308" i="13"/>
  <c r="R315" i="13"/>
  <c r="W316" i="13"/>
  <c r="R323" i="13"/>
  <c r="W340" i="13"/>
  <c r="W348" i="13"/>
  <c r="W356" i="13"/>
  <c r="R363" i="13"/>
  <c r="W364" i="13"/>
  <c r="R371" i="13"/>
  <c r="W372" i="13"/>
  <c r="R379" i="13"/>
  <c r="W380" i="13"/>
  <c r="R387" i="13"/>
  <c r="W388" i="13"/>
  <c r="R395" i="13"/>
  <c r="W396" i="13"/>
  <c r="R403" i="13"/>
  <c r="W404" i="13"/>
  <c r="R411" i="13"/>
  <c r="W412" i="13"/>
  <c r="R419" i="13"/>
  <c r="W420" i="13"/>
  <c r="R427" i="13"/>
  <c r="Q440" i="13"/>
  <c r="V443" i="13"/>
  <c r="T444" i="13"/>
  <c r="R445" i="13"/>
  <c r="Q446" i="13"/>
  <c r="U446" i="13"/>
  <c r="X446" i="13"/>
  <c r="Q452" i="13"/>
  <c r="Q459" i="13"/>
  <c r="U459" i="13"/>
  <c r="X459" i="13"/>
  <c r="V480" i="13"/>
  <c r="W486" i="13"/>
  <c r="V517" i="13"/>
  <c r="R517" i="13"/>
  <c r="V314" i="13"/>
  <c r="V322" i="13"/>
  <c r="V330" i="13"/>
  <c r="V338" i="13"/>
  <c r="V346" i="13"/>
  <c r="V354" i="13"/>
  <c r="V362" i="13"/>
  <c r="V370" i="13"/>
  <c r="V378" i="13"/>
  <c r="V386" i="13"/>
  <c r="V394" i="13"/>
  <c r="V402" i="13"/>
  <c r="V410" i="13"/>
  <c r="V418" i="13"/>
  <c r="V426" i="13"/>
  <c r="V431" i="13"/>
  <c r="R441" i="13"/>
  <c r="R447" i="13"/>
  <c r="T451" i="13"/>
  <c r="W455" i="13"/>
  <c r="V457" i="13"/>
  <c r="R463" i="13"/>
  <c r="L8" i="13"/>
  <c r="R464" i="13"/>
  <c r="R465" i="13"/>
  <c r="W483" i="13"/>
  <c r="V525" i="13"/>
  <c r="R525" i="13"/>
  <c r="R549" i="13"/>
  <c r="V549" i="13"/>
  <c r="V562" i="13"/>
  <c r="R562" i="13"/>
  <c r="V568" i="13"/>
  <c r="R568" i="13"/>
  <c r="W601" i="13"/>
  <c r="Q601" i="13"/>
  <c r="W450" i="13"/>
  <c r="R453" i="13"/>
  <c r="W457" i="13"/>
  <c r="W474" i="13"/>
  <c r="W475" i="13"/>
  <c r="W563" i="13"/>
  <c r="Q600" i="13"/>
  <c r="U600" i="13"/>
  <c r="X600" i="13"/>
  <c r="W600" i="13"/>
  <c r="W309" i="13"/>
  <c r="W317" i="13"/>
  <c r="W325" i="13"/>
  <c r="W341" i="13"/>
  <c r="W349" i="13"/>
  <c r="W357" i="13"/>
  <c r="W365" i="13"/>
  <c r="W381" i="13"/>
  <c r="W389" i="13"/>
  <c r="W413" i="13"/>
  <c r="V485" i="13"/>
  <c r="R485" i="13"/>
  <c r="W512" i="13"/>
  <c r="V533" i="13"/>
  <c r="R533" i="13"/>
  <c r="V461" i="13"/>
  <c r="V462" i="13"/>
  <c r="R473" i="13"/>
  <c r="Q556" i="13"/>
  <c r="W556" i="13"/>
  <c r="W569" i="13"/>
  <c r="Q569" i="13"/>
  <c r="U569" i="13"/>
  <c r="X569" i="13"/>
  <c r="Q575" i="13"/>
  <c r="U575" i="13"/>
  <c r="X575" i="13"/>
  <c r="W575" i="13"/>
  <c r="Q599" i="13"/>
  <c r="U599" i="13"/>
  <c r="X599" i="13"/>
  <c r="W599" i="13"/>
  <c r="W439" i="13"/>
  <c r="V454" i="13"/>
  <c r="R456" i="13"/>
  <c r="R488" i="13"/>
  <c r="V488" i="13"/>
  <c r="V493" i="13"/>
  <c r="R493" i="13"/>
  <c r="W528" i="13"/>
  <c r="Q431" i="13"/>
  <c r="U431" i="13"/>
  <c r="X431" i="13"/>
  <c r="Q439" i="13"/>
  <c r="U439" i="13"/>
  <c r="X439" i="13"/>
  <c r="Q447" i="13"/>
  <c r="U447" i="13"/>
  <c r="X447" i="13"/>
  <c r="Q455" i="13"/>
  <c r="U455" i="13"/>
  <c r="X455" i="13"/>
  <c r="Q463" i="13"/>
  <c r="Q471" i="13"/>
  <c r="U471" i="13"/>
  <c r="X471" i="13"/>
  <c r="Q479" i="13"/>
  <c r="Q487" i="13"/>
  <c r="U487" i="13"/>
  <c r="X487" i="13"/>
  <c r="Q495" i="13"/>
  <c r="U495" i="13"/>
  <c r="X495" i="13"/>
  <c r="V496" i="13"/>
  <c r="Q503" i="13"/>
  <c r="U503" i="13"/>
  <c r="X503" i="13"/>
  <c r="V504" i="13"/>
  <c r="Q511" i="13"/>
  <c r="U511" i="13"/>
  <c r="X511" i="13"/>
  <c r="V512" i="13"/>
  <c r="Q519" i="13"/>
  <c r="V520" i="13"/>
  <c r="Q527" i="13"/>
  <c r="V528" i="13"/>
  <c r="Q535" i="13"/>
  <c r="U535" i="13"/>
  <c r="X535" i="13"/>
  <c r="V536" i="13"/>
  <c r="Q543" i="13"/>
  <c r="U543" i="13"/>
  <c r="X543" i="13"/>
  <c r="V544" i="13"/>
  <c r="V550" i="13"/>
  <c r="W557" i="13"/>
  <c r="R560" i="13"/>
  <c r="V561" i="13"/>
  <c r="R561" i="13"/>
  <c r="W562" i="13"/>
  <c r="W576" i="13"/>
  <c r="V578" i="13"/>
  <c r="W581" i="13"/>
  <c r="W588" i="13"/>
  <c r="W602" i="13"/>
  <c r="R613" i="13"/>
  <c r="V613" i="13"/>
  <c r="W623" i="13"/>
  <c r="W626" i="13"/>
  <c r="W631" i="13"/>
  <c r="W634" i="13"/>
  <c r="W639" i="13"/>
  <c r="W642" i="13"/>
  <c r="W647" i="13"/>
  <c r="W655" i="13"/>
  <c r="W658" i="13"/>
  <c r="W663" i="13"/>
  <c r="W671" i="13"/>
  <c r="W674" i="13"/>
  <c r="W491" i="13"/>
  <c r="W499" i="13"/>
  <c r="W507" i="13"/>
  <c r="W515" i="13"/>
  <c r="W523" i="13"/>
  <c r="W531" i="13"/>
  <c r="W539" i="13"/>
  <c r="W547" i="13"/>
  <c r="V569" i="13"/>
  <c r="R569" i="13"/>
  <c r="W570" i="13"/>
  <c r="W578" i="13"/>
  <c r="R597" i="13"/>
  <c r="V597" i="13"/>
  <c r="W611" i="13"/>
  <c r="R556" i="13"/>
  <c r="R557" i="13"/>
  <c r="V557" i="13"/>
  <c r="W558" i="13"/>
  <c r="W571" i="13"/>
  <c r="W572" i="13"/>
  <c r="V577" i="13"/>
  <c r="W579" i="13"/>
  <c r="W583" i="13"/>
  <c r="W584" i="13"/>
  <c r="W595" i="13"/>
  <c r="R621" i="13"/>
  <c r="V621" i="13"/>
  <c r="W481" i="13"/>
  <c r="W489" i="13"/>
  <c r="W497" i="13"/>
  <c r="W505" i="13"/>
  <c r="W513" i="13"/>
  <c r="W521" i="13"/>
  <c r="W529" i="13"/>
  <c r="W537" i="13"/>
  <c r="W545" i="13"/>
  <c r="T549" i="13"/>
  <c r="T568" i="13"/>
  <c r="R581" i="13"/>
  <c r="V581" i="13"/>
  <c r="R589" i="13"/>
  <c r="V589" i="13"/>
  <c r="V593" i="13"/>
  <c r="R593" i="13"/>
  <c r="V612" i="13"/>
  <c r="R622" i="13"/>
  <c r="R565" i="13"/>
  <c r="V565" i="13"/>
  <c r="R605" i="13"/>
  <c r="V605" i="13"/>
  <c r="W615" i="13"/>
  <c r="V553" i="13"/>
  <c r="R553" i="13"/>
  <c r="W554" i="13"/>
  <c r="R582" i="13"/>
  <c r="V585" i="13"/>
  <c r="R585" i="13"/>
  <c r="R606" i="13"/>
  <c r="W555" i="13"/>
  <c r="R573" i="13"/>
  <c r="V573" i="13"/>
  <c r="W681" i="13"/>
  <c r="V685" i="13"/>
  <c r="V785" i="13"/>
  <c r="W604" i="13"/>
  <c r="W612" i="13"/>
  <c r="W620" i="13"/>
  <c r="W628" i="13"/>
  <c r="W636" i="13"/>
  <c r="W652" i="13"/>
  <c r="W660" i="13"/>
  <c r="W668" i="13"/>
  <c r="W676" i="13"/>
  <c r="V684" i="13"/>
  <c r="R684" i="13"/>
  <c r="W685" i="13"/>
  <c r="W693" i="13"/>
  <c r="W717" i="13"/>
  <c r="R728" i="13"/>
  <c r="V728" i="13"/>
  <c r="V809" i="13"/>
  <c r="R809" i="13"/>
  <c r="W812" i="13"/>
  <c r="W679" i="13"/>
  <c r="Q684" i="13"/>
  <c r="U684" i="13"/>
  <c r="X684" i="13"/>
  <c r="W686" i="13"/>
  <c r="Q690" i="13"/>
  <c r="V692" i="13"/>
  <c r="R692" i="13"/>
  <c r="W698" i="13"/>
  <c r="V719" i="13"/>
  <c r="R729" i="13"/>
  <c r="Q732" i="13"/>
  <c r="Q740" i="13"/>
  <c r="Q748" i="13"/>
  <c r="Q764" i="13"/>
  <c r="V833" i="13"/>
  <c r="R833" i="13"/>
  <c r="R601" i="13"/>
  <c r="R609" i="13"/>
  <c r="R617" i="13"/>
  <c r="R625" i="13"/>
  <c r="V629" i="13"/>
  <c r="R633" i="13"/>
  <c r="V637" i="13"/>
  <c r="V653" i="13"/>
  <c r="R657" i="13"/>
  <c r="V661" i="13"/>
  <c r="R665" i="13"/>
  <c r="V669" i="13"/>
  <c r="R673" i="13"/>
  <c r="V677" i="13"/>
  <c r="R681" i="13"/>
  <c r="W688" i="13"/>
  <c r="Q692" i="13"/>
  <c r="R696" i="13"/>
  <c r="V696" i="13"/>
  <c r="R712" i="13"/>
  <c r="V712" i="13"/>
  <c r="W722" i="13"/>
  <c r="W723" i="13"/>
  <c r="W726" i="13"/>
  <c r="V793" i="13"/>
  <c r="W796" i="13"/>
  <c r="W597" i="13"/>
  <c r="W605" i="13"/>
  <c r="W613" i="13"/>
  <c r="W621" i="13"/>
  <c r="W629" i="13"/>
  <c r="W637" i="13"/>
  <c r="W645" i="13"/>
  <c r="W653" i="13"/>
  <c r="W661" i="13"/>
  <c r="W669" i="13"/>
  <c r="W677" i="13"/>
  <c r="R713" i="13"/>
  <c r="Q716" i="13"/>
  <c r="R737" i="13"/>
  <c r="R745" i="13"/>
  <c r="R753" i="13"/>
  <c r="R761" i="13"/>
  <c r="R769" i="13"/>
  <c r="R777" i="13"/>
  <c r="V817" i="13"/>
  <c r="R817" i="13"/>
  <c r="W820" i="13"/>
  <c r="W624" i="13"/>
  <c r="W632" i="13"/>
  <c r="W640" i="13"/>
  <c r="W648" i="13"/>
  <c r="W656" i="13"/>
  <c r="W664" i="13"/>
  <c r="W672" i="13"/>
  <c r="W680" i="13"/>
  <c r="V700" i="13"/>
  <c r="R700" i="13"/>
  <c r="R688" i="13"/>
  <c r="V688" i="13"/>
  <c r="W689" i="13"/>
  <c r="R704" i="13"/>
  <c r="V704" i="13"/>
  <c r="W709" i="13"/>
  <c r="W730" i="13"/>
  <c r="W734" i="13"/>
  <c r="V801" i="13"/>
  <c r="R801" i="13"/>
  <c r="W804" i="13"/>
  <c r="W691" i="13"/>
  <c r="V693" i="13"/>
  <c r="W695" i="13"/>
  <c r="W696" i="13"/>
  <c r="V711" i="13"/>
  <c r="R721" i="13"/>
  <c r="W733" i="13"/>
  <c r="W738" i="13"/>
  <c r="W741" i="13"/>
  <c r="W749" i="13"/>
  <c r="W757" i="13"/>
  <c r="W765" i="13"/>
  <c r="W773" i="13"/>
  <c r="W781" i="13"/>
  <c r="V825" i="13"/>
  <c r="R825" i="13"/>
  <c r="W844" i="13"/>
  <c r="W852" i="13"/>
  <c r="R918" i="13"/>
  <c r="V918" i="13"/>
  <c r="W954" i="13"/>
  <c r="Q954" i="13"/>
  <c r="W711" i="13"/>
  <c r="W719" i="13"/>
  <c r="W727" i="13"/>
  <c r="W751" i="13"/>
  <c r="W759" i="13"/>
  <c r="W767" i="13"/>
  <c r="W783" i="13"/>
  <c r="W791" i="13"/>
  <c r="W815" i="13"/>
  <c r="W823" i="13"/>
  <c r="W831" i="13"/>
  <c r="W839" i="13"/>
  <c r="W847" i="13"/>
  <c r="R871" i="13"/>
  <c r="W932" i="13"/>
  <c r="T952" i="13"/>
  <c r="W952" i="13"/>
  <c r="V967" i="13"/>
  <c r="R967" i="13"/>
  <c r="W802" i="13"/>
  <c r="W810" i="13"/>
  <c r="W818" i="13"/>
  <c r="W826" i="13"/>
  <c r="W834" i="13"/>
  <c r="R841" i="13"/>
  <c r="W842" i="13"/>
  <c r="R849" i="13"/>
  <c r="R902" i="13"/>
  <c r="V902" i="13"/>
  <c r="R962" i="13"/>
  <c r="V962" i="13"/>
  <c r="R708" i="13"/>
  <c r="R716" i="13"/>
  <c r="R724" i="13"/>
  <c r="R732" i="13"/>
  <c r="V736" i="13"/>
  <c r="R740" i="13"/>
  <c r="V744" i="13"/>
  <c r="R748" i="13"/>
  <c r="V752" i="13"/>
  <c r="R756" i="13"/>
  <c r="V760" i="13"/>
  <c r="R764" i="13"/>
  <c r="V768" i="13"/>
  <c r="R772" i="13"/>
  <c r="V776" i="13"/>
  <c r="R780" i="13"/>
  <c r="V784" i="13"/>
  <c r="R788" i="13"/>
  <c r="V792" i="13"/>
  <c r="R796" i="13"/>
  <c r="V800" i="13"/>
  <c r="R804" i="13"/>
  <c r="V808" i="13"/>
  <c r="R812" i="13"/>
  <c r="V816" i="13"/>
  <c r="R820" i="13"/>
  <c r="V824" i="13"/>
  <c r="V832" i="13"/>
  <c r="R836" i="13"/>
  <c r="V840" i="13"/>
  <c r="R844" i="13"/>
  <c r="V848" i="13"/>
  <c r="R852" i="13"/>
  <c r="W853" i="13"/>
  <c r="V860" i="13"/>
  <c r="V861" i="13"/>
  <c r="W865" i="13"/>
  <c r="W866" i="13"/>
  <c r="W867" i="13"/>
  <c r="W913" i="13"/>
  <c r="W916" i="13"/>
  <c r="R926" i="13"/>
  <c r="V926" i="13"/>
  <c r="T997" i="13"/>
  <c r="W997" i="13"/>
  <c r="W712" i="13"/>
  <c r="W720" i="13"/>
  <c r="W728" i="13"/>
  <c r="W736" i="13"/>
  <c r="W744" i="13"/>
  <c r="W752" i="13"/>
  <c r="W768" i="13"/>
  <c r="W776" i="13"/>
  <c r="W784" i="13"/>
  <c r="W792" i="13"/>
  <c r="W800" i="13"/>
  <c r="W808" i="13"/>
  <c r="W816" i="13"/>
  <c r="W824" i="13"/>
  <c r="W832" i="13"/>
  <c r="W840" i="13"/>
  <c r="W848" i="13"/>
  <c r="W858" i="13"/>
  <c r="W747" i="13"/>
  <c r="W755" i="13"/>
  <c r="W763" i="13"/>
  <c r="W771" i="13"/>
  <c r="W779" i="13"/>
  <c r="W787" i="13"/>
  <c r="W795" i="13"/>
  <c r="W803" i="13"/>
  <c r="W819" i="13"/>
  <c r="W827" i="13"/>
  <c r="W835" i="13"/>
  <c r="W843" i="13"/>
  <c r="W851" i="13"/>
  <c r="R910" i="13"/>
  <c r="V910" i="13"/>
  <c r="W860" i="13"/>
  <c r="W861" i="13"/>
  <c r="Q863" i="13"/>
  <c r="W863" i="13"/>
  <c r="W876" i="13"/>
  <c r="V878" i="13"/>
  <c r="R888" i="13"/>
  <c r="W921" i="13"/>
  <c r="R1030" i="13"/>
  <c r="V1030" i="13"/>
  <c r="R864" i="13"/>
  <c r="R894" i="13"/>
  <c r="V894" i="13"/>
  <c r="R938" i="13"/>
  <c r="V938" i="13"/>
  <c r="R946" i="13"/>
  <c r="V946" i="13"/>
  <c r="V1000" i="13"/>
  <c r="R1000" i="13"/>
  <c r="W854" i="13"/>
  <c r="W862" i="13"/>
  <c r="Q864" i="13"/>
  <c r="W870" i="13"/>
  <c r="Q872" i="13"/>
  <c r="U872" i="13"/>
  <c r="X872" i="13"/>
  <c r="W878" i="13"/>
  <c r="Q880" i="13"/>
  <c r="W886" i="13"/>
  <c r="Q888" i="13"/>
  <c r="U888" i="13"/>
  <c r="X888" i="13"/>
  <c r="Q896" i="13"/>
  <c r="U896" i="13"/>
  <c r="X896" i="13"/>
  <c r="W902" i="13"/>
  <c r="Q904" i="13"/>
  <c r="U904" i="13"/>
  <c r="X904" i="13"/>
  <c r="W910" i="13"/>
  <c r="Q912" i="13"/>
  <c r="W918" i="13"/>
  <c r="Q920" i="13"/>
  <c r="U920" i="13"/>
  <c r="X920" i="13"/>
  <c r="W926" i="13"/>
  <c r="Q928" i="13"/>
  <c r="U928" i="13"/>
  <c r="X928" i="13"/>
  <c r="Q938" i="13"/>
  <c r="V942" i="13"/>
  <c r="R942" i="13"/>
  <c r="Q944" i="13"/>
  <c r="U944" i="13"/>
  <c r="X944" i="13"/>
  <c r="V949" i="13"/>
  <c r="R1031" i="13"/>
  <c r="V1031" i="13"/>
  <c r="Q1054" i="13"/>
  <c r="U1054" i="13"/>
  <c r="X1054" i="13"/>
  <c r="W1054" i="13"/>
  <c r="V879" i="13"/>
  <c r="V887" i="13"/>
  <c r="V895" i="13"/>
  <c r="V903" i="13"/>
  <c r="V911" i="13"/>
  <c r="V919" i="13"/>
  <c r="V927" i="13"/>
  <c r="R954" i="13"/>
  <c r="V954" i="13"/>
  <c r="V991" i="13"/>
  <c r="R991" i="13"/>
  <c r="W994" i="13"/>
  <c r="W871" i="13"/>
  <c r="W879" i="13"/>
  <c r="W887" i="13"/>
  <c r="W895" i="13"/>
  <c r="W903" i="13"/>
  <c r="W919" i="13"/>
  <c r="W927" i="13"/>
  <c r="Q1001" i="13"/>
  <c r="W1001" i="13"/>
  <c r="W882" i="13"/>
  <c r="W898" i="13"/>
  <c r="W906" i="13"/>
  <c r="W914" i="13"/>
  <c r="W922" i="13"/>
  <c r="W930" i="13"/>
  <c r="W936" i="13"/>
  <c r="V939" i="13"/>
  <c r="W941" i="13"/>
  <c r="W942" i="13"/>
  <c r="V947" i="13"/>
  <c r="W957" i="13"/>
  <c r="V959" i="13"/>
  <c r="R959" i="13"/>
  <c r="V1074" i="13"/>
  <c r="R1074" i="13"/>
  <c r="V934" i="13"/>
  <c r="R934" i="13"/>
  <c r="R951" i="13"/>
  <c r="W1014" i="13"/>
  <c r="Q1069" i="13"/>
  <c r="U1069" i="13"/>
  <c r="X1069" i="13"/>
  <c r="W1069" i="13"/>
  <c r="Q1013" i="13"/>
  <c r="R950" i="13"/>
  <c r="Q953" i="13"/>
  <c r="Q961" i="13"/>
  <c r="U961" i="13"/>
  <c r="X961" i="13"/>
  <c r="R966" i="13"/>
  <c r="Q969" i="13"/>
  <c r="U969" i="13"/>
  <c r="X969" i="13"/>
  <c r="V970" i="13"/>
  <c r="R974" i="13"/>
  <c r="Q977" i="13"/>
  <c r="V978" i="13"/>
  <c r="R982" i="13"/>
  <c r="Q985" i="13"/>
  <c r="U985" i="13"/>
  <c r="X985" i="13"/>
  <c r="V986" i="13"/>
  <c r="R990" i="13"/>
  <c r="Q993" i="13"/>
  <c r="V994" i="13"/>
  <c r="V997" i="13"/>
  <c r="T998" i="13"/>
  <c r="W1000" i="13"/>
  <c r="W1002" i="13"/>
  <c r="V1008" i="13"/>
  <c r="R1011" i="13"/>
  <c r="V1015" i="13"/>
  <c r="W1017" i="13"/>
  <c r="W1031" i="13"/>
  <c r="V1034" i="13"/>
  <c r="R1034" i="13"/>
  <c r="T1128" i="13"/>
  <c r="W1128" i="13"/>
  <c r="T1136" i="13"/>
  <c r="W1136" i="13"/>
  <c r="W965" i="13"/>
  <c r="W973" i="13"/>
  <c r="W981" i="13"/>
  <c r="W989" i="13"/>
  <c r="W1008" i="13"/>
  <c r="V1098" i="13"/>
  <c r="R1098" i="13"/>
  <c r="W968" i="13"/>
  <c r="W976" i="13"/>
  <c r="W984" i="13"/>
  <c r="W992" i="13"/>
  <c r="R1001" i="13"/>
  <c r="W1020" i="13"/>
  <c r="R1051" i="13"/>
  <c r="V1051" i="13"/>
  <c r="V1058" i="13"/>
  <c r="R1058" i="13"/>
  <c r="W1072" i="13"/>
  <c r="V1181" i="13"/>
  <c r="R1181" i="13"/>
  <c r="T1005" i="13"/>
  <c r="W1011" i="13"/>
  <c r="Q1014" i="13"/>
  <c r="V1082" i="13"/>
  <c r="R1082" i="13"/>
  <c r="W1085" i="13"/>
  <c r="W1096" i="13"/>
  <c r="W1117" i="13"/>
  <c r="Q1117" i="13"/>
  <c r="W950" i="13"/>
  <c r="W958" i="13"/>
  <c r="W966" i="13"/>
  <c r="W974" i="13"/>
  <c r="W990" i="13"/>
  <c r="W1004" i="13"/>
  <c r="R1043" i="13"/>
  <c r="V1043" i="13"/>
  <c r="V1050" i="13"/>
  <c r="R1050" i="13"/>
  <c r="Q1099" i="13"/>
  <c r="U1099" i="13"/>
  <c r="X1099" i="13"/>
  <c r="W1099" i="13"/>
  <c r="R1022" i="13"/>
  <c r="V1022" i="13"/>
  <c r="W1029" i="13"/>
  <c r="V1066" i="13"/>
  <c r="R1066" i="13"/>
  <c r="V1007" i="13"/>
  <c r="V1026" i="13"/>
  <c r="R1026" i="13"/>
  <c r="R1035" i="13"/>
  <c r="V1035" i="13"/>
  <c r="V1042" i="13"/>
  <c r="R1042" i="13"/>
  <c r="W1046" i="13"/>
  <c r="W1053" i="13"/>
  <c r="V1090" i="13"/>
  <c r="R1090" i="13"/>
  <c r="W1093" i="13"/>
  <c r="T1115" i="13"/>
  <c r="W1115" i="13"/>
  <c r="Q1120" i="13"/>
  <c r="U1120" i="13"/>
  <c r="X1120" i="13"/>
  <c r="W1120" i="13"/>
  <c r="V1129" i="13"/>
  <c r="R1129" i="13"/>
  <c r="Q1165" i="13"/>
  <c r="U1165" i="13"/>
  <c r="X1165" i="13"/>
  <c r="W1165" i="13"/>
  <c r="R1039" i="13"/>
  <c r="Q1042" i="13"/>
  <c r="R1047" i="13"/>
  <c r="Q1050" i="13"/>
  <c r="U1050" i="13"/>
  <c r="X1050" i="13"/>
  <c r="R1055" i="13"/>
  <c r="Q1058" i="13"/>
  <c r="U1058" i="13"/>
  <c r="X1058" i="13"/>
  <c r="V1059" i="13"/>
  <c r="R1063" i="13"/>
  <c r="Q1066" i="13"/>
  <c r="V1067" i="13"/>
  <c r="R1071" i="13"/>
  <c r="Q1074" i="13"/>
  <c r="V1075" i="13"/>
  <c r="R1079" i="13"/>
  <c r="Q1082" i="13"/>
  <c r="V1083" i="13"/>
  <c r="R1087" i="13"/>
  <c r="Q1090" i="13"/>
  <c r="V1091" i="13"/>
  <c r="Q1098" i="13"/>
  <c r="W1107" i="13"/>
  <c r="R1117" i="13"/>
  <c r="V1117" i="13"/>
  <c r="W1119" i="13"/>
  <c r="W1132" i="13"/>
  <c r="W1144" i="13"/>
  <c r="V1038" i="13"/>
  <c r="V1046" i="13"/>
  <c r="V1054" i="13"/>
  <c r="V1062" i="13"/>
  <c r="V1070" i="13"/>
  <c r="V1078" i="13"/>
  <c r="V1086" i="13"/>
  <c r="V1094" i="13"/>
  <c r="W1110" i="13"/>
  <c r="V1113" i="13"/>
  <c r="R1113" i="13"/>
  <c r="W1127" i="13"/>
  <c r="V1154" i="13"/>
  <c r="R1154" i="13"/>
  <c r="W1062" i="13"/>
  <c r="W1070" i="13"/>
  <c r="W1086" i="13"/>
  <c r="W1094" i="13"/>
  <c r="R1109" i="13"/>
  <c r="V1109" i="13"/>
  <c r="R1125" i="13"/>
  <c r="V1125" i="13"/>
  <c r="W1033" i="13"/>
  <c r="W1057" i="13"/>
  <c r="W1065" i="13"/>
  <c r="W1073" i="13"/>
  <c r="W1081" i="13"/>
  <c r="W1089" i="13"/>
  <c r="W1097" i="13"/>
  <c r="W1102" i="13"/>
  <c r="V1105" i="13"/>
  <c r="R1105" i="13"/>
  <c r="R1133" i="13"/>
  <c r="V1133" i="13"/>
  <c r="V1162" i="13"/>
  <c r="R1162" i="13"/>
  <c r="Q1196" i="13"/>
  <c r="U1196" i="13"/>
  <c r="X1196" i="13"/>
  <c r="W1196" i="13"/>
  <c r="R1101" i="13"/>
  <c r="W1103" i="13"/>
  <c r="V1112" i="13"/>
  <c r="V1138" i="13"/>
  <c r="R1138" i="13"/>
  <c r="Q1182" i="13"/>
  <c r="U1182" i="13"/>
  <c r="X1182" i="13"/>
  <c r="W1182" i="13"/>
  <c r="W1254" i="13"/>
  <c r="Q1254" i="13"/>
  <c r="U1254" i="13"/>
  <c r="X1254" i="13"/>
  <c r="R1106" i="13"/>
  <c r="W1112" i="13"/>
  <c r="W1116" i="13"/>
  <c r="V1122" i="13"/>
  <c r="R1122" i="13"/>
  <c r="W1125" i="13"/>
  <c r="T1249" i="13"/>
  <c r="W1249" i="13"/>
  <c r="V1121" i="13"/>
  <c r="R1121" i="13"/>
  <c r="V1130" i="13"/>
  <c r="R1130" i="13"/>
  <c r="W1133" i="13"/>
  <c r="W1149" i="13"/>
  <c r="V1170" i="13"/>
  <c r="R1170" i="13"/>
  <c r="W1173" i="13"/>
  <c r="V1205" i="13"/>
  <c r="R1205" i="13"/>
  <c r="R1137" i="13"/>
  <c r="Q1140" i="13"/>
  <c r="U1140" i="13"/>
  <c r="X1140" i="13"/>
  <c r="R1145" i="13"/>
  <c r="Q1148" i="13"/>
  <c r="V1149" i="13"/>
  <c r="R1153" i="13"/>
  <c r="Q1156" i="13"/>
  <c r="U1156" i="13"/>
  <c r="X1156" i="13"/>
  <c r="V1157" i="13"/>
  <c r="R1161" i="13"/>
  <c r="Q1164" i="13"/>
  <c r="V1165" i="13"/>
  <c r="R1169" i="13"/>
  <c r="Q1172" i="13"/>
  <c r="U1172" i="13"/>
  <c r="X1172" i="13"/>
  <c r="V1173" i="13"/>
  <c r="W1191" i="13"/>
  <c r="W1192" i="13"/>
  <c r="V1197" i="13"/>
  <c r="R1197" i="13"/>
  <c r="V1214" i="13"/>
  <c r="R1214" i="13"/>
  <c r="V1241" i="13"/>
  <c r="R1241" i="13"/>
  <c r="W1152" i="13"/>
  <c r="W1160" i="13"/>
  <c r="W1168" i="13"/>
  <c r="W1176" i="13"/>
  <c r="W1183" i="13"/>
  <c r="W1194" i="13"/>
  <c r="W1195" i="13"/>
  <c r="V1213" i="13"/>
  <c r="R1213" i="13"/>
  <c r="V1230" i="13"/>
  <c r="R1230" i="13"/>
  <c r="W1139" i="13"/>
  <c r="W1147" i="13"/>
  <c r="W1155" i="13"/>
  <c r="W1163" i="13"/>
  <c r="W1171" i="13"/>
  <c r="V1178" i="13"/>
  <c r="V1189" i="13"/>
  <c r="R1189" i="13"/>
  <c r="R1193" i="13"/>
  <c r="V1193" i="13"/>
  <c r="W1203" i="13"/>
  <c r="R1182" i="13"/>
  <c r="W1186" i="13"/>
  <c r="W1187" i="13"/>
  <c r="R1190" i="13"/>
  <c r="Q1193" i="13"/>
  <c r="W1211" i="13"/>
  <c r="V1253" i="13"/>
  <c r="R1253" i="13"/>
  <c r="R1262" i="13"/>
  <c r="V1262" i="13"/>
  <c r="W1379" i="13"/>
  <c r="Q1379" i="13"/>
  <c r="U1379" i="13"/>
  <c r="X1379" i="13"/>
  <c r="W1137" i="13"/>
  <c r="W1145" i="13"/>
  <c r="W1153" i="13"/>
  <c r="W1161" i="13"/>
  <c r="W1169" i="13"/>
  <c r="W1178" i="13"/>
  <c r="W1180" i="13"/>
  <c r="R1185" i="13"/>
  <c r="V1185" i="13"/>
  <c r="R1201" i="13"/>
  <c r="V1201" i="13"/>
  <c r="V1238" i="13"/>
  <c r="R1238" i="13"/>
  <c r="V1198" i="13"/>
  <c r="R1198" i="13"/>
  <c r="W1204" i="13"/>
  <c r="R1209" i="13"/>
  <c r="V1209" i="13"/>
  <c r="R1217" i="13"/>
  <c r="V1217" i="13"/>
  <c r="W1248" i="13"/>
  <c r="Q1248" i="13"/>
  <c r="Q1272" i="13"/>
  <c r="W1272" i="13"/>
  <c r="W1188" i="13"/>
  <c r="V1206" i="13"/>
  <c r="R1206" i="13"/>
  <c r="W1212" i="13"/>
  <c r="W1220" i="13"/>
  <c r="V1222" i="13"/>
  <c r="R1222" i="13"/>
  <c r="W1225" i="13"/>
  <c r="R1280" i="13"/>
  <c r="V1280" i="13"/>
  <c r="R1342" i="13"/>
  <c r="V1342" i="13"/>
  <c r="Q1216" i="13"/>
  <c r="U1216" i="13"/>
  <c r="X1216" i="13"/>
  <c r="R1221" i="13"/>
  <c r="Q1224" i="13"/>
  <c r="U1224" i="13"/>
  <c r="X1224" i="13"/>
  <c r="V1225" i="13"/>
  <c r="R1229" i="13"/>
  <c r="Q1232" i="13"/>
  <c r="U1232" i="13"/>
  <c r="X1232" i="13"/>
  <c r="V1233" i="13"/>
  <c r="R1237" i="13"/>
  <c r="Q1240" i="13"/>
  <c r="U1240" i="13"/>
  <c r="X1240" i="13"/>
  <c r="T1243" i="13"/>
  <c r="V1249" i="13"/>
  <c r="R1251" i="13"/>
  <c r="Q1267" i="13"/>
  <c r="U1267" i="13"/>
  <c r="X1267" i="13"/>
  <c r="R1289" i="13"/>
  <c r="V1289" i="13"/>
  <c r="R1296" i="13"/>
  <c r="V1296" i="13"/>
  <c r="W1333" i="13"/>
  <c r="Q1333" i="13"/>
  <c r="W1228" i="13"/>
  <c r="W1236" i="13"/>
  <c r="W1255" i="13"/>
  <c r="R1261" i="13"/>
  <c r="R1272" i="13"/>
  <c r="V1272" i="13"/>
  <c r="W1279" i="13"/>
  <c r="W1287" i="13"/>
  <c r="W1387" i="13"/>
  <c r="Q1387" i="13"/>
  <c r="W1199" i="13"/>
  <c r="W1207" i="13"/>
  <c r="W1215" i="13"/>
  <c r="W1231" i="13"/>
  <c r="W1239" i="13"/>
  <c r="T1252" i="13"/>
  <c r="V1257" i="13"/>
  <c r="W1268" i="13"/>
  <c r="W1271" i="13"/>
  <c r="W1275" i="13"/>
  <c r="W1278" i="13"/>
  <c r="W1286" i="13"/>
  <c r="V1293" i="13"/>
  <c r="R1293" i="13"/>
  <c r="R1366" i="13"/>
  <c r="V1366" i="13"/>
  <c r="Q1377" i="13"/>
  <c r="W1377" i="13"/>
  <c r="W1395" i="13"/>
  <c r="Q1395" i="13"/>
  <c r="U1395" i="13"/>
  <c r="X1395" i="13"/>
  <c r="W1244" i="13"/>
  <c r="V1246" i="13"/>
  <c r="R1248" i="13"/>
  <c r="W1251" i="13"/>
  <c r="Q1256" i="13"/>
  <c r="W1270" i="13"/>
  <c r="R1304" i="13"/>
  <c r="V1304" i="13"/>
  <c r="Q1313" i="13"/>
  <c r="U1313" i="13"/>
  <c r="X1313" i="13"/>
  <c r="W1313" i="13"/>
  <c r="R1350" i="13"/>
  <c r="V1350" i="13"/>
  <c r="Q1385" i="13"/>
  <c r="U1385" i="13"/>
  <c r="X1385" i="13"/>
  <c r="W1385" i="13"/>
  <c r="W1189" i="13"/>
  <c r="W1197" i="13"/>
  <c r="W1205" i="13"/>
  <c r="W1213" i="13"/>
  <c r="W1221" i="13"/>
  <c r="W1229" i="13"/>
  <c r="W1237" i="13"/>
  <c r="W1246" i="13"/>
  <c r="R1256" i="13"/>
  <c r="V1277" i="13"/>
  <c r="R1277" i="13"/>
  <c r="V1285" i="13"/>
  <c r="R1285" i="13"/>
  <c r="Q1307" i="13"/>
  <c r="U1307" i="13"/>
  <c r="X1307" i="13"/>
  <c r="W1307" i="13"/>
  <c r="Q1393" i="13"/>
  <c r="U1393" i="13"/>
  <c r="X1393" i="13"/>
  <c r="W1393" i="13"/>
  <c r="V1254" i="13"/>
  <c r="R1334" i="13"/>
  <c r="V1334" i="13"/>
  <c r="Q1401" i="13"/>
  <c r="W1401" i="13"/>
  <c r="W1241" i="13"/>
  <c r="W1257" i="13"/>
  <c r="W1260" i="13"/>
  <c r="R1281" i="13"/>
  <c r="V1281" i="13"/>
  <c r="W1299" i="13"/>
  <c r="R1358" i="13"/>
  <c r="V1358" i="13"/>
  <c r="Q1247" i="13"/>
  <c r="U1247" i="13"/>
  <c r="X1247" i="13"/>
  <c r="Q1255" i="13"/>
  <c r="U1255" i="13"/>
  <c r="X1255" i="13"/>
  <c r="Q1263" i="13"/>
  <c r="U1263" i="13"/>
  <c r="X1263" i="13"/>
  <c r="Q1271" i="13"/>
  <c r="U1271" i="13"/>
  <c r="X1271" i="13"/>
  <c r="Q1279" i="13"/>
  <c r="U1279" i="13"/>
  <c r="X1279" i="13"/>
  <c r="V1318" i="13"/>
  <c r="V1326" i="13"/>
  <c r="W1329" i="13"/>
  <c r="W1331" i="13"/>
  <c r="R1336" i="13"/>
  <c r="R1344" i="13"/>
  <c r="R1352" i="13"/>
  <c r="R1360" i="13"/>
  <c r="R1368" i="13"/>
  <c r="V1297" i="13"/>
  <c r="R1301" i="13"/>
  <c r="V1305" i="13"/>
  <c r="W1309" i="13"/>
  <c r="R1312" i="13"/>
  <c r="W1315" i="13"/>
  <c r="W1323" i="13"/>
  <c r="W1337" i="13"/>
  <c r="W1340" i="13"/>
  <c r="W1345" i="13"/>
  <c r="W1348" i="13"/>
  <c r="W1353" i="13"/>
  <c r="W1356" i="13"/>
  <c r="W1364" i="13"/>
  <c r="W1273" i="13"/>
  <c r="W1289" i="13"/>
  <c r="W1297" i="13"/>
  <c r="W1305" i="13"/>
  <c r="R1319" i="13"/>
  <c r="V1319" i="13"/>
  <c r="R1314" i="13"/>
  <c r="R1322" i="13"/>
  <c r="R1376" i="13"/>
  <c r="W1382" i="13"/>
  <c r="R1384" i="13"/>
  <c r="W1390" i="13"/>
  <c r="R1392" i="13"/>
  <c r="R1400" i="13"/>
  <c r="W1312" i="13"/>
  <c r="Q1318" i="13"/>
  <c r="U1318" i="13"/>
  <c r="X1318" i="13"/>
  <c r="Q1326" i="13"/>
  <c r="U1326" i="13"/>
  <c r="X1326" i="13"/>
  <c r="V1327" i="13"/>
  <c r="Q1334" i="13"/>
  <c r="U1334" i="13"/>
  <c r="X1334" i="13"/>
  <c r="V1335" i="13"/>
  <c r="Q1342" i="13"/>
  <c r="V1343" i="13"/>
  <c r="Q1350" i="13"/>
  <c r="U1350" i="13"/>
  <c r="X1350" i="13"/>
  <c r="V1351" i="13"/>
  <c r="Q1358" i="13"/>
  <c r="V1359" i="13"/>
  <c r="Q1366" i="13"/>
  <c r="U1366" i="13"/>
  <c r="X1366" i="13"/>
  <c r="V1367" i="13"/>
  <c r="Q1374" i="13"/>
  <c r="V1375" i="13"/>
  <c r="Q1382" i="13"/>
  <c r="U1382" i="13"/>
  <c r="X1382" i="13"/>
  <c r="Q1390" i="13"/>
  <c r="U1390" i="13"/>
  <c r="X1390" i="13"/>
  <c r="W1330" i="13"/>
  <c r="W1338" i="13"/>
  <c r="W1346" i="13"/>
  <c r="W1354" i="13"/>
  <c r="W1370" i="13"/>
  <c r="V1373" i="13"/>
  <c r="V1381" i="13"/>
  <c r="V1389" i="13"/>
  <c r="V1397" i="13"/>
  <c r="W1320" i="13"/>
  <c r="W1328" i="13"/>
  <c r="W1336" i="13"/>
  <c r="W1344" i="13"/>
  <c r="W1352" i="13"/>
  <c r="W1360" i="13"/>
  <c r="W1368" i="13"/>
  <c r="W1376" i="13"/>
  <c r="W1384" i="13"/>
  <c r="W1392" i="13"/>
  <c r="FP18" i="1"/>
  <c r="FW18" i="1"/>
  <c r="H6" i="13"/>
  <c r="H8" i="13"/>
  <c r="FQ18" i="1"/>
  <c r="E6" i="7"/>
  <c r="E5" i="7"/>
  <c r="CK3" i="1"/>
  <c r="BM4" i="1"/>
  <c r="BM6" i="1"/>
  <c r="BM14" i="1"/>
  <c r="G8" i="2"/>
  <c r="BM8" i="1"/>
  <c r="DW3" i="1"/>
  <c r="CA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3" i="1"/>
  <c r="AU9" i="1"/>
  <c r="BS9" i="1"/>
  <c r="CQ9" i="1"/>
  <c r="G4" i="2"/>
  <c r="G2" i="2"/>
  <c r="AP6" i="1"/>
  <c r="AD17" i="1"/>
  <c r="AF17" i="1"/>
  <c r="BT17" i="1"/>
  <c r="CR17" i="1"/>
  <c r="BU17" i="1"/>
  <c r="BV17" i="1"/>
  <c r="BX17" i="1"/>
  <c r="CV17" i="1"/>
  <c r="BY17" i="1"/>
  <c r="BS5" i="1"/>
  <c r="CQ5" i="1"/>
  <c r="BT5" i="1"/>
  <c r="CR5" i="1"/>
  <c r="BU5" i="1"/>
  <c r="BV5" i="1"/>
  <c r="BX5" i="1"/>
  <c r="CV5" i="1"/>
  <c r="BS6" i="1"/>
  <c r="CQ6" i="1"/>
  <c r="BT6" i="1"/>
  <c r="CR6" i="1"/>
  <c r="BU6" i="1"/>
  <c r="BV6" i="1"/>
  <c r="BX6" i="1"/>
  <c r="BS7" i="1"/>
  <c r="CQ7" i="1"/>
  <c r="BT7" i="1"/>
  <c r="CR7" i="1"/>
  <c r="BU7" i="1"/>
  <c r="BV7" i="1"/>
  <c r="BX7" i="1"/>
  <c r="BY7" i="1"/>
  <c r="CW7" i="1"/>
  <c r="BS8" i="1"/>
  <c r="CQ8" i="1"/>
  <c r="BT8" i="1"/>
  <c r="CR8" i="1"/>
  <c r="BU8" i="1"/>
  <c r="BV8" i="1"/>
  <c r="BX8" i="1"/>
  <c r="BZ9" i="1"/>
  <c r="BS10" i="1"/>
  <c r="CQ10" i="1"/>
  <c r="BT10" i="1"/>
  <c r="CR10" i="1"/>
  <c r="BU10" i="1"/>
  <c r="BV10" i="1"/>
  <c r="BX10" i="1"/>
  <c r="BY10" i="1"/>
  <c r="CW10" i="1"/>
  <c r="BS11" i="1"/>
  <c r="CQ11" i="1"/>
  <c r="BT11" i="1"/>
  <c r="CR11" i="1"/>
  <c r="BU11" i="1"/>
  <c r="BV11" i="1"/>
  <c r="BX11" i="1"/>
  <c r="BS12" i="1"/>
  <c r="CQ12" i="1"/>
  <c r="BT12" i="1"/>
  <c r="CR12" i="1"/>
  <c r="BU12" i="1"/>
  <c r="BV12" i="1"/>
  <c r="BX12" i="1"/>
  <c r="BS13" i="1"/>
  <c r="CQ13" i="1"/>
  <c r="BT13" i="1"/>
  <c r="CR13" i="1"/>
  <c r="BU13" i="1"/>
  <c r="BV13" i="1"/>
  <c r="BX13" i="1"/>
  <c r="BS15" i="1"/>
  <c r="CQ15" i="1"/>
  <c r="BT15" i="1"/>
  <c r="CR15" i="1"/>
  <c r="BU15" i="1"/>
  <c r="BV15" i="1"/>
  <c r="BX15" i="1"/>
  <c r="BY15" i="1"/>
  <c r="BZ15" i="1"/>
  <c r="BS16" i="1"/>
  <c r="CQ16" i="1"/>
  <c r="BT16" i="1"/>
  <c r="CR16" i="1"/>
  <c r="BU16" i="1"/>
  <c r="BV16" i="1"/>
  <c r="BX16" i="1"/>
  <c r="BY16" i="1"/>
  <c r="BZ16" i="1"/>
  <c r="AV9" i="1"/>
  <c r="BT9" i="1"/>
  <c r="CR9" i="1"/>
  <c r="AW9" i="1"/>
  <c r="BU9" i="1"/>
  <c r="AX9" i="1"/>
  <c r="BV9" i="1"/>
  <c r="AZ9" i="1"/>
  <c r="BX9" i="1"/>
  <c r="BP9" i="1"/>
  <c r="CN9" i="1"/>
  <c r="BP10" i="1"/>
  <c r="CN10" i="1"/>
  <c r="CN3" i="1"/>
  <c r="BX3" i="1"/>
  <c r="CV3" i="1"/>
  <c r="BY3" i="1"/>
  <c r="CW3" i="1"/>
  <c r="CI3" i="1"/>
  <c r="DG3" i="1"/>
  <c r="CC3" i="1"/>
  <c r="BV3" i="1"/>
  <c r="BU3" i="1"/>
  <c r="BT3" i="1"/>
  <c r="CR3" i="1"/>
  <c r="BS3" i="1"/>
  <c r="CQ3" i="1"/>
  <c r="BM15" i="1"/>
  <c r="BM13" i="1"/>
  <c r="BM12" i="1"/>
  <c r="BM7" i="1"/>
  <c r="BM5" i="1"/>
  <c r="BM11" i="1"/>
  <c r="BM3" i="1"/>
  <c r="BM10" i="1"/>
  <c r="BM17" i="1"/>
  <c r="BM9" i="1"/>
  <c r="BM16" i="1"/>
  <c r="AL4" i="1"/>
  <c r="AN4" i="1"/>
  <c r="AT4" i="1"/>
  <c r="AS4" i="1"/>
  <c r="AD16" i="1"/>
  <c r="AF16" i="1"/>
  <c r="AD15" i="1"/>
  <c r="AF15" i="1"/>
  <c r="AD14" i="1"/>
  <c r="AF3" i="1"/>
  <c r="AE4" i="1"/>
  <c r="AF4" i="1"/>
  <c r="AF5" i="1"/>
  <c r="AE6" i="1"/>
  <c r="AF6" i="1"/>
  <c r="AF7" i="1"/>
  <c r="AF8" i="1"/>
  <c r="AF9" i="1"/>
  <c r="AF10" i="1"/>
  <c r="AF11" i="1"/>
  <c r="AF12" i="1"/>
  <c r="AF13" i="1"/>
  <c r="AD4" i="1"/>
  <c r="AD7" i="1"/>
  <c r="AD8" i="1"/>
  <c r="AD9" i="1"/>
  <c r="AD10" i="1"/>
  <c r="AD11" i="1"/>
  <c r="AD12" i="1"/>
  <c r="AD13" i="1"/>
  <c r="AD3" i="1"/>
  <c r="BA10" i="3"/>
  <c r="BT9" i="3"/>
  <c r="AX10" i="3"/>
  <c r="BD11" i="3"/>
  <c r="BC10" i="3"/>
  <c r="BS17" i="3"/>
  <c r="BT17" i="3"/>
  <c r="BR18" i="3"/>
  <c r="BT18" i="3"/>
  <c r="BT20" i="3"/>
  <c r="BR21" i="3"/>
  <c r="BT21" i="3"/>
  <c r="BT23" i="3"/>
  <c r="BR24" i="3"/>
  <c r="BT24" i="3"/>
  <c r="BT26" i="3"/>
  <c r="BR27" i="3"/>
  <c r="BT27" i="3"/>
  <c r="BT29" i="3"/>
  <c r="BR30" i="3"/>
  <c r="BT30" i="3"/>
  <c r="BT32" i="3"/>
  <c r="BR33" i="3"/>
  <c r="BT33" i="3"/>
  <c r="BT35" i="3"/>
  <c r="BR36" i="3"/>
  <c r="BT36" i="3"/>
  <c r="BT38" i="3"/>
  <c r="BR39" i="3"/>
  <c r="BT39" i="3"/>
  <c r="BT41" i="3"/>
  <c r="BR42" i="3"/>
  <c r="BT42" i="3"/>
  <c r="BT44" i="3"/>
  <c r="BR45" i="3"/>
  <c r="BT45" i="3"/>
  <c r="BT47" i="3"/>
  <c r="BR48" i="3"/>
  <c r="BT48" i="3"/>
  <c r="BT50" i="3"/>
  <c r="BR51" i="3"/>
  <c r="BT51" i="3"/>
  <c r="BT53" i="3"/>
  <c r="BR54" i="3"/>
  <c r="BT54" i="3"/>
  <c r="BT56" i="3"/>
  <c r="BR57" i="3"/>
  <c r="BT57" i="3"/>
  <c r="BT59" i="3"/>
  <c r="BR60" i="3"/>
  <c r="BT60" i="3"/>
  <c r="BT62" i="3"/>
  <c r="BR63" i="3"/>
  <c r="BT63" i="3"/>
  <c r="BT65" i="3"/>
  <c r="BR66" i="3"/>
  <c r="BT66" i="3"/>
  <c r="BT68" i="3"/>
  <c r="BR69" i="3"/>
  <c r="BT69" i="3"/>
  <c r="BT71" i="3"/>
  <c r="BR72" i="3"/>
  <c r="BT72" i="3"/>
  <c r="BT74" i="3"/>
  <c r="BR75" i="3"/>
  <c r="BT75" i="3"/>
  <c r="BT77" i="3"/>
  <c r="BQ15" i="3"/>
  <c r="BR15" i="3"/>
  <c r="BS15" i="3"/>
  <c r="BT15" i="3"/>
  <c r="AZ16" i="3"/>
  <c r="BA15" i="3"/>
  <c r="AZ15" i="3"/>
  <c r="AT15" i="3"/>
  <c r="AV16" i="3"/>
  <c r="BL16" i="3"/>
  <c r="BH77" i="3"/>
  <c r="BH75" i="3"/>
  <c r="BH74" i="3"/>
  <c r="BH72" i="3"/>
  <c r="BH71" i="3"/>
  <c r="BH69" i="3"/>
  <c r="BH68" i="3"/>
  <c r="BH66" i="3"/>
  <c r="BH65" i="3"/>
  <c r="BH63" i="3"/>
  <c r="BH62" i="3"/>
  <c r="BH60" i="3"/>
  <c r="BH59" i="3"/>
  <c r="BH57" i="3"/>
  <c r="BH56" i="3"/>
  <c r="BH54" i="3"/>
  <c r="BH53" i="3"/>
  <c r="BH51" i="3"/>
  <c r="BH50" i="3"/>
  <c r="BH48" i="3"/>
  <c r="BH47" i="3"/>
  <c r="BH45" i="3"/>
  <c r="BH44" i="3"/>
  <c r="BH42" i="3"/>
  <c r="BH41" i="3"/>
  <c r="BH39" i="3"/>
  <c r="BH38" i="3"/>
  <c r="BH36" i="3"/>
  <c r="BH35" i="3"/>
  <c r="BH33" i="3"/>
  <c r="BH32" i="3"/>
  <c r="BH30" i="3"/>
  <c r="BH29" i="3"/>
  <c r="BH27" i="3"/>
  <c r="BH26" i="3"/>
  <c r="BH24" i="3"/>
  <c r="BH23" i="3"/>
  <c r="BH21" i="3"/>
  <c r="BH20" i="3"/>
  <c r="BH18" i="3"/>
  <c r="BH17" i="3"/>
  <c r="BG17" i="3"/>
  <c r="BH15" i="3"/>
  <c r="BG15" i="3"/>
  <c r="E4" i="7"/>
  <c r="E3" i="7"/>
  <c r="E2" i="7"/>
  <c r="O4" i="6"/>
  <c r="N4" i="6"/>
  <c r="M4" i="6"/>
  <c r="L4" i="6"/>
  <c r="K4" i="6"/>
  <c r="J4" i="6"/>
  <c r="O3" i="6"/>
  <c r="N3" i="6"/>
  <c r="L3" i="6"/>
  <c r="K3" i="6"/>
  <c r="J3" i="6"/>
  <c r="G7" i="2"/>
  <c r="BY5" i="1"/>
  <c r="CW5" i="1"/>
  <c r="BY11" i="1"/>
  <c r="CW11" i="1"/>
  <c r="G6" i="2"/>
  <c r="G5" i="2"/>
  <c r="G3" i="2"/>
  <c r="BZ7" i="1"/>
  <c r="BZ10" i="1"/>
  <c r="BZ13" i="1"/>
  <c r="CX13" i="1"/>
  <c r="U13" i="1"/>
  <c r="V13" i="1"/>
  <c r="BZ3" i="1"/>
  <c r="CX3" i="1"/>
  <c r="BZ5" i="1"/>
  <c r="BZ8" i="1"/>
  <c r="BZ11" i="1"/>
  <c r="CX11" i="1"/>
  <c r="U11" i="1"/>
  <c r="V11" i="1"/>
  <c r="BZ17" i="1"/>
  <c r="BZ6" i="1"/>
  <c r="CX6" i="1"/>
  <c r="U6" i="1"/>
  <c r="V6" i="1"/>
  <c r="BW6" i="1"/>
  <c r="AL3" i="1"/>
  <c r="BS18" i="1"/>
  <c r="CQ18" i="1"/>
  <c r="HH20" i="1"/>
  <c r="V41" i="13"/>
  <c r="R41" i="13"/>
  <c r="T441" i="13"/>
  <c r="W441" i="13"/>
  <c r="Q1296" i="13"/>
  <c r="W1296" i="13"/>
  <c r="BO110" i="1"/>
  <c r="CM110" i="1"/>
  <c r="BO38" i="1"/>
  <c r="CM38" i="1"/>
  <c r="BO32" i="1"/>
  <c r="CM32" i="1"/>
  <c r="GI20" i="1"/>
  <c r="V1269" i="13"/>
  <c r="R1014" i="13"/>
  <c r="U880" i="13"/>
  <c r="X880" i="13"/>
  <c r="U1024" i="13"/>
  <c r="X1024" i="13"/>
  <c r="U586" i="13"/>
  <c r="X586" i="13"/>
  <c r="R64" i="13"/>
  <c r="Q12" i="13"/>
  <c r="W12" i="13"/>
  <c r="W127" i="13"/>
  <c r="Q127" i="13"/>
  <c r="V142" i="13"/>
  <c r="R142" i="13"/>
  <c r="Q241" i="13"/>
  <c r="U241" i="13"/>
  <c r="X241" i="13"/>
  <c r="W241" i="13"/>
  <c r="Q249" i="13"/>
  <c r="W249" i="13"/>
  <c r="T265" i="13"/>
  <c r="W265" i="13"/>
  <c r="W363" i="13"/>
  <c r="T363" i="13"/>
  <c r="T371" i="13"/>
  <c r="W371" i="13"/>
  <c r="T864" i="13"/>
  <c r="W864" i="13"/>
  <c r="R925" i="13"/>
  <c r="V925" i="13"/>
  <c r="Q933" i="13"/>
  <c r="W933" i="13"/>
  <c r="Q1208" i="13"/>
  <c r="W1208" i="13"/>
  <c r="T1266" i="13"/>
  <c r="W1266" i="13"/>
  <c r="R1372" i="13"/>
  <c r="V1372" i="13"/>
  <c r="U925" i="13"/>
  <c r="X925" i="13"/>
  <c r="R366" i="13"/>
  <c r="W1026" i="13"/>
  <c r="W320" i="13"/>
  <c r="V351" i="13"/>
  <c r="R762" i="13"/>
  <c r="T30" i="13"/>
  <c r="R123" i="13"/>
  <c r="V123" i="13"/>
  <c r="W285" i="13"/>
  <c r="T285" i="13"/>
  <c r="T305" i="13"/>
  <c r="W305" i="13"/>
  <c r="T332" i="13"/>
  <c r="W332" i="13"/>
  <c r="T336" i="13"/>
  <c r="W336" i="13"/>
  <c r="U359" i="13"/>
  <c r="X359" i="13"/>
  <c r="R540" i="13"/>
  <c r="U540" i="13"/>
  <c r="X540" i="13"/>
  <c r="V540" i="13"/>
  <c r="R548" i="13"/>
  <c r="V548" i="13"/>
  <c r="V697" i="13"/>
  <c r="R697" i="13"/>
  <c r="U845" i="13"/>
  <c r="X845" i="13"/>
  <c r="Q1250" i="13"/>
  <c r="W1250" i="13"/>
  <c r="T746" i="13"/>
  <c r="W746" i="13"/>
  <c r="V1002" i="13"/>
  <c r="R1002" i="13"/>
  <c r="W1049" i="13"/>
  <c r="AH14" i="1"/>
  <c r="AI14" i="1"/>
  <c r="AL21" i="1"/>
  <c r="AL22" i="1"/>
  <c r="AL23" i="1"/>
  <c r="AL24" i="1"/>
  <c r="AL25" i="1"/>
  <c r="AL26" i="1"/>
  <c r="AL28" i="1"/>
  <c r="AL29" i="1"/>
  <c r="AK121" i="1"/>
  <c r="AL121" i="1"/>
  <c r="AK120" i="1"/>
  <c r="AL120" i="1"/>
  <c r="AL55" i="1"/>
  <c r="AK128" i="1"/>
  <c r="AL128" i="1"/>
  <c r="AL56" i="1"/>
  <c r="AL114" i="1"/>
  <c r="AL62" i="1"/>
  <c r="AL48" i="1"/>
  <c r="AL105" i="1"/>
  <c r="AH58" i="1"/>
  <c r="AI58" i="1"/>
  <c r="AL50" i="1"/>
  <c r="AH69" i="1"/>
  <c r="AI69" i="1"/>
  <c r="AH62" i="1"/>
  <c r="AI62" i="1"/>
  <c r="AL72" i="1"/>
  <c r="AH94" i="1"/>
  <c r="AI94" i="1"/>
  <c r="AL58" i="1"/>
  <c r="AH61" i="1"/>
  <c r="AI61" i="1"/>
  <c r="AL37" i="1"/>
  <c r="AL51" i="1"/>
  <c r="AL57" i="1"/>
  <c r="AL94" i="1"/>
  <c r="AK127" i="1"/>
  <c r="AL127" i="1"/>
  <c r="AH84" i="1"/>
  <c r="AI84" i="1"/>
  <c r="AH50" i="1"/>
  <c r="AI50" i="1"/>
  <c r="AL71" i="1"/>
  <c r="AH72" i="1"/>
  <c r="AI72" i="1"/>
  <c r="AH83" i="1"/>
  <c r="AI83" i="1"/>
  <c r="AL99" i="1"/>
  <c r="AL61" i="1"/>
  <c r="AH114" i="1"/>
  <c r="AI114" i="1"/>
  <c r="AL53" i="1"/>
  <c r="AL84" i="1"/>
  <c r="AL64" i="1"/>
  <c r="AH71" i="1"/>
  <c r="AI71" i="1"/>
  <c r="AL89" i="1"/>
  <c r="AH95" i="1"/>
  <c r="AI95" i="1"/>
  <c r="AH79" i="1"/>
  <c r="AI79" i="1"/>
  <c r="AH99" i="1"/>
  <c r="AI99" i="1"/>
  <c r="AH101" i="1"/>
  <c r="AI101" i="1"/>
  <c r="AL59" i="1"/>
  <c r="AH56" i="1"/>
  <c r="AI56" i="1"/>
  <c r="AH53" i="1"/>
  <c r="AI53" i="1"/>
  <c r="AH100" i="1"/>
  <c r="AI100" i="1"/>
  <c r="AH87" i="1"/>
  <c r="AI87" i="1"/>
  <c r="AH89" i="1"/>
  <c r="AI89" i="1"/>
  <c r="AL95" i="1"/>
  <c r="AL79" i="1"/>
  <c r="AH55" i="1"/>
  <c r="AI55" i="1"/>
  <c r="AH51" i="1"/>
  <c r="AI51" i="1"/>
  <c r="AH112" i="1"/>
  <c r="AI112" i="1"/>
  <c r="AL101" i="1"/>
  <c r="AH59" i="1"/>
  <c r="AI59" i="1"/>
  <c r="AL54" i="1"/>
  <c r="AH98" i="1"/>
  <c r="AI98" i="1"/>
  <c r="AL83" i="1"/>
  <c r="AK126" i="1"/>
  <c r="AL126" i="1"/>
  <c r="AL67" i="1"/>
  <c r="AL100" i="1"/>
  <c r="AL87" i="1"/>
  <c r="AL116" i="1"/>
  <c r="AH31" i="1"/>
  <c r="AI31" i="1"/>
  <c r="AH52" i="1"/>
  <c r="AI52" i="1"/>
  <c r="AH57" i="1"/>
  <c r="AI57" i="1"/>
  <c r="AL112" i="1"/>
  <c r="AH96" i="1"/>
  <c r="AI96" i="1"/>
  <c r="AL92" i="1"/>
  <c r="AL68" i="1"/>
  <c r="AH39" i="1"/>
  <c r="AI39" i="1"/>
  <c r="AK123" i="1"/>
  <c r="AL123" i="1"/>
  <c r="AH67" i="1"/>
  <c r="AI67" i="1"/>
  <c r="AH111" i="1"/>
  <c r="AI111" i="1"/>
  <c r="AH116" i="1"/>
  <c r="AI116" i="1"/>
  <c r="AL47" i="1"/>
  <c r="AL81" i="1"/>
  <c r="AK125" i="1"/>
  <c r="AL125" i="1"/>
  <c r="AL31" i="1"/>
  <c r="AH90" i="1"/>
  <c r="AI90" i="1"/>
  <c r="AH91" i="1"/>
  <c r="AI91" i="1"/>
  <c r="AL96" i="1"/>
  <c r="AH92" i="1"/>
  <c r="AI92" i="1"/>
  <c r="AH68" i="1"/>
  <c r="AI68" i="1"/>
  <c r="AL77" i="1"/>
  <c r="AH44" i="1"/>
  <c r="AI44" i="1"/>
  <c r="AH35" i="1"/>
  <c r="AI35" i="1"/>
  <c r="AH63" i="1"/>
  <c r="AI63" i="1"/>
  <c r="AH60" i="1"/>
  <c r="AI60" i="1"/>
  <c r="AL90" i="1"/>
  <c r="AH103" i="1"/>
  <c r="AI103" i="1"/>
  <c r="AH47" i="1"/>
  <c r="AI47" i="1"/>
  <c r="AL91" i="1"/>
  <c r="AH93" i="1"/>
  <c r="AI93" i="1"/>
  <c r="AK124" i="1"/>
  <c r="AL124" i="1"/>
  <c r="AH41" i="1"/>
  <c r="AI41" i="1"/>
  <c r="AL113" i="1"/>
  <c r="AL63" i="1"/>
  <c r="AH45" i="1"/>
  <c r="AI45" i="1"/>
  <c r="AL60" i="1"/>
  <c r="AH85" i="1"/>
  <c r="AI85" i="1"/>
  <c r="AL93" i="1"/>
  <c r="AL117" i="1"/>
  <c r="AH102" i="1"/>
  <c r="AI102" i="1"/>
  <c r="AH88" i="1"/>
  <c r="AI88" i="1"/>
  <c r="AH46" i="1"/>
  <c r="AI46" i="1"/>
  <c r="AK119" i="1"/>
  <c r="AL119" i="1"/>
  <c r="AK130" i="1"/>
  <c r="AL130" i="1"/>
  <c r="AL43" i="1"/>
  <c r="AL70" i="1"/>
  <c r="AL41" i="1"/>
  <c r="AH113" i="1"/>
  <c r="AI113" i="1"/>
  <c r="AL45" i="1"/>
  <c r="AL49" i="1"/>
  <c r="AL85" i="1"/>
  <c r="AH73" i="1"/>
  <c r="AI73" i="1"/>
  <c r="AL98" i="1"/>
  <c r="AL102" i="1"/>
  <c r="AL86" i="1"/>
  <c r="AL36" i="1"/>
  <c r="AH70" i="1"/>
  <c r="AI70" i="1"/>
  <c r="AH49" i="1"/>
  <c r="AI49" i="1"/>
  <c r="AH109" i="1"/>
  <c r="AI109" i="1"/>
  <c r="AL73" i="1"/>
  <c r="AL108" i="1"/>
  <c r="AL97" i="1"/>
  <c r="AH86" i="1"/>
  <c r="AI86" i="1"/>
  <c r="AH104" i="1"/>
  <c r="AI104" i="1"/>
  <c r="AH37" i="1"/>
  <c r="AI37" i="1"/>
  <c r="AL80" i="1"/>
  <c r="AL109" i="1"/>
  <c r="AH74" i="1"/>
  <c r="AI74" i="1"/>
  <c r="AH81" i="1"/>
  <c r="AI81" i="1"/>
  <c r="AL104" i="1"/>
  <c r="AH97" i="1"/>
  <c r="AI97" i="1"/>
  <c r="AL52" i="1"/>
  <c r="AL69" i="1"/>
  <c r="AH118" i="1"/>
  <c r="AI118" i="1"/>
  <c r="AH80" i="1"/>
  <c r="AI80" i="1"/>
  <c r="AL74" i="1"/>
  <c r="AH77" i="1"/>
  <c r="AI77" i="1"/>
  <c r="AL82" i="1"/>
  <c r="AL66" i="1"/>
  <c r="AK129" i="1"/>
  <c r="AL129" i="1"/>
  <c r="AH33" i="1"/>
  <c r="AI33" i="1"/>
  <c r="AH48" i="1"/>
  <c r="AI48" i="1"/>
  <c r="AH75" i="1"/>
  <c r="AI75" i="1"/>
  <c r="AH82" i="1"/>
  <c r="AI82" i="1"/>
  <c r="AL46" i="1"/>
  <c r="AH66" i="1"/>
  <c r="AI66" i="1"/>
  <c r="AL34" i="1"/>
  <c r="AH106" i="1"/>
  <c r="AI106" i="1"/>
  <c r="AL33" i="1"/>
  <c r="AL76" i="1"/>
  <c r="AH65" i="1"/>
  <c r="AI65" i="1"/>
  <c r="AH40" i="1"/>
  <c r="AI40" i="1"/>
  <c r="AL115" i="1"/>
  <c r="AH117" i="1"/>
  <c r="AI117" i="1"/>
  <c r="AL39" i="1"/>
  <c r="AL88" i="1"/>
  <c r="AH76" i="1"/>
  <c r="AI76" i="1"/>
  <c r="AL65" i="1"/>
  <c r="AH54" i="1"/>
  <c r="AI54" i="1"/>
  <c r="AL40" i="1"/>
  <c r="AH115" i="1"/>
  <c r="AI115" i="1"/>
  <c r="AL42" i="1"/>
  <c r="AK122" i="1"/>
  <c r="AL122" i="1"/>
  <c r="AL103" i="1"/>
  <c r="AH105" i="1"/>
  <c r="AI105" i="1"/>
  <c r="AL118" i="1"/>
  <c r="AH78" i="1"/>
  <c r="AI78" i="1"/>
  <c r="AL106" i="1"/>
  <c r="AH107" i="1"/>
  <c r="AI107" i="1"/>
  <c r="AL78" i="1"/>
  <c r="AL44" i="1"/>
  <c r="AL107" i="1"/>
  <c r="AH43" i="1"/>
  <c r="AI43" i="1"/>
  <c r="AL111" i="1"/>
  <c r="AL35" i="1"/>
  <c r="AH34" i="1"/>
  <c r="AI34" i="1"/>
  <c r="AH108" i="1"/>
  <c r="AI108" i="1"/>
  <c r="AH36" i="1"/>
  <c r="AI36" i="1"/>
  <c r="AL75" i="1"/>
  <c r="AH64" i="1"/>
  <c r="AI64" i="1"/>
  <c r="AH42" i="1"/>
  <c r="AI42" i="1"/>
  <c r="AK38" i="1"/>
  <c r="AL38" i="1"/>
  <c r="AY32" i="1"/>
  <c r="BW32" i="1"/>
  <c r="AK110" i="1"/>
  <c r="AL110" i="1"/>
  <c r="AY38" i="1"/>
  <c r="BW38" i="1"/>
  <c r="AY110" i="1"/>
  <c r="BW110" i="1"/>
  <c r="AK32" i="1"/>
  <c r="AH29" i="1"/>
  <c r="AI29" i="1"/>
  <c r="AH28" i="1"/>
  <c r="AI28" i="1"/>
  <c r="AL12" i="1"/>
  <c r="AH5" i="1"/>
  <c r="AL13" i="1"/>
  <c r="AL14" i="1"/>
  <c r="AL11" i="1"/>
  <c r="AH7" i="1"/>
  <c r="AL5" i="1"/>
  <c r="AL8" i="1"/>
  <c r="AH8" i="1"/>
  <c r="AH9" i="1"/>
  <c r="AI9" i="1"/>
  <c r="AH10" i="1"/>
  <c r="AI10" i="1"/>
  <c r="AJ10" i="1"/>
  <c r="AK17" i="1"/>
  <c r="AH25" i="1"/>
  <c r="AI25" i="1"/>
  <c r="AH21" i="1"/>
  <c r="AI21" i="1"/>
  <c r="AH11" i="1"/>
  <c r="AH22" i="1"/>
  <c r="AI22" i="1"/>
  <c r="AL7" i="1"/>
  <c r="AL9" i="1"/>
  <c r="AH12" i="1"/>
  <c r="AH23" i="1"/>
  <c r="AI23" i="1"/>
  <c r="AJ23" i="1"/>
  <c r="AH13" i="1"/>
  <c r="AH24" i="1"/>
  <c r="AI24" i="1"/>
  <c r="AJ24" i="1"/>
  <c r="AL10" i="1"/>
  <c r="AH26" i="1"/>
  <c r="AI26" i="1"/>
  <c r="GH20" i="1"/>
  <c r="W1281" i="13"/>
  <c r="W1304" i="13"/>
  <c r="U1148" i="13"/>
  <c r="X1148" i="13"/>
  <c r="W1041" i="13"/>
  <c r="U1098" i="13"/>
  <c r="X1098" i="13"/>
  <c r="R1018" i="13"/>
  <c r="R746" i="13"/>
  <c r="R33" i="13"/>
  <c r="T147" i="13"/>
  <c r="W147" i="13"/>
  <c r="T218" i="13"/>
  <c r="W218" i="13"/>
  <c r="R261" i="13"/>
  <c r="V261" i="13"/>
  <c r="Q269" i="13"/>
  <c r="W269" i="13"/>
  <c r="T666" i="13"/>
  <c r="W666" i="13"/>
  <c r="W705" i="13"/>
  <c r="Q705" i="13"/>
  <c r="U705" i="13"/>
  <c r="X705" i="13"/>
  <c r="T807" i="13"/>
  <c r="W807" i="13"/>
  <c r="T811" i="13"/>
  <c r="W811" i="13"/>
  <c r="V1231" i="13"/>
  <c r="R1231" i="13"/>
  <c r="V742" i="13"/>
  <c r="R409" i="13"/>
  <c r="V409" i="13"/>
  <c r="Q598" i="13"/>
  <c r="W598" i="13"/>
  <c r="V998" i="13"/>
  <c r="R998" i="13"/>
  <c r="R288" i="13"/>
  <c r="V288" i="13"/>
  <c r="U1333" i="13"/>
  <c r="X1333" i="13"/>
  <c r="U464" i="13"/>
  <c r="X464" i="13"/>
  <c r="W393" i="13"/>
  <c r="W964" i="13"/>
  <c r="R590" i="13"/>
  <c r="U335" i="13"/>
  <c r="X335" i="13"/>
  <c r="Q39" i="13"/>
  <c r="W39" i="13"/>
  <c r="R194" i="13"/>
  <c r="V194" i="13"/>
  <c r="V198" i="13"/>
  <c r="R198" i="13"/>
  <c r="U198" i="13"/>
  <c r="X198" i="13"/>
  <c r="V206" i="13"/>
  <c r="R206" i="13"/>
  <c r="T502" i="13"/>
  <c r="W502" i="13"/>
  <c r="Q911" i="13"/>
  <c r="W911" i="13"/>
  <c r="V922" i="13"/>
  <c r="R922" i="13"/>
  <c r="Q1077" i="13"/>
  <c r="W1077" i="13"/>
  <c r="R1333" i="13"/>
  <c r="V1333" i="13"/>
  <c r="DM29" i="1"/>
  <c r="EF29" i="1"/>
  <c r="DM69" i="1"/>
  <c r="EF69" i="1"/>
  <c r="EF47" i="1"/>
  <c r="DM47" i="1"/>
  <c r="EF52" i="1"/>
  <c r="DM52" i="1"/>
  <c r="DM84" i="1"/>
  <c r="EF84" i="1"/>
  <c r="DM75" i="1"/>
  <c r="EF75" i="1"/>
  <c r="Q425" i="13"/>
  <c r="W425" i="13"/>
  <c r="BJ32" i="1"/>
  <c r="CH32" i="1"/>
  <c r="DF32" i="1"/>
  <c r="BJ38" i="1"/>
  <c r="CH38" i="1"/>
  <c r="DF38" i="1"/>
  <c r="BJ110" i="1"/>
  <c r="CH110" i="1"/>
  <c r="DF110" i="1"/>
  <c r="W15" i="13"/>
  <c r="V312" i="13"/>
  <c r="R312" i="13"/>
  <c r="W1131" i="13"/>
  <c r="CE77" i="1"/>
  <c r="CE94" i="1"/>
  <c r="CE38" i="1"/>
  <c r="CE41" i="1"/>
  <c r="CE54" i="1"/>
  <c r="CE58" i="1"/>
  <c r="CE37" i="1"/>
  <c r="CE102" i="1"/>
  <c r="CE95" i="1"/>
  <c r="CE69" i="1"/>
  <c r="CE89" i="1"/>
  <c r="CE59" i="1"/>
  <c r="CE96" i="1"/>
  <c r="CE52" i="1"/>
  <c r="CE35" i="1"/>
  <c r="CE98" i="1"/>
  <c r="CE71" i="1"/>
  <c r="CE87" i="1"/>
  <c r="CE114" i="1"/>
  <c r="CE50" i="1"/>
  <c r="CE67" i="1"/>
  <c r="CE39" i="1"/>
  <c r="CE62" i="1"/>
  <c r="CE81" i="1"/>
  <c r="CE43" i="1"/>
  <c r="CE113" i="1"/>
  <c r="CE65" i="1"/>
  <c r="CE93" i="1"/>
  <c r="CE85" i="1"/>
  <c r="CE33" i="1"/>
  <c r="CE57" i="1"/>
  <c r="CE74" i="1"/>
  <c r="CE61" i="1"/>
  <c r="CE118" i="1"/>
  <c r="CE117" i="1"/>
  <c r="CE116" i="1"/>
  <c r="CE42" i="1"/>
  <c r="CE82" i="1"/>
  <c r="CE56" i="1"/>
  <c r="CE64" i="1"/>
  <c r="CE51" i="1"/>
  <c r="CE72" i="1"/>
  <c r="CE115" i="1"/>
  <c r="CE100" i="1"/>
  <c r="CE49" i="1"/>
  <c r="CE106" i="1"/>
  <c r="CE79" i="1"/>
  <c r="CE48" i="1"/>
  <c r="CE36" i="1"/>
  <c r="CE75" i="1"/>
  <c r="CE76" i="1"/>
  <c r="CE34" i="1"/>
  <c r="CE78" i="1"/>
  <c r="CE99" i="1"/>
  <c r="CE60" i="1"/>
  <c r="CE110" i="1"/>
  <c r="CE88" i="1"/>
  <c r="CE46" i="1"/>
  <c r="CE45" i="1"/>
  <c r="CE92" i="1"/>
  <c r="CE44" i="1"/>
  <c r="CE55" i="1"/>
  <c r="CE86" i="1"/>
  <c r="CE90" i="1"/>
  <c r="CE53" i="1"/>
  <c r="CE31" i="1"/>
  <c r="CE32" i="1"/>
  <c r="CE103" i="1"/>
  <c r="CE109" i="1"/>
  <c r="CE83" i="1"/>
  <c r="CE91" i="1"/>
  <c r="CE47" i="1"/>
  <c r="CE104" i="1"/>
  <c r="CE40" i="1"/>
  <c r="CE73" i="1"/>
  <c r="CE63" i="1"/>
  <c r="CE97" i="1"/>
  <c r="CE66" i="1"/>
  <c r="CE108" i="1"/>
  <c r="CE112" i="1"/>
  <c r="CE84" i="1"/>
  <c r="CE70" i="1"/>
  <c r="CE107" i="1"/>
  <c r="CE68" i="1"/>
  <c r="CE80" i="1"/>
  <c r="CE105" i="1"/>
  <c r="CE101" i="1"/>
  <c r="CE111" i="1"/>
  <c r="CE29" i="1"/>
  <c r="CE28" i="1"/>
  <c r="BM106" i="1"/>
  <c r="BM90" i="1"/>
  <c r="BM109" i="1"/>
  <c r="BM116" i="1"/>
  <c r="BM104" i="1"/>
  <c r="BM86" i="1"/>
  <c r="BM62" i="1"/>
  <c r="BM56" i="1"/>
  <c r="BM57" i="1"/>
  <c r="BM102" i="1"/>
  <c r="BM60" i="1"/>
  <c r="BM110" i="1"/>
  <c r="BM83" i="1"/>
  <c r="BM53" i="1"/>
  <c r="BM64" i="1"/>
  <c r="BM105" i="1"/>
  <c r="BM68" i="1"/>
  <c r="BM74" i="1"/>
  <c r="BM94" i="1"/>
  <c r="BM70" i="1"/>
  <c r="BM49" i="1"/>
  <c r="BM44" i="1"/>
  <c r="BM45" i="1"/>
  <c r="BM43" i="1"/>
  <c r="BM51" i="1"/>
  <c r="BM46" i="1"/>
  <c r="BM111" i="1"/>
  <c r="BM113" i="1"/>
  <c r="BM107" i="1"/>
  <c r="BM76" i="1"/>
  <c r="BM63" i="1"/>
  <c r="BM32" i="1"/>
  <c r="BM96" i="1"/>
  <c r="BM99" i="1"/>
  <c r="BM65" i="1"/>
  <c r="BM54" i="1"/>
  <c r="BM118" i="1"/>
  <c r="BM112" i="1"/>
  <c r="BM101" i="1"/>
  <c r="BM114" i="1"/>
  <c r="BM108" i="1"/>
  <c r="BM81" i="1"/>
  <c r="BM92" i="1"/>
  <c r="BM58" i="1"/>
  <c r="BM72" i="1"/>
  <c r="BM78" i="1"/>
  <c r="BM75" i="1"/>
  <c r="BM66" i="1"/>
  <c r="BM77" i="1"/>
  <c r="BM91" i="1"/>
  <c r="BM48" i="1"/>
  <c r="BM61" i="1"/>
  <c r="BM100" i="1"/>
  <c r="BM40" i="1"/>
  <c r="BM34" i="1"/>
  <c r="BM87" i="1"/>
  <c r="BM80" i="1"/>
  <c r="BM31" i="1"/>
  <c r="BM93" i="1"/>
  <c r="BM98" i="1"/>
  <c r="BM67" i="1"/>
  <c r="BM79" i="1"/>
  <c r="BM84" i="1"/>
  <c r="BM95" i="1"/>
  <c r="BM52" i="1"/>
  <c r="BM39" i="1"/>
  <c r="BM36" i="1"/>
  <c r="BM47" i="1"/>
  <c r="BM103" i="1"/>
  <c r="BM41" i="1"/>
  <c r="BM97" i="1"/>
  <c r="BM82" i="1"/>
  <c r="BM71" i="1"/>
  <c r="BM115" i="1"/>
  <c r="BM55" i="1"/>
  <c r="BM73" i="1"/>
  <c r="BM69" i="1"/>
  <c r="BM33" i="1"/>
  <c r="BM88" i="1"/>
  <c r="BM38" i="1"/>
  <c r="BM37" i="1"/>
  <c r="BM59" i="1"/>
  <c r="BM42" i="1"/>
  <c r="BM89" i="1"/>
  <c r="BM85" i="1"/>
  <c r="BM117" i="1"/>
  <c r="BM50" i="1"/>
  <c r="BM35" i="1"/>
  <c r="BM29" i="1"/>
  <c r="BM28" i="1"/>
  <c r="U1374" i="13"/>
  <c r="X1374" i="13"/>
  <c r="U1377" i="13"/>
  <c r="X1377" i="13"/>
  <c r="W1123" i="13"/>
  <c r="U1090" i="13"/>
  <c r="X1090" i="13"/>
  <c r="U1042" i="13"/>
  <c r="X1042" i="13"/>
  <c r="U1014" i="13"/>
  <c r="X1014" i="13"/>
  <c r="W1018" i="13"/>
  <c r="U977" i="13"/>
  <c r="X977" i="13"/>
  <c r="U864" i="13"/>
  <c r="X864" i="13"/>
  <c r="R649" i="13"/>
  <c r="U649" i="13"/>
  <c r="X649" i="13"/>
  <c r="U519" i="13"/>
  <c r="X519" i="13"/>
  <c r="T433" i="13"/>
  <c r="R355" i="13"/>
  <c r="U1245" i="13"/>
  <c r="X1245" i="13"/>
  <c r="U1088" i="13"/>
  <c r="X1088" i="13"/>
  <c r="W437" i="13"/>
  <c r="Q328" i="13"/>
  <c r="U328" i="13"/>
  <c r="X328" i="13"/>
  <c r="V1142" i="13"/>
  <c r="T13" i="13"/>
  <c r="W13" i="13"/>
  <c r="V222" i="13"/>
  <c r="R222" i="13"/>
  <c r="Q643" i="13"/>
  <c r="U643" i="13"/>
  <c r="X643" i="13"/>
  <c r="W643" i="13"/>
  <c r="R795" i="13"/>
  <c r="V795" i="13"/>
  <c r="R899" i="13"/>
  <c r="V899" i="13"/>
  <c r="W790" i="13"/>
  <c r="V300" i="13"/>
  <c r="R300" i="13"/>
  <c r="V754" i="13"/>
  <c r="R754" i="13"/>
  <c r="R987" i="13"/>
  <c r="U987" i="13"/>
  <c r="X987" i="13"/>
  <c r="V987" i="13"/>
  <c r="V1006" i="13"/>
  <c r="V645" i="13"/>
  <c r="U212" i="13"/>
  <c r="X212" i="13"/>
  <c r="U41" i="13"/>
  <c r="X41" i="13"/>
  <c r="Q1308" i="13"/>
  <c r="U1308" i="13"/>
  <c r="X1308" i="13"/>
  <c r="W1045" i="13"/>
  <c r="U899" i="13"/>
  <c r="X899" i="13"/>
  <c r="U88" i="13"/>
  <c r="X88" i="13"/>
  <c r="V24" i="13"/>
  <c r="R24" i="13"/>
  <c r="T596" i="13"/>
  <c r="W596" i="13"/>
  <c r="V627" i="13"/>
  <c r="R627" i="13"/>
  <c r="R651" i="13"/>
  <c r="U651" i="13"/>
  <c r="X651" i="13"/>
  <c r="V651" i="13"/>
  <c r="W778" i="13"/>
  <c r="R641" i="13"/>
  <c r="W618" i="13"/>
  <c r="W429" i="13"/>
  <c r="R347" i="13"/>
  <c r="W401" i="13"/>
  <c r="W178" i="13"/>
  <c r="U1234" i="13"/>
  <c r="X1234" i="13"/>
  <c r="V1150" i="13"/>
  <c r="R391" i="13"/>
  <c r="V391" i="13"/>
  <c r="V399" i="13"/>
  <c r="R399" i="13"/>
  <c r="T737" i="13"/>
  <c r="W737" i="13"/>
  <c r="Q760" i="13"/>
  <c r="U760" i="13"/>
  <c r="X760" i="13"/>
  <c r="W760" i="13"/>
  <c r="R1016" i="13"/>
  <c r="V1016" i="13"/>
  <c r="W1121" i="13"/>
  <c r="T1121" i="13"/>
  <c r="W405" i="13"/>
  <c r="R417" i="13"/>
  <c r="V417" i="13"/>
  <c r="W397" i="13"/>
  <c r="R185" i="13"/>
  <c r="BY13" i="1"/>
  <c r="CW13" i="1"/>
  <c r="Y13" i="1"/>
  <c r="Z13" i="1"/>
  <c r="R1265" i="13"/>
  <c r="R975" i="13"/>
  <c r="W794" i="13"/>
  <c r="W170" i="13"/>
  <c r="U190" i="13"/>
  <c r="X190" i="13"/>
  <c r="W622" i="13"/>
  <c r="V335" i="13"/>
  <c r="R37" i="13"/>
  <c r="V125" i="13"/>
  <c r="R6" i="13"/>
  <c r="U6" i="13"/>
  <c r="X6" i="13"/>
  <c r="V6" i="13"/>
  <c r="Q55" i="13"/>
  <c r="W55" i="13"/>
  <c r="V136" i="13"/>
  <c r="R136" i="13"/>
  <c r="W168" i="13"/>
  <c r="R592" i="13"/>
  <c r="V592" i="13"/>
  <c r="R596" i="13"/>
  <c r="V596" i="13"/>
  <c r="T850" i="13"/>
  <c r="W850" i="13"/>
  <c r="R1010" i="13"/>
  <c r="U370" i="13"/>
  <c r="X370" i="13"/>
  <c r="BZ118" i="1"/>
  <c r="BZ71" i="1"/>
  <c r="BZ81" i="1"/>
  <c r="BZ92" i="1"/>
  <c r="BZ34" i="1"/>
  <c r="BZ32" i="1"/>
  <c r="BZ94" i="1"/>
  <c r="BZ105" i="1"/>
  <c r="BZ60" i="1"/>
  <c r="BZ95" i="1"/>
  <c r="BZ106" i="1"/>
  <c r="BZ64" i="1"/>
  <c r="BZ97" i="1"/>
  <c r="BZ70" i="1"/>
  <c r="BZ54" i="1"/>
  <c r="BZ73" i="1"/>
  <c r="BZ87" i="1"/>
  <c r="BZ110" i="1"/>
  <c r="BZ68" i="1"/>
  <c r="BZ63" i="1"/>
  <c r="BZ89" i="1"/>
  <c r="BZ57" i="1"/>
  <c r="BZ55" i="1"/>
  <c r="BZ66" i="1"/>
  <c r="BZ48" i="1"/>
  <c r="BZ96" i="1"/>
  <c r="BZ84" i="1"/>
  <c r="BZ112" i="1"/>
  <c r="BZ37" i="1"/>
  <c r="BZ47" i="1"/>
  <c r="BZ36" i="1"/>
  <c r="BZ52" i="1"/>
  <c r="BZ58" i="1"/>
  <c r="BZ35" i="1"/>
  <c r="BZ53" i="1"/>
  <c r="BZ43" i="1"/>
  <c r="BZ50" i="1"/>
  <c r="BZ102" i="1"/>
  <c r="BZ42" i="1"/>
  <c r="BZ77" i="1"/>
  <c r="BZ41" i="1"/>
  <c r="BZ108" i="1"/>
  <c r="BZ44" i="1"/>
  <c r="BZ114" i="1"/>
  <c r="BZ76" i="1"/>
  <c r="BZ56" i="1"/>
  <c r="BZ67" i="1"/>
  <c r="BZ91" i="1"/>
  <c r="BZ80" i="1"/>
  <c r="BZ111" i="1"/>
  <c r="BZ59" i="1"/>
  <c r="BZ69" i="1"/>
  <c r="BZ116" i="1"/>
  <c r="BZ40" i="1"/>
  <c r="BZ113" i="1"/>
  <c r="BZ65" i="1"/>
  <c r="BZ98" i="1"/>
  <c r="BZ39" i="1"/>
  <c r="BZ62" i="1"/>
  <c r="BZ38" i="1"/>
  <c r="BZ93" i="1"/>
  <c r="BZ85" i="1"/>
  <c r="BZ72" i="1"/>
  <c r="BZ74" i="1"/>
  <c r="BZ88" i="1"/>
  <c r="BZ45" i="1"/>
  <c r="BZ117" i="1"/>
  <c r="BZ82" i="1"/>
  <c r="BZ86" i="1"/>
  <c r="BZ79" i="1"/>
  <c r="BZ115" i="1"/>
  <c r="BZ75" i="1"/>
  <c r="BZ78" i="1"/>
  <c r="BZ51" i="1"/>
  <c r="BZ49" i="1"/>
  <c r="BZ33" i="1"/>
  <c r="BZ103" i="1"/>
  <c r="BZ101" i="1"/>
  <c r="BZ46" i="1"/>
  <c r="BZ99" i="1"/>
  <c r="BZ109" i="1"/>
  <c r="BZ31" i="1"/>
  <c r="BZ107" i="1"/>
  <c r="BZ100" i="1"/>
  <c r="BZ104" i="1"/>
  <c r="BZ61" i="1"/>
  <c r="BZ90" i="1"/>
  <c r="BZ83" i="1"/>
  <c r="BZ28" i="1"/>
  <c r="BZ29" i="1"/>
  <c r="BZ24" i="1"/>
  <c r="CX24" i="1"/>
  <c r="BZ23" i="1"/>
  <c r="CX23" i="1"/>
  <c r="BZ26" i="1"/>
  <c r="CX26" i="1"/>
  <c r="BZ21" i="1"/>
  <c r="CX21" i="1"/>
  <c r="BZ22" i="1"/>
  <c r="CX22" i="1"/>
  <c r="BZ25" i="1"/>
  <c r="CX25" i="1"/>
  <c r="BZ4" i="1"/>
  <c r="BA9" i="1"/>
  <c r="BY9" i="1"/>
  <c r="CW9" i="1"/>
  <c r="W9" i="1"/>
  <c r="X9" i="1"/>
  <c r="BY12" i="1"/>
  <c r="CW12" i="1"/>
  <c r="W12" i="1"/>
  <c r="X12" i="1"/>
  <c r="BZ12" i="1"/>
  <c r="CX12" i="1"/>
  <c r="U12" i="1"/>
  <c r="V12" i="1"/>
  <c r="BY6" i="1"/>
  <c r="CW6" i="1"/>
  <c r="HI20" i="1"/>
  <c r="FX20" i="1"/>
  <c r="V1288" i="13"/>
  <c r="U863" i="13"/>
  <c r="X863" i="13"/>
  <c r="W786" i="13"/>
  <c r="W610" i="13"/>
  <c r="R339" i="13"/>
  <c r="W382" i="13"/>
  <c r="U93" i="13"/>
  <c r="X93" i="13"/>
  <c r="W162" i="13"/>
  <c r="W758" i="13"/>
  <c r="U312" i="13"/>
  <c r="X312" i="13"/>
  <c r="U44" i="13"/>
  <c r="X44" i="13"/>
  <c r="U514" i="13"/>
  <c r="X514" i="13"/>
  <c r="R212" i="13"/>
  <c r="R320" i="13"/>
  <c r="V152" i="13"/>
  <c r="R152" i="13"/>
  <c r="Q322" i="13"/>
  <c r="W322" i="13"/>
  <c r="V357" i="13"/>
  <c r="R357" i="13"/>
  <c r="T361" i="13"/>
  <c r="W361" i="13"/>
  <c r="W550" i="13"/>
  <c r="Q550" i="13"/>
  <c r="U550" i="13"/>
  <c r="X550" i="13"/>
  <c r="T970" i="13"/>
  <c r="W970" i="13"/>
  <c r="Q1129" i="13"/>
  <c r="U1129" i="13"/>
  <c r="X1129" i="13"/>
  <c r="W1129" i="13"/>
  <c r="T960" i="13"/>
  <c r="W960" i="13"/>
  <c r="V1273" i="13"/>
  <c r="R983" i="13"/>
  <c r="W743" i="13"/>
  <c r="W762" i="13"/>
  <c r="W731" i="13"/>
  <c r="R331" i="13"/>
  <c r="W374" i="13"/>
  <c r="V979" i="13"/>
  <c r="W774" i="13"/>
  <c r="W750" i="13"/>
  <c r="R413" i="13"/>
  <c r="U424" i="13"/>
  <c r="X424" i="13"/>
  <c r="V44" i="13"/>
  <c r="R44" i="13"/>
  <c r="V239" i="13"/>
  <c r="R239" i="13"/>
  <c r="U239" i="13"/>
  <c r="X239" i="13"/>
  <c r="V243" i="13"/>
  <c r="R243" i="13"/>
  <c r="T271" i="13"/>
  <c r="W271" i="13"/>
  <c r="T703" i="13"/>
  <c r="W703" i="13"/>
  <c r="V828" i="13"/>
  <c r="R828" i="13"/>
  <c r="V1102" i="13"/>
  <c r="R1102" i="13"/>
  <c r="W1402" i="13"/>
  <c r="Q1402" i="13"/>
  <c r="U1402" i="13"/>
  <c r="X1402" i="13"/>
  <c r="R304" i="13"/>
  <c r="U304" i="13"/>
  <c r="X304" i="13"/>
  <c r="V304" i="13"/>
  <c r="T390" i="13"/>
  <c r="W390" i="13"/>
  <c r="Q708" i="13"/>
  <c r="W708" i="13"/>
  <c r="BY8" i="1"/>
  <c r="CW8" i="1"/>
  <c r="R1146" i="13"/>
  <c r="U1074" i="13"/>
  <c r="X1074" i="13"/>
  <c r="W739" i="13"/>
  <c r="W594" i="13"/>
  <c r="W445" i="13"/>
  <c r="W324" i="13"/>
  <c r="R750" i="13"/>
  <c r="V316" i="13"/>
  <c r="T83" i="13"/>
  <c r="W83" i="13"/>
  <c r="T87" i="13"/>
  <c r="W87" i="13"/>
  <c r="U106" i="13"/>
  <c r="X106" i="13"/>
  <c r="R558" i="13"/>
  <c r="V558" i="13"/>
  <c r="W1355" i="13"/>
  <c r="T1355" i="13"/>
  <c r="EF116" i="1"/>
  <c r="DM116" i="1"/>
  <c r="EF34" i="1"/>
  <c r="DM34" i="1"/>
  <c r="DM68" i="1"/>
  <c r="EF68" i="1"/>
  <c r="DM91" i="1"/>
  <c r="EF91" i="1"/>
  <c r="EF70" i="1"/>
  <c r="DM70" i="1"/>
  <c r="DM99" i="1"/>
  <c r="EF99" i="1"/>
  <c r="R8" i="13"/>
  <c r="V8" i="13"/>
  <c r="R586" i="13"/>
  <c r="V586" i="13"/>
  <c r="Q875" i="13"/>
  <c r="W875" i="13"/>
  <c r="W1300" i="13"/>
  <c r="V886" i="13"/>
  <c r="W174" i="13"/>
  <c r="U399" i="13"/>
  <c r="X399" i="13"/>
  <c r="R77" i="13"/>
  <c r="U77" i="13"/>
  <c r="X77" i="13"/>
  <c r="Q114" i="13"/>
  <c r="W114" i="13"/>
  <c r="Q118" i="13"/>
  <c r="W118" i="13"/>
  <c r="V432" i="13"/>
  <c r="R432" i="13"/>
  <c r="R452" i="13"/>
  <c r="U452" i="13"/>
  <c r="X452" i="13"/>
  <c r="V452" i="13"/>
  <c r="R789" i="13"/>
  <c r="U789" i="13"/>
  <c r="X789" i="13"/>
  <c r="V789" i="13"/>
  <c r="T829" i="13"/>
  <c r="W829" i="13"/>
  <c r="Q1351" i="13"/>
  <c r="W1351" i="13"/>
  <c r="BY34" i="1"/>
  <c r="BY71" i="1"/>
  <c r="BY103" i="1"/>
  <c r="BY114" i="1"/>
  <c r="BY98" i="1"/>
  <c r="BY104" i="1"/>
  <c r="BY75" i="1"/>
  <c r="BY116" i="1"/>
  <c r="BY92" i="1"/>
  <c r="BY101" i="1"/>
  <c r="BY105" i="1"/>
  <c r="BY83" i="1"/>
  <c r="BY111" i="1"/>
  <c r="BY46" i="1"/>
  <c r="BY95" i="1"/>
  <c r="BY110" i="1"/>
  <c r="BY94" i="1"/>
  <c r="BY54" i="1"/>
  <c r="BY63" i="1"/>
  <c r="BY44" i="1"/>
  <c r="BY93" i="1"/>
  <c r="BY62" i="1"/>
  <c r="BY49" i="1"/>
  <c r="BY48" i="1"/>
  <c r="BY117" i="1"/>
  <c r="BY55" i="1"/>
  <c r="BY81" i="1"/>
  <c r="BY96" i="1"/>
  <c r="BY115" i="1"/>
  <c r="BY33" i="1"/>
  <c r="BY91" i="1"/>
  <c r="BY69" i="1"/>
  <c r="BY58" i="1"/>
  <c r="BY57" i="1"/>
  <c r="BY31" i="1"/>
  <c r="BY51" i="1"/>
  <c r="BY52" i="1"/>
  <c r="BY112" i="1"/>
  <c r="BY74" i="1"/>
  <c r="BY40" i="1"/>
  <c r="BY76" i="1"/>
  <c r="BY43" i="1"/>
  <c r="BY50" i="1"/>
  <c r="BY73" i="1"/>
  <c r="BY77" i="1"/>
  <c r="BY53" i="1"/>
  <c r="BY37" i="1"/>
  <c r="BY36" i="1"/>
  <c r="BY59" i="1"/>
  <c r="BY32" i="1"/>
  <c r="BY56" i="1"/>
  <c r="BY35" i="1"/>
  <c r="BY41" i="1"/>
  <c r="BY39" i="1"/>
  <c r="BY42" i="1"/>
  <c r="BY89" i="1"/>
  <c r="BY79" i="1"/>
  <c r="BY70" i="1"/>
  <c r="BY86" i="1"/>
  <c r="BY64" i="1"/>
  <c r="BY85" i="1"/>
  <c r="BY60" i="1"/>
  <c r="BY108" i="1"/>
  <c r="BY87" i="1"/>
  <c r="BY88" i="1"/>
  <c r="BY78" i="1"/>
  <c r="BY113" i="1"/>
  <c r="BY47" i="1"/>
  <c r="BY107" i="1"/>
  <c r="BY100" i="1"/>
  <c r="BY109" i="1"/>
  <c r="BY67" i="1"/>
  <c r="BY80" i="1"/>
  <c r="BY38" i="1"/>
  <c r="BY90" i="1"/>
  <c r="BY65" i="1"/>
  <c r="BY61" i="1"/>
  <c r="BY99" i="1"/>
  <c r="BY102" i="1"/>
  <c r="BY82" i="1"/>
  <c r="BY68" i="1"/>
  <c r="BY106" i="1"/>
  <c r="BY66" i="1"/>
  <c r="BY45" i="1"/>
  <c r="BY97" i="1"/>
  <c r="BY72" i="1"/>
  <c r="BY84" i="1"/>
  <c r="BY118" i="1"/>
  <c r="BY28" i="1"/>
  <c r="BY29" i="1"/>
  <c r="BY4" i="1"/>
  <c r="DU4" i="1"/>
  <c r="U1342" i="13"/>
  <c r="X1342" i="13"/>
  <c r="W1292" i="13"/>
  <c r="U1401" i="13"/>
  <c r="X1401" i="13"/>
  <c r="U1117" i="13"/>
  <c r="X1117" i="13"/>
  <c r="U1013" i="13"/>
  <c r="X1013" i="13"/>
  <c r="W421" i="13"/>
  <c r="W449" i="13"/>
  <c r="W158" i="13"/>
  <c r="U37" i="13"/>
  <c r="X37" i="13"/>
  <c r="W782" i="13"/>
  <c r="Q766" i="13"/>
  <c r="R738" i="13"/>
  <c r="R4" i="13"/>
  <c r="U194" i="13"/>
  <c r="X194" i="13"/>
  <c r="V56" i="13"/>
  <c r="R56" i="13"/>
  <c r="V472" i="13"/>
  <c r="R472" i="13"/>
  <c r="R476" i="13"/>
  <c r="V476" i="13"/>
  <c r="U492" i="13"/>
  <c r="X492" i="13"/>
  <c r="Q496" i="13"/>
  <c r="U496" i="13"/>
  <c r="X496" i="13"/>
  <c r="W496" i="13"/>
  <c r="V527" i="13"/>
  <c r="R527" i="13"/>
  <c r="U527" i="13"/>
  <c r="X527" i="13"/>
  <c r="V664" i="13"/>
  <c r="R664" i="13"/>
  <c r="R909" i="13"/>
  <c r="V909" i="13"/>
  <c r="V1284" i="13"/>
  <c r="R1284" i="13"/>
  <c r="T1316" i="13"/>
  <c r="W1316" i="13"/>
  <c r="DM62" i="1"/>
  <c r="EF62" i="1"/>
  <c r="EF108" i="1"/>
  <c r="DM108" i="1"/>
  <c r="DM77" i="1"/>
  <c r="EF77" i="1"/>
  <c r="EF57" i="1"/>
  <c r="DM57" i="1"/>
  <c r="DM102" i="1"/>
  <c r="EF102" i="1"/>
  <c r="EF101" i="1"/>
  <c r="DM101" i="1"/>
  <c r="U361" i="13"/>
  <c r="X361" i="13"/>
  <c r="U860" i="13"/>
  <c r="X860" i="13"/>
  <c r="W1135" i="13"/>
  <c r="W1306" i="13"/>
  <c r="EF28" i="1"/>
  <c r="DM28" i="1"/>
  <c r="DM81" i="1"/>
  <c r="EF81" i="1"/>
  <c r="EF117" i="1"/>
  <c r="DM117" i="1"/>
  <c r="DM112" i="1"/>
  <c r="EF112" i="1"/>
  <c r="DM86" i="1"/>
  <c r="EF86" i="1"/>
  <c r="EF67" i="1"/>
  <c r="DM67" i="1"/>
  <c r="U369" i="13"/>
  <c r="X369" i="13"/>
  <c r="U583" i="13"/>
  <c r="X583" i="13"/>
  <c r="U661" i="13"/>
  <c r="X661" i="13"/>
  <c r="U741" i="13"/>
  <c r="X741" i="13"/>
  <c r="U784" i="13"/>
  <c r="X784" i="13"/>
  <c r="U792" i="13"/>
  <c r="X792" i="13"/>
  <c r="U978" i="13"/>
  <c r="X978" i="13"/>
  <c r="U1283" i="13"/>
  <c r="X1283" i="13"/>
  <c r="DM106" i="1"/>
  <c r="EF106" i="1"/>
  <c r="DM103" i="1"/>
  <c r="EF103" i="1"/>
  <c r="EF90" i="1"/>
  <c r="DM90" i="1"/>
  <c r="EF53" i="1"/>
  <c r="DM53" i="1"/>
  <c r="DM49" i="1"/>
  <c r="EF49" i="1"/>
  <c r="EF104" i="1"/>
  <c r="DM104" i="1"/>
  <c r="EF39" i="1"/>
  <c r="DM39" i="1"/>
  <c r="EF83" i="1"/>
  <c r="DM83" i="1"/>
  <c r="EF40" i="1"/>
  <c r="DM40" i="1"/>
  <c r="DM46" i="1"/>
  <c r="EF46" i="1"/>
  <c r="EF95" i="1"/>
  <c r="DM95" i="1"/>
  <c r="DM31" i="1"/>
  <c r="EF31" i="1"/>
  <c r="R189" i="13"/>
  <c r="U448" i="13"/>
  <c r="X448" i="13"/>
  <c r="W23" i="13"/>
  <c r="W319" i="13"/>
  <c r="DM66" i="1"/>
  <c r="EF66" i="1"/>
  <c r="EF41" i="1"/>
  <c r="DM41" i="1"/>
  <c r="EF107" i="1"/>
  <c r="DM107" i="1"/>
  <c r="DM55" i="1"/>
  <c r="EF55" i="1"/>
  <c r="EF43" i="1"/>
  <c r="DM43" i="1"/>
  <c r="DM85" i="1"/>
  <c r="EF85" i="1"/>
  <c r="U56" i="13"/>
  <c r="X56" i="13"/>
  <c r="W117" i="13"/>
  <c r="W159" i="13"/>
  <c r="U362" i="13"/>
  <c r="X362" i="13"/>
  <c r="U615" i="13"/>
  <c r="X615" i="13"/>
  <c r="U677" i="13"/>
  <c r="X677" i="13"/>
  <c r="V831" i="13"/>
  <c r="U895" i="13"/>
  <c r="X895" i="13"/>
  <c r="EF71" i="1"/>
  <c r="DM71" i="1"/>
  <c r="DM42" i="1"/>
  <c r="EF42" i="1"/>
  <c r="DM44" i="1"/>
  <c r="EF44" i="1"/>
  <c r="EF118" i="1"/>
  <c r="DM118" i="1"/>
  <c r="EF64" i="1"/>
  <c r="DM64" i="1"/>
  <c r="DM37" i="1"/>
  <c r="EF37" i="1"/>
  <c r="U329" i="13"/>
  <c r="X329" i="13"/>
  <c r="U1080" i="13"/>
  <c r="X1080" i="13"/>
  <c r="U1166" i="13"/>
  <c r="X1166" i="13"/>
  <c r="U909" i="13"/>
  <c r="X909" i="13"/>
  <c r="U923" i="13"/>
  <c r="X923" i="13"/>
  <c r="U567" i="13"/>
  <c r="X567" i="13"/>
  <c r="U506" i="13"/>
  <c r="X506" i="13"/>
  <c r="V168" i="13"/>
  <c r="U1118" i="13"/>
  <c r="X1118" i="13"/>
  <c r="V57" i="13"/>
  <c r="R137" i="13"/>
  <c r="U137" i="13"/>
  <c r="X137" i="13"/>
  <c r="V281" i="13"/>
  <c r="U98" i="13"/>
  <c r="X98" i="13"/>
  <c r="W175" i="13"/>
  <c r="W194" i="13"/>
  <c r="U202" i="13"/>
  <c r="X202" i="13"/>
  <c r="U237" i="13"/>
  <c r="X237" i="13"/>
  <c r="U436" i="13"/>
  <c r="X436" i="13"/>
  <c r="U781" i="13"/>
  <c r="X781" i="13"/>
  <c r="U1094" i="13"/>
  <c r="X1094" i="13"/>
  <c r="U1223" i="13"/>
  <c r="X1223" i="13"/>
  <c r="U1323" i="13"/>
  <c r="X1323" i="13"/>
  <c r="DM65" i="1"/>
  <c r="EF65" i="1"/>
  <c r="DM80" i="1"/>
  <c r="EF80" i="1"/>
  <c r="DM76" i="1"/>
  <c r="EF76" i="1"/>
  <c r="EF45" i="1"/>
  <c r="DM45" i="1"/>
  <c r="DM51" i="1"/>
  <c r="EF51" i="1"/>
  <c r="DM58" i="1"/>
  <c r="EF58" i="1"/>
  <c r="U275" i="13"/>
  <c r="X275" i="13"/>
  <c r="U416" i="13"/>
  <c r="X416" i="13"/>
  <c r="U123" i="13"/>
  <c r="X123" i="13"/>
  <c r="U564" i="13"/>
  <c r="X564" i="13"/>
  <c r="U3" i="13"/>
  <c r="X3" i="13"/>
  <c r="U407" i="13"/>
  <c r="X407" i="13"/>
  <c r="W378" i="13"/>
  <c r="U409" i="13"/>
  <c r="X409" i="13"/>
  <c r="W1339" i="13"/>
  <c r="DM56" i="1"/>
  <c r="EF56" i="1"/>
  <c r="EF87" i="1"/>
  <c r="DM87" i="1"/>
  <c r="DM109" i="1"/>
  <c r="EF109" i="1"/>
  <c r="DM110" i="1"/>
  <c r="EF110" i="1"/>
  <c r="EF100" i="1"/>
  <c r="DM100" i="1"/>
  <c r="EF38" i="1"/>
  <c r="DM38" i="1"/>
  <c r="U1150" i="13"/>
  <c r="X1150" i="13"/>
  <c r="U128" i="13"/>
  <c r="X128" i="13"/>
  <c r="W28" i="13"/>
  <c r="W57" i="13"/>
  <c r="U195" i="13"/>
  <c r="X195" i="13"/>
  <c r="DM48" i="1"/>
  <c r="EF48" i="1"/>
  <c r="DM115" i="1"/>
  <c r="EF115" i="1"/>
  <c r="DM93" i="1"/>
  <c r="EF93" i="1"/>
  <c r="DM94" i="1"/>
  <c r="EF94" i="1"/>
  <c r="DM92" i="1"/>
  <c r="EF92" i="1"/>
  <c r="W242" i="13"/>
  <c r="R570" i="13"/>
  <c r="EF79" i="1"/>
  <c r="DM79" i="1"/>
  <c r="DM73" i="1"/>
  <c r="EF73" i="1"/>
  <c r="EF50" i="1"/>
  <c r="DM50" i="1"/>
  <c r="EF60" i="1"/>
  <c r="DM60" i="1"/>
  <c r="EF111" i="1"/>
  <c r="DM111" i="1"/>
  <c r="U378" i="13"/>
  <c r="X378" i="13"/>
  <c r="W593" i="13"/>
  <c r="U1107" i="13"/>
  <c r="X1107" i="13"/>
  <c r="W1391" i="13"/>
  <c r="DM96" i="1"/>
  <c r="EF96" i="1"/>
  <c r="EF105" i="1"/>
  <c r="DM105" i="1"/>
  <c r="DM88" i="1"/>
  <c r="EF88" i="1"/>
  <c r="DM98" i="1"/>
  <c r="EF98" i="1"/>
  <c r="DM97" i="1"/>
  <c r="EF97" i="1"/>
  <c r="U479" i="13"/>
  <c r="X479" i="13"/>
  <c r="V43" i="13"/>
  <c r="U1067" i="13"/>
  <c r="X1067" i="13"/>
  <c r="U476" i="13"/>
  <c r="X476" i="13"/>
  <c r="U530" i="13"/>
  <c r="X530" i="13"/>
  <c r="U694" i="13"/>
  <c r="X694" i="13"/>
  <c r="R311" i="13"/>
  <c r="W77" i="13"/>
  <c r="U188" i="13"/>
  <c r="X188" i="13"/>
  <c r="V32" i="13"/>
  <c r="U697" i="13"/>
  <c r="X697" i="13"/>
  <c r="R72" i="13"/>
  <c r="R213" i="13"/>
  <c r="V17" i="13"/>
  <c r="U231" i="13"/>
  <c r="X231" i="13"/>
  <c r="W360" i="13"/>
  <c r="U430" i="13"/>
  <c r="X430" i="13"/>
  <c r="U1065" i="13"/>
  <c r="X1065" i="13"/>
  <c r="EF72" i="1"/>
  <c r="DM72" i="1"/>
  <c r="DM114" i="1"/>
  <c r="EF114" i="1"/>
  <c r="DM33" i="1"/>
  <c r="EF33" i="1"/>
  <c r="DM113" i="1"/>
  <c r="EF113" i="1"/>
  <c r="EF61" i="1"/>
  <c r="DM61" i="1"/>
  <c r="W7" i="13"/>
  <c r="U1372" i="13"/>
  <c r="X1372" i="13"/>
  <c r="U391" i="13"/>
  <c r="X391" i="13"/>
  <c r="U699" i="13"/>
  <c r="X699" i="13"/>
  <c r="U1309" i="13"/>
  <c r="X1309" i="13"/>
  <c r="W1372" i="13"/>
  <c r="EF82" i="1"/>
  <c r="DM82" i="1"/>
  <c r="DM59" i="1"/>
  <c r="EF59" i="1"/>
  <c r="DM36" i="1"/>
  <c r="EF36" i="1"/>
  <c r="EF74" i="1"/>
  <c r="DM74" i="1"/>
  <c r="DM35" i="1"/>
  <c r="EF35" i="1"/>
  <c r="U268" i="13"/>
  <c r="X268" i="13"/>
  <c r="U400" i="13"/>
  <c r="X400" i="13"/>
  <c r="V120" i="13"/>
  <c r="W185" i="13"/>
  <c r="W399" i="13"/>
  <c r="W407" i="13"/>
  <c r="U548" i="13"/>
  <c r="X548" i="13"/>
  <c r="U645" i="13"/>
  <c r="X645" i="13"/>
  <c r="U989" i="13"/>
  <c r="X989" i="13"/>
  <c r="EF32" i="1"/>
  <c r="DM32" i="1"/>
  <c r="EF89" i="1"/>
  <c r="DM89" i="1"/>
  <c r="EF78" i="1"/>
  <c r="DM78" i="1"/>
  <c r="DM63" i="1"/>
  <c r="EF63" i="1"/>
  <c r="DM54" i="1"/>
  <c r="EF54" i="1"/>
  <c r="BC8" i="3"/>
  <c r="BB15" i="3"/>
  <c r="BC11" i="3"/>
  <c r="BC9" i="3"/>
  <c r="BF16" i="3"/>
  <c r="BT16" i="3"/>
  <c r="AT18" i="3"/>
  <c r="AT16" i="3"/>
  <c r="AU15" i="3"/>
  <c r="BI15" i="3"/>
  <c r="AV15" i="3"/>
  <c r="BL15" i="3"/>
  <c r="BU15" i="3"/>
  <c r="BU17" i="3"/>
  <c r="AY15" i="3"/>
  <c r="BE16" i="3"/>
  <c r="AW15" i="3"/>
  <c r="AX15" i="3"/>
  <c r="BJ15" i="3"/>
  <c r="AY16" i="3"/>
  <c r="BV15" i="3"/>
  <c r="BD8" i="3"/>
  <c r="BD10" i="3"/>
  <c r="AO21" i="1"/>
  <c r="AJ21" i="1"/>
  <c r="AP22" i="1"/>
  <c r="AJ22" i="1"/>
  <c r="AN25" i="1"/>
  <c r="AT25" i="1"/>
  <c r="AS25" i="1"/>
  <c r="AJ25" i="1"/>
  <c r="AP25" i="1"/>
  <c r="AO25" i="1"/>
  <c r="AY25" i="1"/>
  <c r="BW25" i="1"/>
  <c r="CU25" i="1"/>
  <c r="CS12" i="1"/>
  <c r="EN12" i="1"/>
  <c r="CT5" i="1"/>
  <c r="AI3" i="1"/>
  <c r="CS9" i="1"/>
  <c r="CT15" i="1"/>
  <c r="FG15" i="1"/>
  <c r="CS11" i="1"/>
  <c r="CS8" i="1"/>
  <c r="CS5" i="1"/>
  <c r="CT4" i="1"/>
  <c r="CT18" i="1"/>
  <c r="AY21" i="1"/>
  <c r="BW21" i="1"/>
  <c r="DS21" i="1"/>
  <c r="AP23" i="1"/>
  <c r="BJ20" i="1"/>
  <c r="CH20" i="1"/>
  <c r="DF20" i="1"/>
  <c r="AA20" i="1"/>
  <c r="AB20" i="1"/>
  <c r="CT9" i="1"/>
  <c r="CT8" i="1"/>
  <c r="CS3" i="1"/>
  <c r="CT16" i="1"/>
  <c r="FG16" i="1"/>
  <c r="CS15" i="1"/>
  <c r="FF15" i="1"/>
  <c r="CT13" i="1"/>
  <c r="CT10" i="1"/>
  <c r="CT7" i="1"/>
  <c r="CT17" i="1"/>
  <c r="CS4" i="1"/>
  <c r="CS18" i="1"/>
  <c r="EP18" i="1"/>
  <c r="FT18" i="1"/>
  <c r="FZ18" i="1"/>
  <c r="CT14" i="1"/>
  <c r="GR14" i="1"/>
  <c r="AN24" i="1"/>
  <c r="AT24" i="1"/>
  <c r="AS24" i="1"/>
  <c r="AP21" i="1"/>
  <c r="CT11" i="1"/>
  <c r="CS6" i="1"/>
  <c r="EP6" i="1"/>
  <c r="CT3" i="1"/>
  <c r="CS16" i="1"/>
  <c r="GQ16" i="1"/>
  <c r="CS13" i="1"/>
  <c r="EP13" i="1"/>
  <c r="CT12" i="1"/>
  <c r="CS10" i="1"/>
  <c r="CS7" i="1"/>
  <c r="CT6" i="1"/>
  <c r="CS17" i="1"/>
  <c r="BO6" i="1"/>
  <c r="CM6" i="1"/>
  <c r="DK6" i="1"/>
  <c r="CS14" i="1"/>
  <c r="GQ14" i="1"/>
  <c r="AN22" i="1"/>
  <c r="AT22" i="1"/>
  <c r="AS22" i="1"/>
  <c r="GU18" i="1"/>
  <c r="AO23" i="1"/>
  <c r="AN21" i="1"/>
  <c r="AT21" i="1"/>
  <c r="AS21" i="1"/>
  <c r="AN23" i="1"/>
  <c r="AT23" i="1"/>
  <c r="AS23" i="1"/>
  <c r="AP24" i="1"/>
  <c r="AO24" i="1"/>
  <c r="U3" i="1"/>
  <c r="V3" i="1"/>
  <c r="AI11" i="1"/>
  <c r="AJ11" i="1"/>
  <c r="AI7" i="1"/>
  <c r="AH15" i="1"/>
  <c r="AK15" i="1"/>
  <c r="AI5" i="1"/>
  <c r="AJ5" i="1"/>
  <c r="AI17" i="1"/>
  <c r="AI13" i="1"/>
  <c r="AJ13" i="1"/>
  <c r="AI12" i="1"/>
  <c r="AN12" i="1"/>
  <c r="AI8" i="1"/>
  <c r="AJ8" i="1"/>
  <c r="AO22" i="1"/>
  <c r="U18" i="13"/>
  <c r="X18" i="13"/>
  <c r="W3" i="13"/>
  <c r="W6" i="13"/>
  <c r="T32" i="13"/>
  <c r="U61" i="13"/>
  <c r="X61" i="13"/>
  <c r="U49" i="13"/>
  <c r="X49" i="13"/>
  <c r="U368" i="13"/>
  <c r="X368" i="13"/>
  <c r="W93" i="13"/>
  <c r="U11" i="13"/>
  <c r="X11" i="13"/>
  <c r="W80" i="13"/>
  <c r="T80" i="13"/>
  <c r="U114" i="13"/>
  <c r="X114" i="13"/>
  <c r="U7" i="13"/>
  <c r="X7" i="13"/>
  <c r="U1084" i="13"/>
  <c r="X1084" i="13"/>
  <c r="U857" i="13"/>
  <c r="X857" i="13"/>
  <c r="U718" i="13"/>
  <c r="X718" i="13"/>
  <c r="U838" i="13"/>
  <c r="X838" i="13"/>
  <c r="U750" i="13"/>
  <c r="X750" i="13"/>
  <c r="U714" i="13"/>
  <c r="X714" i="13"/>
  <c r="U654" i="13"/>
  <c r="X654" i="13"/>
  <c r="U24" i="13"/>
  <c r="X24" i="13"/>
  <c r="U1064" i="13"/>
  <c r="X1064" i="13"/>
  <c r="U458" i="13"/>
  <c r="X458" i="13"/>
  <c r="W129" i="13"/>
  <c r="W131" i="13"/>
  <c r="U133" i="13"/>
  <c r="X133" i="13"/>
  <c r="U440" i="13"/>
  <c r="X440" i="13"/>
  <c r="U935" i="13"/>
  <c r="X935" i="13"/>
  <c r="U1082" i="13"/>
  <c r="X1082" i="13"/>
  <c r="U1167" i="13"/>
  <c r="X1167" i="13"/>
  <c r="U837" i="13"/>
  <c r="X837" i="13"/>
  <c r="U766" i="13"/>
  <c r="X766" i="13"/>
  <c r="U156" i="13"/>
  <c r="X156" i="13"/>
  <c r="U180" i="13"/>
  <c r="X180" i="13"/>
  <c r="U919" i="13"/>
  <c r="X919" i="13"/>
  <c r="U1177" i="13"/>
  <c r="X1177" i="13"/>
  <c r="W68" i="13"/>
  <c r="U75" i="13"/>
  <c r="X75" i="13"/>
  <c r="W116" i="13"/>
  <c r="U170" i="13"/>
  <c r="X170" i="13"/>
  <c r="W172" i="13"/>
  <c r="U215" i="13"/>
  <c r="X215" i="13"/>
  <c r="U364" i="13"/>
  <c r="X364" i="13"/>
  <c r="U443" i="13"/>
  <c r="X443" i="13"/>
  <c r="U451" i="13"/>
  <c r="X451" i="13"/>
  <c r="W485" i="13"/>
  <c r="W585" i="13"/>
  <c r="U608" i="13"/>
  <c r="X608" i="13"/>
  <c r="W614" i="13"/>
  <c r="U620" i="13"/>
  <c r="X620" i="13"/>
  <c r="U642" i="13"/>
  <c r="X642" i="13"/>
  <c r="U765" i="13"/>
  <c r="X765" i="13"/>
  <c r="U807" i="13"/>
  <c r="X807" i="13"/>
  <c r="U843" i="13"/>
  <c r="X843" i="13"/>
  <c r="U970" i="13"/>
  <c r="X970" i="13"/>
  <c r="V1020" i="13"/>
  <c r="U1168" i="13"/>
  <c r="X1168" i="13"/>
  <c r="W1350" i="13"/>
  <c r="W1359" i="13"/>
  <c r="U187" i="13"/>
  <c r="X187" i="13"/>
  <c r="U189" i="13"/>
  <c r="X189" i="13"/>
  <c r="U234" i="13"/>
  <c r="X234" i="13"/>
  <c r="U260" i="13"/>
  <c r="X260" i="13"/>
  <c r="U426" i="13"/>
  <c r="X426" i="13"/>
  <c r="U457" i="13"/>
  <c r="X457" i="13"/>
  <c r="U502" i="13"/>
  <c r="X502" i="13"/>
  <c r="U666" i="13"/>
  <c r="X666" i="13"/>
  <c r="U709" i="13"/>
  <c r="X709" i="13"/>
  <c r="U711" i="13"/>
  <c r="X711" i="13"/>
  <c r="U822" i="13"/>
  <c r="X822" i="13"/>
  <c r="V834" i="13"/>
  <c r="U847" i="13"/>
  <c r="X847" i="13"/>
  <c r="U911" i="13"/>
  <c r="X911" i="13"/>
  <c r="U932" i="13"/>
  <c r="X932" i="13"/>
  <c r="W1044" i="13"/>
  <c r="U1142" i="13"/>
  <c r="X1142" i="13"/>
  <c r="W1150" i="13"/>
  <c r="U1212" i="13"/>
  <c r="X1212" i="13"/>
  <c r="U1302" i="13"/>
  <c r="X1302" i="13"/>
  <c r="U1337" i="13"/>
  <c r="X1337" i="13"/>
  <c r="U1365" i="13"/>
  <c r="X1365" i="13"/>
  <c r="W1380" i="13"/>
  <c r="U1275" i="13"/>
  <c r="X1275" i="13"/>
  <c r="W303" i="13"/>
  <c r="W327" i="13"/>
  <c r="W432" i="13"/>
  <c r="W440" i="13"/>
  <c r="W732" i="13"/>
  <c r="W789" i="13"/>
  <c r="W901" i="13"/>
  <c r="U1160" i="13"/>
  <c r="X1160" i="13"/>
  <c r="R1192" i="13"/>
  <c r="W1319" i="13"/>
  <c r="W156" i="13"/>
  <c r="U216" i="13"/>
  <c r="X216" i="13"/>
  <c r="U251" i="13"/>
  <c r="X251" i="13"/>
  <c r="U276" i="13"/>
  <c r="X276" i="13"/>
  <c r="W446" i="13"/>
  <c r="W452" i="13"/>
  <c r="U1157" i="13"/>
  <c r="X1157" i="13"/>
  <c r="U1191" i="13"/>
  <c r="X1191" i="13"/>
  <c r="U1268" i="13"/>
  <c r="X1268" i="13"/>
  <c r="U1351" i="13"/>
  <c r="X1351" i="13"/>
  <c r="W89" i="13"/>
  <c r="W100" i="13"/>
  <c r="W188" i="13"/>
  <c r="W190" i="13"/>
  <c r="U207" i="13"/>
  <c r="X207" i="13"/>
  <c r="W286" i="13"/>
  <c r="U322" i="13"/>
  <c r="X322" i="13"/>
  <c r="U404" i="13"/>
  <c r="X404" i="13"/>
  <c r="W423" i="13"/>
  <c r="U429" i="13"/>
  <c r="X429" i="13"/>
  <c r="U454" i="13"/>
  <c r="X454" i="13"/>
  <c r="W456" i="13"/>
  <c r="W503" i="13"/>
  <c r="U536" i="13"/>
  <c r="X536" i="13"/>
  <c r="U571" i="13"/>
  <c r="X571" i="13"/>
  <c r="W627" i="13"/>
  <c r="W684" i="13"/>
  <c r="U823" i="13"/>
  <c r="X823" i="13"/>
  <c r="U834" i="13"/>
  <c r="X834" i="13"/>
  <c r="U878" i="13"/>
  <c r="X878" i="13"/>
  <c r="U903" i="13"/>
  <c r="X903" i="13"/>
  <c r="U949" i="13"/>
  <c r="X949" i="13"/>
  <c r="W971" i="13"/>
  <c r="W1074" i="13"/>
  <c r="U1085" i="13"/>
  <c r="X1085" i="13"/>
  <c r="U1173" i="13"/>
  <c r="X1173" i="13"/>
  <c r="U1353" i="13"/>
  <c r="X1353" i="13"/>
  <c r="U179" i="13"/>
  <c r="X179" i="13"/>
  <c r="U224" i="13"/>
  <c r="X224" i="13"/>
  <c r="U267" i="13"/>
  <c r="X267" i="13"/>
  <c r="W526" i="13"/>
  <c r="V571" i="13"/>
  <c r="W635" i="13"/>
  <c r="U736" i="13"/>
  <c r="X736" i="13"/>
  <c r="U749" i="13"/>
  <c r="X749" i="13"/>
  <c r="U827" i="13"/>
  <c r="X827" i="13"/>
  <c r="U973" i="13"/>
  <c r="X973" i="13"/>
  <c r="U979" i="13"/>
  <c r="X979" i="13"/>
  <c r="U998" i="13"/>
  <c r="X998" i="13"/>
  <c r="U1038" i="13"/>
  <c r="X1038" i="13"/>
  <c r="W1051" i="13"/>
  <c r="U1062" i="13"/>
  <c r="X1062" i="13"/>
  <c r="V1085" i="13"/>
  <c r="U1127" i="13"/>
  <c r="X1127" i="13"/>
  <c r="U1149" i="13"/>
  <c r="X1149" i="13"/>
  <c r="W1156" i="13"/>
  <c r="U1186" i="13"/>
  <c r="X1186" i="13"/>
  <c r="U1244" i="13"/>
  <c r="X1244" i="13"/>
  <c r="U1246" i="13"/>
  <c r="X1246" i="13"/>
  <c r="U1276" i="13"/>
  <c r="X1276" i="13"/>
  <c r="W1294" i="13"/>
  <c r="U1327" i="13"/>
  <c r="X1327" i="13"/>
  <c r="U1358" i="13"/>
  <c r="X1358" i="13"/>
  <c r="U938" i="13"/>
  <c r="X938" i="13"/>
  <c r="U954" i="13"/>
  <c r="X954" i="13"/>
  <c r="U716" i="13"/>
  <c r="X716" i="13"/>
  <c r="U740" i="13"/>
  <c r="X740" i="13"/>
  <c r="L7" i="13"/>
  <c r="U463" i="13"/>
  <c r="X463" i="13"/>
  <c r="U673" i="13"/>
  <c r="X673" i="13"/>
  <c r="U641" i="13"/>
  <c r="X641" i="13"/>
  <c r="U1190" i="13"/>
  <c r="X1190" i="13"/>
  <c r="U1121" i="13"/>
  <c r="X1121" i="13"/>
  <c r="U991" i="13"/>
  <c r="X991" i="13"/>
  <c r="U1154" i="13"/>
  <c r="X1154" i="13"/>
  <c r="U39" i="13"/>
  <c r="X39" i="13"/>
  <c r="U732" i="13"/>
  <c r="X732" i="13"/>
  <c r="U465" i="13"/>
  <c r="X465" i="13"/>
  <c r="U1238" i="13"/>
  <c r="X1238" i="13"/>
  <c r="U1113" i="13"/>
  <c r="X1113" i="13"/>
  <c r="U1159" i="13"/>
  <c r="X1159" i="13"/>
  <c r="U761" i="13"/>
  <c r="X761" i="13"/>
  <c r="U704" i="13"/>
  <c r="X704" i="13"/>
  <c r="U622" i="13"/>
  <c r="X622" i="13"/>
  <c r="U70" i="13"/>
  <c r="X70" i="13"/>
  <c r="U110" i="13"/>
  <c r="X110" i="13"/>
  <c r="U665" i="13"/>
  <c r="X665" i="13"/>
  <c r="U633" i="13"/>
  <c r="X633" i="13"/>
  <c r="U785" i="13"/>
  <c r="X785" i="13"/>
  <c r="U956" i="13"/>
  <c r="X956" i="13"/>
  <c r="U1193" i="13"/>
  <c r="X1193" i="13"/>
  <c r="U1001" i="13"/>
  <c r="X1001" i="13"/>
  <c r="U258" i="13"/>
  <c r="X258" i="13"/>
  <c r="U1399" i="13"/>
  <c r="X1399" i="13"/>
  <c r="U1261" i="13"/>
  <c r="X1261" i="13"/>
  <c r="U1222" i="13"/>
  <c r="X1222" i="13"/>
  <c r="U1071" i="13"/>
  <c r="X1071" i="13"/>
  <c r="U1256" i="13"/>
  <c r="X1256" i="13"/>
  <c r="U601" i="13"/>
  <c r="X601" i="13"/>
  <c r="U1277" i="13"/>
  <c r="X1277" i="13"/>
  <c r="U1185" i="13"/>
  <c r="X1185" i="13"/>
  <c r="U1314" i="13"/>
  <c r="X1314" i="13"/>
  <c r="U1214" i="13"/>
  <c r="X1214" i="13"/>
  <c r="U585" i="13"/>
  <c r="X585" i="13"/>
  <c r="U38" i="13"/>
  <c r="X38" i="13"/>
  <c r="U1272" i="13"/>
  <c r="X1272" i="13"/>
  <c r="U1066" i="13"/>
  <c r="X1066" i="13"/>
  <c r="U764" i="13"/>
  <c r="X764" i="13"/>
  <c r="U556" i="13"/>
  <c r="X556" i="13"/>
  <c r="U1262" i="13"/>
  <c r="X1262" i="13"/>
  <c r="U1109" i="13"/>
  <c r="X1109" i="13"/>
  <c r="U777" i="13"/>
  <c r="X777" i="13"/>
  <c r="U788" i="13"/>
  <c r="X788" i="13"/>
  <c r="U1248" i="13"/>
  <c r="X1248" i="13"/>
  <c r="U756" i="13"/>
  <c r="X756" i="13"/>
  <c r="U480" i="13"/>
  <c r="X480" i="13"/>
  <c r="U1130" i="13"/>
  <c r="X1130" i="13"/>
  <c r="U1206" i="13"/>
  <c r="X1206" i="13"/>
  <c r="U1035" i="13"/>
  <c r="X1035" i="13"/>
  <c r="U828" i="13"/>
  <c r="X828" i="13"/>
  <c r="U573" i="13"/>
  <c r="X573" i="13"/>
  <c r="U758" i="13"/>
  <c r="X758" i="13"/>
  <c r="U54" i="13"/>
  <c r="X54" i="13"/>
  <c r="U257" i="13"/>
  <c r="X257" i="13"/>
  <c r="U692" i="13"/>
  <c r="X692" i="13"/>
  <c r="U748" i="13"/>
  <c r="X748" i="13"/>
  <c r="U441" i="13"/>
  <c r="X441" i="13"/>
  <c r="U1253" i="13"/>
  <c r="X1253" i="13"/>
  <c r="U1006" i="13"/>
  <c r="X1006" i="13"/>
  <c r="U1039" i="13"/>
  <c r="X1039" i="13"/>
  <c r="U1162" i="13"/>
  <c r="X1162" i="13"/>
  <c r="U1175" i="13"/>
  <c r="X1175" i="13"/>
  <c r="U1043" i="13"/>
  <c r="X1043" i="13"/>
  <c r="U729" i="13"/>
  <c r="X729" i="13"/>
  <c r="U934" i="13"/>
  <c r="X934" i="13"/>
  <c r="U745" i="13"/>
  <c r="X745" i="13"/>
  <c r="U472" i="13"/>
  <c r="X472" i="13"/>
  <c r="U553" i="13"/>
  <c r="X553" i="13"/>
  <c r="U31" i="13"/>
  <c r="X31" i="13"/>
  <c r="U494" i="13"/>
  <c r="X494" i="13"/>
  <c r="U415" i="13"/>
  <c r="X415" i="13"/>
  <c r="U1319" i="13"/>
  <c r="X1319" i="13"/>
  <c r="U829" i="13"/>
  <c r="X829" i="13"/>
  <c r="U1051" i="13"/>
  <c r="X1051" i="13"/>
  <c r="U1063" i="13"/>
  <c r="X1063" i="13"/>
  <c r="U830" i="13"/>
  <c r="X830" i="13"/>
  <c r="U12" i="13"/>
  <c r="X12" i="13"/>
  <c r="U142" i="13"/>
  <c r="X142" i="13"/>
  <c r="U165" i="13"/>
  <c r="X165" i="13"/>
  <c r="U174" i="13"/>
  <c r="X174" i="13"/>
  <c r="U191" i="13"/>
  <c r="X191" i="13"/>
  <c r="U211" i="13"/>
  <c r="X211" i="13"/>
  <c r="U214" i="13"/>
  <c r="X214" i="13"/>
  <c r="U219" i="13"/>
  <c r="X219" i="13"/>
  <c r="U226" i="13"/>
  <c r="X226" i="13"/>
  <c r="U228" i="13"/>
  <c r="X228" i="13"/>
  <c r="U233" i="13"/>
  <c r="X233" i="13"/>
  <c r="U235" i="13"/>
  <c r="X235" i="13"/>
  <c r="W247" i="13"/>
  <c r="U261" i="13"/>
  <c r="X261" i="13"/>
  <c r="U273" i="13"/>
  <c r="X273" i="13"/>
  <c r="W275" i="13"/>
  <c r="U300" i="13"/>
  <c r="X300" i="13"/>
  <c r="W302" i="13"/>
  <c r="U316" i="13"/>
  <c r="X316" i="13"/>
  <c r="U353" i="13"/>
  <c r="X353" i="13"/>
  <c r="U355" i="13"/>
  <c r="X355" i="13"/>
  <c r="U384" i="13"/>
  <c r="X384" i="13"/>
  <c r="U526" i="13"/>
  <c r="X526" i="13"/>
  <c r="U839" i="13"/>
  <c r="X839" i="13"/>
  <c r="U403" i="13"/>
  <c r="X403" i="13"/>
  <c r="U546" i="13"/>
  <c r="X546" i="13"/>
  <c r="U250" i="13"/>
  <c r="X250" i="13"/>
  <c r="U135" i="13"/>
  <c r="X135" i="13"/>
  <c r="U84" i="13"/>
  <c r="X84" i="13"/>
  <c r="U363" i="13"/>
  <c r="X363" i="13"/>
  <c r="U209" i="13"/>
  <c r="X209" i="13"/>
  <c r="U144" i="13"/>
  <c r="X144" i="13"/>
  <c r="U315" i="13"/>
  <c r="X315" i="13"/>
  <c r="U46" i="13"/>
  <c r="X46" i="13"/>
  <c r="W91" i="13"/>
  <c r="U103" i="13"/>
  <c r="X103" i="13"/>
  <c r="W108" i="13"/>
  <c r="U126" i="13"/>
  <c r="X126" i="13"/>
  <c r="U146" i="13"/>
  <c r="X146" i="13"/>
  <c r="U221" i="13"/>
  <c r="X221" i="13"/>
  <c r="U256" i="13"/>
  <c r="X256" i="13"/>
  <c r="U270" i="13"/>
  <c r="X270" i="13"/>
  <c r="U288" i="13"/>
  <c r="X288" i="13"/>
  <c r="U295" i="13"/>
  <c r="X295" i="13"/>
  <c r="U302" i="13"/>
  <c r="X302" i="13"/>
  <c r="U307" i="13"/>
  <c r="X307" i="13"/>
  <c r="U318" i="13"/>
  <c r="X318" i="13"/>
  <c r="U390" i="13"/>
  <c r="X390" i="13"/>
  <c r="U557" i="13"/>
  <c r="X557" i="13"/>
  <c r="U618" i="13"/>
  <c r="X618" i="13"/>
  <c r="U700" i="13"/>
  <c r="X700" i="13"/>
  <c r="U769" i="13"/>
  <c r="X769" i="13"/>
  <c r="U159" i="13"/>
  <c r="X159" i="13"/>
  <c r="U477" i="13"/>
  <c r="X477" i="13"/>
  <c r="U311" i="13"/>
  <c r="X311" i="13"/>
  <c r="U79" i="13"/>
  <c r="X79" i="13"/>
  <c r="U541" i="13"/>
  <c r="X541" i="13"/>
  <c r="U473" i="13"/>
  <c r="X473" i="13"/>
  <c r="U323" i="13"/>
  <c r="X323" i="13"/>
  <c r="U635" i="13"/>
  <c r="X635" i="13"/>
  <c r="U493" i="13"/>
  <c r="X493" i="13"/>
  <c r="U522" i="13"/>
  <c r="X522" i="13"/>
  <c r="U423" i="13"/>
  <c r="X423" i="13"/>
  <c r="U1036" i="13"/>
  <c r="X1036" i="13"/>
  <c r="W37" i="13"/>
  <c r="W49" i="13"/>
  <c r="U74" i="13"/>
  <c r="X74" i="13"/>
  <c r="W88" i="13"/>
  <c r="W135" i="13"/>
  <c r="W155" i="13"/>
  <c r="U162" i="13"/>
  <c r="X162" i="13"/>
  <c r="W171" i="13"/>
  <c r="W176" i="13"/>
  <c r="U193" i="13"/>
  <c r="X193" i="13"/>
  <c r="U204" i="13"/>
  <c r="X204" i="13"/>
  <c r="U223" i="13"/>
  <c r="X223" i="13"/>
  <c r="U249" i="13"/>
  <c r="X249" i="13"/>
  <c r="U265" i="13"/>
  <c r="X265" i="13"/>
  <c r="U277" i="13"/>
  <c r="X277" i="13"/>
  <c r="U279" i="13"/>
  <c r="X279" i="13"/>
  <c r="W283" i="13"/>
  <c r="W290" i="13"/>
  <c r="U325" i="13"/>
  <c r="X325" i="13"/>
  <c r="U405" i="13"/>
  <c r="X405" i="13"/>
  <c r="U668" i="13"/>
  <c r="X668" i="13"/>
  <c r="U707" i="13"/>
  <c r="X707" i="13"/>
  <c r="U722" i="13"/>
  <c r="X722" i="13"/>
  <c r="U726" i="13"/>
  <c r="X726" i="13"/>
  <c r="U796" i="13"/>
  <c r="X796" i="13"/>
  <c r="U800" i="13"/>
  <c r="X800" i="13"/>
  <c r="U802" i="13"/>
  <c r="X802" i="13"/>
  <c r="U824" i="13"/>
  <c r="X824" i="13"/>
  <c r="U983" i="13"/>
  <c r="X983" i="13"/>
  <c r="U774" i="13"/>
  <c r="X774" i="13"/>
  <c r="U836" i="13"/>
  <c r="X836" i="13"/>
  <c r="U943" i="13"/>
  <c r="X943" i="13"/>
  <c r="U662" i="13"/>
  <c r="X662" i="13"/>
  <c r="U742" i="13"/>
  <c r="X742" i="13"/>
  <c r="U929" i="13"/>
  <c r="X929" i="13"/>
  <c r="U282" i="13"/>
  <c r="X282" i="13"/>
  <c r="U40" i="13"/>
  <c r="X40" i="13"/>
  <c r="U710" i="13"/>
  <c r="X710" i="13"/>
  <c r="U5" i="13"/>
  <c r="X5" i="13"/>
  <c r="U590" i="13"/>
  <c r="X590" i="13"/>
  <c r="U638" i="13"/>
  <c r="X638" i="13"/>
  <c r="U1285" i="13"/>
  <c r="X1285" i="13"/>
  <c r="U1179" i="13"/>
  <c r="X1179" i="13"/>
  <c r="U500" i="13"/>
  <c r="X500" i="13"/>
  <c r="U206" i="13"/>
  <c r="X206" i="13"/>
  <c r="U127" i="13"/>
  <c r="X127" i="13"/>
  <c r="U868" i="13"/>
  <c r="X868" i="13"/>
  <c r="T3" i="13"/>
  <c r="W95" i="13"/>
  <c r="U118" i="13"/>
  <c r="X118" i="13"/>
  <c r="U125" i="13"/>
  <c r="X125" i="13"/>
  <c r="U183" i="13"/>
  <c r="X183" i="13"/>
  <c r="U253" i="13"/>
  <c r="X253" i="13"/>
  <c r="U285" i="13"/>
  <c r="X285" i="13"/>
  <c r="U309" i="13"/>
  <c r="X309" i="13"/>
  <c r="U320" i="13"/>
  <c r="X320" i="13"/>
  <c r="U334" i="13"/>
  <c r="X334" i="13"/>
  <c r="U746" i="13"/>
  <c r="X746" i="13"/>
  <c r="U867" i="13"/>
  <c r="X867" i="13"/>
  <c r="U542" i="13"/>
  <c r="X542" i="13"/>
  <c r="U900" i="13"/>
  <c r="X900" i="13"/>
  <c r="U841" i="13"/>
  <c r="X841" i="13"/>
  <c r="U721" i="13"/>
  <c r="X721" i="13"/>
  <c r="U873" i="13"/>
  <c r="X873" i="13"/>
  <c r="U246" i="13"/>
  <c r="X246" i="13"/>
  <c r="U71" i="13"/>
  <c r="X71" i="13"/>
  <c r="U298" i="13"/>
  <c r="X298" i="13"/>
  <c r="U813" i="13"/>
  <c r="X813" i="13"/>
  <c r="U1028" i="13"/>
  <c r="X1028" i="13"/>
  <c r="U975" i="13"/>
  <c r="X975" i="13"/>
  <c r="U1230" i="13"/>
  <c r="X1230" i="13"/>
  <c r="U1355" i="13"/>
  <c r="X1355" i="13"/>
  <c r="U327" i="13"/>
  <c r="X327" i="13"/>
  <c r="U1108" i="13"/>
  <c r="X1108" i="13"/>
  <c r="U453" i="13"/>
  <c r="X453" i="13"/>
  <c r="U587" i="13"/>
  <c r="X587" i="13"/>
  <c r="U22" i="13"/>
  <c r="X22" i="13"/>
  <c r="U42" i="13"/>
  <c r="X42" i="13"/>
  <c r="U45" i="13"/>
  <c r="X45" i="13"/>
  <c r="U55" i="13"/>
  <c r="X55" i="13"/>
  <c r="U62" i="13"/>
  <c r="X62" i="13"/>
  <c r="U102" i="13"/>
  <c r="X102" i="13"/>
  <c r="U132" i="13"/>
  <c r="X132" i="13"/>
  <c r="U134" i="13"/>
  <c r="X134" i="13"/>
  <c r="U150" i="13"/>
  <c r="X150" i="13"/>
  <c r="U166" i="13"/>
  <c r="X166" i="13"/>
  <c r="U173" i="13"/>
  <c r="X173" i="13"/>
  <c r="U178" i="13"/>
  <c r="X178" i="13"/>
  <c r="U210" i="13"/>
  <c r="X210" i="13"/>
  <c r="U213" i="13"/>
  <c r="X213" i="13"/>
  <c r="U218" i="13"/>
  <c r="X218" i="13"/>
  <c r="U220" i="13"/>
  <c r="X220" i="13"/>
  <c r="U225" i="13"/>
  <c r="X225" i="13"/>
  <c r="U227" i="13"/>
  <c r="X227" i="13"/>
  <c r="U255" i="13"/>
  <c r="X255" i="13"/>
  <c r="W287" i="13"/>
  <c r="U299" i="13"/>
  <c r="X299" i="13"/>
  <c r="U301" i="13"/>
  <c r="X301" i="13"/>
  <c r="T302" i="13"/>
  <c r="U317" i="13"/>
  <c r="X317" i="13"/>
  <c r="U342" i="13"/>
  <c r="X342" i="13"/>
  <c r="U344" i="13"/>
  <c r="X344" i="13"/>
  <c r="U421" i="13"/>
  <c r="X421" i="13"/>
  <c r="U890" i="13"/>
  <c r="X890" i="13"/>
  <c r="U1076" i="13"/>
  <c r="X1076" i="13"/>
  <c r="U825" i="13"/>
  <c r="X825" i="13"/>
  <c r="U488" i="13"/>
  <c r="X488" i="13"/>
  <c r="U678" i="13"/>
  <c r="X678" i="13"/>
  <c r="U805" i="13"/>
  <c r="X805" i="13"/>
  <c r="U609" i="13"/>
  <c r="X609" i="13"/>
  <c r="U95" i="13"/>
  <c r="X95" i="13"/>
  <c r="U630" i="13"/>
  <c r="X630" i="13"/>
  <c r="U143" i="13"/>
  <c r="X143" i="13"/>
  <c r="U151" i="13"/>
  <c r="X151" i="13"/>
  <c r="U87" i="13"/>
  <c r="X87" i="13"/>
  <c r="U306" i="13"/>
  <c r="X306" i="13"/>
  <c r="U517" i="13"/>
  <c r="X517" i="13"/>
  <c r="U152" i="13"/>
  <c r="X152" i="13"/>
  <c r="U959" i="13"/>
  <c r="X959" i="13"/>
  <c r="U737" i="13"/>
  <c r="X737" i="13"/>
  <c r="U772" i="13"/>
  <c r="X772" i="13"/>
  <c r="U793" i="13"/>
  <c r="X793" i="13"/>
  <c r="U432" i="13"/>
  <c r="X432" i="13"/>
  <c r="U175" i="13"/>
  <c r="X175" i="13"/>
  <c r="U242" i="13"/>
  <c r="X242" i="13"/>
  <c r="U60" i="13"/>
  <c r="X60" i="13"/>
  <c r="U13" i="13"/>
  <c r="X13" i="13"/>
  <c r="W36" i="13"/>
  <c r="W84" i="13"/>
  <c r="U203" i="13"/>
  <c r="X203" i="13"/>
  <c r="U222" i="13"/>
  <c r="X222" i="13"/>
  <c r="U229" i="13"/>
  <c r="X229" i="13"/>
  <c r="U262" i="13"/>
  <c r="X262" i="13"/>
  <c r="U269" i="13"/>
  <c r="X269" i="13"/>
  <c r="R287" i="13"/>
  <c r="U287" i="13"/>
  <c r="X287" i="13"/>
  <c r="R292" i="13"/>
  <c r="U292" i="13"/>
  <c r="X292" i="13"/>
  <c r="U294" i="13"/>
  <c r="X294" i="13"/>
  <c r="W306" i="13"/>
  <c r="U324" i="13"/>
  <c r="X324" i="13"/>
  <c r="U389" i="13"/>
  <c r="X389" i="13"/>
  <c r="U450" i="13"/>
  <c r="X450" i="13"/>
  <c r="U497" i="13"/>
  <c r="X497" i="13"/>
  <c r="U560" i="13"/>
  <c r="X560" i="13"/>
  <c r="U588" i="13"/>
  <c r="X588" i="13"/>
  <c r="U605" i="13"/>
  <c r="X605" i="13"/>
  <c r="U862" i="13"/>
  <c r="X862" i="13"/>
  <c r="U883" i="13"/>
  <c r="X883" i="13"/>
  <c r="U894" i="13"/>
  <c r="X894" i="13"/>
  <c r="U817" i="13"/>
  <c r="X817" i="13"/>
  <c r="U884" i="13"/>
  <c r="X884" i="13"/>
  <c r="U713" i="13"/>
  <c r="X713" i="13"/>
  <c r="U809" i="13"/>
  <c r="X809" i="13"/>
  <c r="U753" i="13"/>
  <c r="X753" i="13"/>
  <c r="U442" i="13"/>
  <c r="X442" i="13"/>
  <c r="U509" i="13"/>
  <c r="X509" i="13"/>
  <c r="U427" i="13"/>
  <c r="X427" i="13"/>
  <c r="U23" i="13"/>
  <c r="X23" i="13"/>
  <c r="U290" i="13"/>
  <c r="X290" i="13"/>
  <c r="U821" i="13"/>
  <c r="X821" i="13"/>
  <c r="U293" i="13"/>
  <c r="X293" i="13"/>
  <c r="U411" i="13"/>
  <c r="X411" i="13"/>
  <c r="U1391" i="13"/>
  <c r="X1391" i="13"/>
  <c r="U971" i="13"/>
  <c r="X971" i="13"/>
  <c r="U76" i="13"/>
  <c r="X76" i="13"/>
  <c r="U456" i="13"/>
  <c r="X456" i="13"/>
  <c r="U387" i="13"/>
  <c r="X387" i="13"/>
  <c r="U182" i="13"/>
  <c r="X182" i="13"/>
  <c r="U33" i="13"/>
  <c r="X33" i="13"/>
  <c r="U99" i="13"/>
  <c r="X99" i="13"/>
  <c r="U122" i="13"/>
  <c r="X122" i="13"/>
  <c r="U136" i="13"/>
  <c r="X136" i="13"/>
  <c r="U138" i="13"/>
  <c r="X138" i="13"/>
  <c r="U158" i="13"/>
  <c r="X158" i="13"/>
  <c r="U192" i="13"/>
  <c r="X192" i="13"/>
  <c r="U236" i="13"/>
  <c r="X236" i="13"/>
  <c r="U266" i="13"/>
  <c r="X266" i="13"/>
  <c r="U271" i="13"/>
  <c r="X271" i="13"/>
  <c r="U278" i="13"/>
  <c r="X278" i="13"/>
  <c r="U289" i="13"/>
  <c r="X289" i="13"/>
  <c r="V297" i="13"/>
  <c r="U331" i="13"/>
  <c r="X331" i="13"/>
  <c r="U475" i="13"/>
  <c r="X475" i="13"/>
  <c r="U951" i="13"/>
  <c r="X951" i="13"/>
  <c r="U185" i="13"/>
  <c r="X185" i="13"/>
  <c r="U274" i="13"/>
  <c r="X274" i="13"/>
  <c r="U561" i="13"/>
  <c r="X561" i="13"/>
  <c r="U1383" i="13"/>
  <c r="X1383" i="13"/>
  <c r="U484" i="13"/>
  <c r="X484" i="13"/>
  <c r="U627" i="13"/>
  <c r="X627" i="13"/>
  <c r="U16" i="13"/>
  <c r="X16" i="13"/>
  <c r="U94" i="13"/>
  <c r="X94" i="13"/>
  <c r="U109" i="13"/>
  <c r="X109" i="13"/>
  <c r="W112" i="13"/>
  <c r="U119" i="13"/>
  <c r="X119" i="13"/>
  <c r="U163" i="13"/>
  <c r="X163" i="13"/>
  <c r="U205" i="13"/>
  <c r="X205" i="13"/>
  <c r="U238" i="13"/>
  <c r="X238" i="13"/>
  <c r="U243" i="13"/>
  <c r="X243" i="13"/>
  <c r="U254" i="13"/>
  <c r="X254" i="13"/>
  <c r="U259" i="13"/>
  <c r="X259" i="13"/>
  <c r="Q286" i="13"/>
  <c r="U286" i="13"/>
  <c r="X286" i="13"/>
  <c r="U310" i="13"/>
  <c r="X310" i="13"/>
  <c r="W312" i="13"/>
  <c r="U321" i="13"/>
  <c r="X321" i="13"/>
  <c r="U337" i="13"/>
  <c r="X337" i="13"/>
  <c r="U505" i="13"/>
  <c r="X505" i="13"/>
  <c r="U515" i="13"/>
  <c r="X515" i="13"/>
  <c r="U747" i="13"/>
  <c r="X747" i="13"/>
  <c r="U853" i="13"/>
  <c r="X853" i="13"/>
  <c r="U339" i="13"/>
  <c r="X339" i="13"/>
  <c r="U341" i="13"/>
  <c r="X341" i="13"/>
  <c r="U348" i="13"/>
  <c r="X348" i="13"/>
  <c r="U350" i="13"/>
  <c r="X350" i="13"/>
  <c r="U367" i="13"/>
  <c r="X367" i="13"/>
  <c r="U374" i="13"/>
  <c r="X374" i="13"/>
  <c r="U437" i="13"/>
  <c r="X437" i="13"/>
  <c r="U481" i="13"/>
  <c r="X481" i="13"/>
  <c r="U483" i="13"/>
  <c r="X483" i="13"/>
  <c r="U525" i="13"/>
  <c r="X525" i="13"/>
  <c r="U568" i="13"/>
  <c r="X568" i="13"/>
  <c r="U581" i="13"/>
  <c r="X581" i="13"/>
  <c r="U589" i="13"/>
  <c r="X589" i="13"/>
  <c r="U594" i="13"/>
  <c r="X594" i="13"/>
  <c r="U596" i="13"/>
  <c r="X596" i="13"/>
  <c r="U598" i="13"/>
  <c r="X598" i="13"/>
  <c r="U648" i="13"/>
  <c r="X648" i="13"/>
  <c r="U663" i="13"/>
  <c r="X663" i="13"/>
  <c r="U691" i="13"/>
  <c r="X691" i="13"/>
  <c r="U712" i="13"/>
  <c r="X712" i="13"/>
  <c r="U724" i="13"/>
  <c r="X724" i="13"/>
  <c r="U751" i="13"/>
  <c r="X751" i="13"/>
  <c r="U779" i="13"/>
  <c r="X779" i="13"/>
  <c r="U795" i="13"/>
  <c r="X795" i="13"/>
  <c r="W798" i="13"/>
  <c r="U808" i="13"/>
  <c r="X808" i="13"/>
  <c r="U815" i="13"/>
  <c r="X815" i="13"/>
  <c r="U866" i="13"/>
  <c r="X866" i="13"/>
  <c r="U877" i="13"/>
  <c r="X877" i="13"/>
  <c r="U885" i="13"/>
  <c r="X885" i="13"/>
  <c r="U893" i="13"/>
  <c r="X893" i="13"/>
  <c r="U906" i="13"/>
  <c r="X906" i="13"/>
  <c r="U1115" i="13"/>
  <c r="X1115" i="13"/>
  <c r="U1217" i="13"/>
  <c r="X1217" i="13"/>
  <c r="W359" i="13"/>
  <c r="U371" i="13"/>
  <c r="X371" i="13"/>
  <c r="U380" i="13"/>
  <c r="X380" i="13"/>
  <c r="U382" i="13"/>
  <c r="X382" i="13"/>
  <c r="W392" i="13"/>
  <c r="U401" i="13"/>
  <c r="X401" i="13"/>
  <c r="U466" i="13"/>
  <c r="X466" i="13"/>
  <c r="W468" i="13"/>
  <c r="V531" i="13"/>
  <c r="U547" i="13"/>
  <c r="X547" i="13"/>
  <c r="W549" i="13"/>
  <c r="U558" i="13"/>
  <c r="X558" i="13"/>
  <c r="V559" i="13"/>
  <c r="U570" i="13"/>
  <c r="X570" i="13"/>
  <c r="U591" i="13"/>
  <c r="X591" i="13"/>
  <c r="U629" i="13"/>
  <c r="X629" i="13"/>
  <c r="U653" i="13"/>
  <c r="X653" i="13"/>
  <c r="U672" i="13"/>
  <c r="X672" i="13"/>
  <c r="U679" i="13"/>
  <c r="X679" i="13"/>
  <c r="U681" i="13"/>
  <c r="X681" i="13"/>
  <c r="U693" i="13"/>
  <c r="X693" i="13"/>
  <c r="U731" i="13"/>
  <c r="X731" i="13"/>
  <c r="U734" i="13"/>
  <c r="X734" i="13"/>
  <c r="U762" i="13"/>
  <c r="X762" i="13"/>
  <c r="U767" i="13"/>
  <c r="X767" i="13"/>
  <c r="U803" i="13"/>
  <c r="X803" i="13"/>
  <c r="W817" i="13"/>
  <c r="U820" i="13"/>
  <c r="X820" i="13"/>
  <c r="V826" i="13"/>
  <c r="W830" i="13"/>
  <c r="U848" i="13"/>
  <c r="X848" i="13"/>
  <c r="U874" i="13"/>
  <c r="X874" i="13"/>
  <c r="V896" i="13"/>
  <c r="U926" i="13"/>
  <c r="X926" i="13"/>
  <c r="U1068" i="13"/>
  <c r="X1068" i="13"/>
  <c r="U326" i="13"/>
  <c r="X326" i="13"/>
  <c r="U490" i="13"/>
  <c r="X490" i="13"/>
  <c r="U563" i="13"/>
  <c r="X563" i="13"/>
  <c r="V576" i="13"/>
  <c r="U578" i="13"/>
  <c r="X578" i="13"/>
  <c r="U584" i="13"/>
  <c r="X584" i="13"/>
  <c r="U613" i="13"/>
  <c r="X613" i="13"/>
  <c r="U617" i="13"/>
  <c r="X617" i="13"/>
  <c r="U631" i="13"/>
  <c r="X631" i="13"/>
  <c r="U647" i="13"/>
  <c r="X647" i="13"/>
  <c r="U655" i="13"/>
  <c r="X655" i="13"/>
  <c r="U683" i="13"/>
  <c r="X683" i="13"/>
  <c r="U695" i="13"/>
  <c r="X695" i="13"/>
  <c r="U728" i="13"/>
  <c r="X728" i="13"/>
  <c r="U739" i="13"/>
  <c r="X739" i="13"/>
  <c r="U743" i="13"/>
  <c r="X743" i="13"/>
  <c r="U755" i="13"/>
  <c r="X755" i="13"/>
  <c r="U776" i="13"/>
  <c r="X776" i="13"/>
  <c r="U787" i="13"/>
  <c r="X787" i="13"/>
  <c r="U833" i="13"/>
  <c r="X833" i="13"/>
  <c r="U840" i="13"/>
  <c r="X840" i="13"/>
  <c r="U854" i="13"/>
  <c r="X854" i="13"/>
  <c r="U865" i="13"/>
  <c r="X865" i="13"/>
  <c r="U871" i="13"/>
  <c r="X871" i="13"/>
  <c r="U882" i="13"/>
  <c r="X882" i="13"/>
  <c r="U898" i="13"/>
  <c r="X898" i="13"/>
  <c r="U915" i="13"/>
  <c r="X915" i="13"/>
  <c r="U930" i="13"/>
  <c r="X930" i="13"/>
  <c r="U1055" i="13"/>
  <c r="X1055" i="13"/>
  <c r="U1153" i="13"/>
  <c r="X1153" i="13"/>
  <c r="U1221" i="13"/>
  <c r="X1221" i="13"/>
  <c r="U333" i="13"/>
  <c r="X333" i="13"/>
  <c r="U340" i="13"/>
  <c r="X340" i="13"/>
  <c r="U356" i="13"/>
  <c r="X356" i="13"/>
  <c r="U358" i="13"/>
  <c r="X358" i="13"/>
  <c r="U366" i="13"/>
  <c r="X366" i="13"/>
  <c r="U398" i="13"/>
  <c r="X398" i="13"/>
  <c r="U413" i="13"/>
  <c r="X413" i="13"/>
  <c r="U445" i="13"/>
  <c r="X445" i="13"/>
  <c r="U485" i="13"/>
  <c r="X485" i="13"/>
  <c r="U499" i="13"/>
  <c r="X499" i="13"/>
  <c r="U533" i="13"/>
  <c r="X533" i="13"/>
  <c r="U549" i="13"/>
  <c r="X549" i="13"/>
  <c r="U565" i="13"/>
  <c r="X565" i="13"/>
  <c r="U604" i="13"/>
  <c r="X604" i="13"/>
  <c r="U624" i="13"/>
  <c r="X624" i="13"/>
  <c r="U626" i="13"/>
  <c r="X626" i="13"/>
  <c r="U659" i="13"/>
  <c r="X659" i="13"/>
  <c r="U667" i="13"/>
  <c r="X667" i="13"/>
  <c r="U674" i="13"/>
  <c r="X674" i="13"/>
  <c r="U676" i="13"/>
  <c r="X676" i="13"/>
  <c r="U686" i="13"/>
  <c r="X686" i="13"/>
  <c r="U688" i="13"/>
  <c r="X688" i="13"/>
  <c r="U723" i="13"/>
  <c r="X723" i="13"/>
  <c r="U757" i="13"/>
  <c r="X757" i="13"/>
  <c r="U771" i="13"/>
  <c r="X771" i="13"/>
  <c r="U797" i="13"/>
  <c r="X797" i="13"/>
  <c r="U812" i="13"/>
  <c r="X812" i="13"/>
  <c r="U814" i="13"/>
  <c r="X814" i="13"/>
  <c r="U851" i="13"/>
  <c r="X851" i="13"/>
  <c r="U876" i="13"/>
  <c r="X876" i="13"/>
  <c r="U910" i="13"/>
  <c r="X910" i="13"/>
  <c r="U918" i="13"/>
  <c r="X918" i="13"/>
  <c r="U1194" i="13"/>
  <c r="X1194" i="13"/>
  <c r="U347" i="13"/>
  <c r="X347" i="13"/>
  <c r="U349" i="13"/>
  <c r="X349" i="13"/>
  <c r="U351" i="13"/>
  <c r="X351" i="13"/>
  <c r="W368" i="13"/>
  <c r="U417" i="13"/>
  <c r="X417" i="13"/>
  <c r="U425" i="13"/>
  <c r="X425" i="13"/>
  <c r="R428" i="13"/>
  <c r="U428" i="13"/>
  <c r="X428" i="13"/>
  <c r="U482" i="13"/>
  <c r="X482" i="13"/>
  <c r="U501" i="13"/>
  <c r="X501" i="13"/>
  <c r="U521" i="13"/>
  <c r="X521" i="13"/>
  <c r="U529" i="13"/>
  <c r="X529" i="13"/>
  <c r="U577" i="13"/>
  <c r="X577" i="13"/>
  <c r="U580" i="13"/>
  <c r="X580" i="13"/>
  <c r="U595" i="13"/>
  <c r="X595" i="13"/>
  <c r="U597" i="13"/>
  <c r="X597" i="13"/>
  <c r="W606" i="13"/>
  <c r="U621" i="13"/>
  <c r="X621" i="13"/>
  <c r="U628" i="13"/>
  <c r="X628" i="13"/>
  <c r="U637" i="13"/>
  <c r="X637" i="13"/>
  <c r="U685" i="13"/>
  <c r="X685" i="13"/>
  <c r="U706" i="13"/>
  <c r="X706" i="13"/>
  <c r="U738" i="13"/>
  <c r="X738" i="13"/>
  <c r="U759" i="13"/>
  <c r="X759" i="13"/>
  <c r="U778" i="13"/>
  <c r="X778" i="13"/>
  <c r="U794" i="13"/>
  <c r="X794" i="13"/>
  <c r="U819" i="13"/>
  <c r="X819" i="13"/>
  <c r="U842" i="13"/>
  <c r="X842" i="13"/>
  <c r="U850" i="13"/>
  <c r="X850" i="13"/>
  <c r="U856" i="13"/>
  <c r="X856" i="13"/>
  <c r="U870" i="13"/>
  <c r="X870" i="13"/>
  <c r="U881" i="13"/>
  <c r="X881" i="13"/>
  <c r="U902" i="13"/>
  <c r="X902" i="13"/>
  <c r="U1392" i="13"/>
  <c r="X1392" i="13"/>
  <c r="U365" i="13"/>
  <c r="X365" i="13"/>
  <c r="U379" i="13"/>
  <c r="X379" i="13"/>
  <c r="U419" i="13"/>
  <c r="X419" i="13"/>
  <c r="U422" i="13"/>
  <c r="X422" i="13"/>
  <c r="U467" i="13"/>
  <c r="X467" i="13"/>
  <c r="U474" i="13"/>
  <c r="X474" i="13"/>
  <c r="U489" i="13"/>
  <c r="X489" i="13"/>
  <c r="W510" i="13"/>
  <c r="U532" i="13"/>
  <c r="X532" i="13"/>
  <c r="U537" i="13"/>
  <c r="X537" i="13"/>
  <c r="U551" i="13"/>
  <c r="X551" i="13"/>
  <c r="U554" i="13"/>
  <c r="X554" i="13"/>
  <c r="U562" i="13"/>
  <c r="X562" i="13"/>
  <c r="U572" i="13"/>
  <c r="X572" i="13"/>
  <c r="V608" i="13"/>
  <c r="U610" i="13"/>
  <c r="X610" i="13"/>
  <c r="U612" i="13"/>
  <c r="X612" i="13"/>
  <c r="U644" i="13"/>
  <c r="X644" i="13"/>
  <c r="U652" i="13"/>
  <c r="X652" i="13"/>
  <c r="U664" i="13"/>
  <c r="X664" i="13"/>
  <c r="U671" i="13"/>
  <c r="X671" i="13"/>
  <c r="U680" i="13"/>
  <c r="X680" i="13"/>
  <c r="W692" i="13"/>
  <c r="U715" i="13"/>
  <c r="X715" i="13"/>
  <c r="U730" i="13"/>
  <c r="X730" i="13"/>
  <c r="U754" i="13"/>
  <c r="X754" i="13"/>
  <c r="U763" i="13"/>
  <c r="X763" i="13"/>
  <c r="U768" i="13"/>
  <c r="X768" i="13"/>
  <c r="U773" i="13"/>
  <c r="X773" i="13"/>
  <c r="U786" i="13"/>
  <c r="X786" i="13"/>
  <c r="U791" i="13"/>
  <c r="X791" i="13"/>
  <c r="U799" i="13"/>
  <c r="X799" i="13"/>
  <c r="W809" i="13"/>
  <c r="U832" i="13"/>
  <c r="X832" i="13"/>
  <c r="W856" i="13"/>
  <c r="U858" i="13"/>
  <c r="X858" i="13"/>
  <c r="U861" i="13"/>
  <c r="X861" i="13"/>
  <c r="U886" i="13"/>
  <c r="X886" i="13"/>
  <c r="U907" i="13"/>
  <c r="X907" i="13"/>
  <c r="U936" i="13"/>
  <c r="X936" i="13"/>
  <c r="U395" i="13"/>
  <c r="X395" i="13"/>
  <c r="U406" i="13"/>
  <c r="X406" i="13"/>
  <c r="U444" i="13"/>
  <c r="X444" i="13"/>
  <c r="U462" i="13"/>
  <c r="X462" i="13"/>
  <c r="R510" i="13"/>
  <c r="U510" i="13"/>
  <c r="X510" i="13"/>
  <c r="V524" i="13"/>
  <c r="U574" i="13"/>
  <c r="X574" i="13"/>
  <c r="U582" i="13"/>
  <c r="X582" i="13"/>
  <c r="U592" i="13"/>
  <c r="X592" i="13"/>
  <c r="U616" i="13"/>
  <c r="X616" i="13"/>
  <c r="U623" i="13"/>
  <c r="X623" i="13"/>
  <c r="U632" i="13"/>
  <c r="X632" i="13"/>
  <c r="U639" i="13"/>
  <c r="X639" i="13"/>
  <c r="U646" i="13"/>
  <c r="X646" i="13"/>
  <c r="U656" i="13"/>
  <c r="X656" i="13"/>
  <c r="U696" i="13"/>
  <c r="X696" i="13"/>
  <c r="U698" i="13"/>
  <c r="X698" i="13"/>
  <c r="U717" i="13"/>
  <c r="X717" i="13"/>
  <c r="U719" i="13"/>
  <c r="X719" i="13"/>
  <c r="U727" i="13"/>
  <c r="X727" i="13"/>
  <c r="U735" i="13"/>
  <c r="X735" i="13"/>
  <c r="U775" i="13"/>
  <c r="X775" i="13"/>
  <c r="U804" i="13"/>
  <c r="X804" i="13"/>
  <c r="W813" i="13"/>
  <c r="U816" i="13"/>
  <c r="X816" i="13"/>
  <c r="U826" i="13"/>
  <c r="X826" i="13"/>
  <c r="U831" i="13"/>
  <c r="X831" i="13"/>
  <c r="U875" i="13"/>
  <c r="X875" i="13"/>
  <c r="U897" i="13"/>
  <c r="X897" i="13"/>
  <c r="U931" i="13"/>
  <c r="X931" i="13"/>
  <c r="U1209" i="13"/>
  <c r="X1209" i="13"/>
  <c r="U1362" i="13"/>
  <c r="X1362" i="13"/>
  <c r="U332" i="13"/>
  <c r="X332" i="13"/>
  <c r="U357" i="13"/>
  <c r="X357" i="13"/>
  <c r="U372" i="13"/>
  <c r="X372" i="13"/>
  <c r="U397" i="13"/>
  <c r="X397" i="13"/>
  <c r="U408" i="13"/>
  <c r="X408" i="13"/>
  <c r="U410" i="13"/>
  <c r="X410" i="13"/>
  <c r="U412" i="13"/>
  <c r="X412" i="13"/>
  <c r="U414" i="13"/>
  <c r="X414" i="13"/>
  <c r="U435" i="13"/>
  <c r="X435" i="13"/>
  <c r="W453" i="13"/>
  <c r="W479" i="13"/>
  <c r="U486" i="13"/>
  <c r="X486" i="13"/>
  <c r="U507" i="13"/>
  <c r="X507" i="13"/>
  <c r="U528" i="13"/>
  <c r="X528" i="13"/>
  <c r="U539" i="13"/>
  <c r="X539" i="13"/>
  <c r="U576" i="13"/>
  <c r="X576" i="13"/>
  <c r="U579" i="13"/>
  <c r="X579" i="13"/>
  <c r="U634" i="13"/>
  <c r="X634" i="13"/>
  <c r="U658" i="13"/>
  <c r="X658" i="13"/>
  <c r="U675" i="13"/>
  <c r="X675" i="13"/>
  <c r="U689" i="13"/>
  <c r="X689" i="13"/>
  <c r="U708" i="13"/>
  <c r="X708" i="13"/>
  <c r="U744" i="13"/>
  <c r="X744" i="13"/>
  <c r="U770" i="13"/>
  <c r="X770" i="13"/>
  <c r="U801" i="13"/>
  <c r="X801" i="13"/>
  <c r="U806" i="13"/>
  <c r="X806" i="13"/>
  <c r="U844" i="13"/>
  <c r="X844" i="13"/>
  <c r="U846" i="13"/>
  <c r="X846" i="13"/>
  <c r="U849" i="13"/>
  <c r="X849" i="13"/>
  <c r="U852" i="13"/>
  <c r="X852" i="13"/>
  <c r="U855" i="13"/>
  <c r="X855" i="13"/>
  <c r="U869" i="13"/>
  <c r="X869" i="13"/>
  <c r="U922" i="13"/>
  <c r="X922" i="13"/>
  <c r="U946" i="13"/>
  <c r="X946" i="13"/>
  <c r="U924" i="13"/>
  <c r="X924" i="13"/>
  <c r="U927" i="13"/>
  <c r="X927" i="13"/>
  <c r="W953" i="13"/>
  <c r="U982" i="13"/>
  <c r="X982" i="13"/>
  <c r="U986" i="13"/>
  <c r="X986" i="13"/>
  <c r="U1008" i="13"/>
  <c r="X1008" i="13"/>
  <c r="V1012" i="13"/>
  <c r="U1021" i="13"/>
  <c r="X1021" i="13"/>
  <c r="W1028" i="13"/>
  <c r="U1033" i="13"/>
  <c r="X1033" i="13"/>
  <c r="W1063" i="13"/>
  <c r="U1081" i="13"/>
  <c r="X1081" i="13"/>
  <c r="U1119" i="13"/>
  <c r="X1119" i="13"/>
  <c r="U1152" i="13"/>
  <c r="X1152" i="13"/>
  <c r="U1155" i="13"/>
  <c r="X1155" i="13"/>
  <c r="U1192" i="13"/>
  <c r="X1192" i="13"/>
  <c r="U1197" i="13"/>
  <c r="X1197" i="13"/>
  <c r="U1202" i="13"/>
  <c r="X1202" i="13"/>
  <c r="U1207" i="13"/>
  <c r="X1207" i="13"/>
  <c r="U1233" i="13"/>
  <c r="X1233" i="13"/>
  <c r="W1247" i="13"/>
  <c r="W1256" i="13"/>
  <c r="U1270" i="13"/>
  <c r="X1270" i="13"/>
  <c r="U1290" i="13"/>
  <c r="X1290" i="13"/>
  <c r="W1310" i="13"/>
  <c r="U1322" i="13"/>
  <c r="X1322" i="13"/>
  <c r="U1329" i="13"/>
  <c r="X1329" i="13"/>
  <c r="W1342" i="13"/>
  <c r="U1352" i="13"/>
  <c r="X1352" i="13"/>
  <c r="U1357" i="13"/>
  <c r="X1357" i="13"/>
  <c r="V1364" i="13"/>
  <c r="U1376" i="13"/>
  <c r="X1376" i="13"/>
  <c r="U1384" i="13"/>
  <c r="X1384" i="13"/>
  <c r="U1394" i="13"/>
  <c r="X1394" i="13"/>
  <c r="W904" i="13"/>
  <c r="U921" i="13"/>
  <c r="X921" i="13"/>
  <c r="V937" i="13"/>
  <c r="W948" i="13"/>
  <c r="U960" i="13"/>
  <c r="X960" i="13"/>
  <c r="U962" i="13"/>
  <c r="X962" i="13"/>
  <c r="U1005" i="13"/>
  <c r="X1005" i="13"/>
  <c r="U1016" i="13"/>
  <c r="X1016" i="13"/>
  <c r="R1045" i="13"/>
  <c r="U1045" i="13"/>
  <c r="X1045" i="13"/>
  <c r="V1048" i="13"/>
  <c r="W1058" i="13"/>
  <c r="V1069" i="13"/>
  <c r="W1090" i="13"/>
  <c r="U1097" i="13"/>
  <c r="X1097" i="13"/>
  <c r="U1101" i="13"/>
  <c r="X1101" i="13"/>
  <c r="U1122" i="13"/>
  <c r="X1122" i="13"/>
  <c r="U1131" i="13"/>
  <c r="X1131" i="13"/>
  <c r="U1133" i="13"/>
  <c r="X1133" i="13"/>
  <c r="W1143" i="13"/>
  <c r="T1156" i="13"/>
  <c r="U1158" i="13"/>
  <c r="X1158" i="13"/>
  <c r="U1161" i="13"/>
  <c r="X1161" i="13"/>
  <c r="R1164" i="13"/>
  <c r="U1164" i="13"/>
  <c r="X1164" i="13"/>
  <c r="U1184" i="13"/>
  <c r="X1184" i="13"/>
  <c r="U1219" i="13"/>
  <c r="X1219" i="13"/>
  <c r="U1237" i="13"/>
  <c r="X1237" i="13"/>
  <c r="U1249" i="13"/>
  <c r="X1249" i="13"/>
  <c r="U1317" i="13"/>
  <c r="X1317" i="13"/>
  <c r="W1324" i="13"/>
  <c r="U1331" i="13"/>
  <c r="X1331" i="13"/>
  <c r="U1386" i="13"/>
  <c r="X1386" i="13"/>
  <c r="U1398" i="13"/>
  <c r="X1398" i="13"/>
  <c r="U964" i="13"/>
  <c r="X964" i="13"/>
  <c r="U1010" i="13"/>
  <c r="X1010" i="13"/>
  <c r="U1025" i="13"/>
  <c r="X1025" i="13"/>
  <c r="U1027" i="13"/>
  <c r="X1027" i="13"/>
  <c r="U1047" i="13"/>
  <c r="X1047" i="13"/>
  <c r="U1103" i="13"/>
  <c r="X1103" i="13"/>
  <c r="U1105" i="13"/>
  <c r="X1105" i="13"/>
  <c r="U1114" i="13"/>
  <c r="X1114" i="13"/>
  <c r="U1124" i="13"/>
  <c r="X1124" i="13"/>
  <c r="U1126" i="13"/>
  <c r="X1126" i="13"/>
  <c r="U1138" i="13"/>
  <c r="X1138" i="13"/>
  <c r="U1145" i="13"/>
  <c r="X1145" i="13"/>
  <c r="U1147" i="13"/>
  <c r="X1147" i="13"/>
  <c r="U1170" i="13"/>
  <c r="X1170" i="13"/>
  <c r="U1189" i="13"/>
  <c r="X1189" i="13"/>
  <c r="U1199" i="13"/>
  <c r="X1199" i="13"/>
  <c r="U1228" i="13"/>
  <c r="X1228" i="13"/>
  <c r="U1239" i="13"/>
  <c r="X1239" i="13"/>
  <c r="U1242" i="13"/>
  <c r="X1242" i="13"/>
  <c r="U1251" i="13"/>
  <c r="X1251" i="13"/>
  <c r="U1265" i="13"/>
  <c r="X1265" i="13"/>
  <c r="U1278" i="13"/>
  <c r="X1278" i="13"/>
  <c r="U1287" i="13"/>
  <c r="X1287" i="13"/>
  <c r="U1310" i="13"/>
  <c r="X1310" i="13"/>
  <c r="U1312" i="13"/>
  <c r="X1312" i="13"/>
  <c r="U1336" i="13"/>
  <c r="X1336" i="13"/>
  <c r="U1354" i="13"/>
  <c r="X1354" i="13"/>
  <c r="U1361" i="13"/>
  <c r="X1361" i="13"/>
  <c r="U1368" i="13"/>
  <c r="X1368" i="13"/>
  <c r="U1370" i="13"/>
  <c r="X1370" i="13"/>
  <c r="U1378" i="13"/>
  <c r="X1378" i="13"/>
  <c r="U1381" i="13"/>
  <c r="X1381" i="13"/>
  <c r="U1400" i="13"/>
  <c r="X1400" i="13"/>
  <c r="U940" i="13"/>
  <c r="X940" i="13"/>
  <c r="U966" i="13"/>
  <c r="X966" i="13"/>
  <c r="U988" i="13"/>
  <c r="X988" i="13"/>
  <c r="U1000" i="13"/>
  <c r="X1000" i="13"/>
  <c r="U1007" i="13"/>
  <c r="X1007" i="13"/>
  <c r="U1018" i="13"/>
  <c r="X1018" i="13"/>
  <c r="U1030" i="13"/>
  <c r="X1030" i="13"/>
  <c r="U1032" i="13"/>
  <c r="X1032" i="13"/>
  <c r="U1037" i="13"/>
  <c r="X1037" i="13"/>
  <c r="U1049" i="13"/>
  <c r="X1049" i="13"/>
  <c r="U1083" i="13"/>
  <c r="X1083" i="13"/>
  <c r="U1116" i="13"/>
  <c r="X1116" i="13"/>
  <c r="U1201" i="13"/>
  <c r="X1201" i="13"/>
  <c r="U1211" i="13"/>
  <c r="X1211" i="13"/>
  <c r="U1289" i="13"/>
  <c r="X1289" i="13"/>
  <c r="U1296" i="13"/>
  <c r="X1296" i="13"/>
  <c r="U1301" i="13"/>
  <c r="X1301" i="13"/>
  <c r="U1338" i="13"/>
  <c r="X1338" i="13"/>
  <c r="U1344" i="13"/>
  <c r="X1344" i="13"/>
  <c r="U1346" i="13"/>
  <c r="X1346" i="13"/>
  <c r="U1349" i="13"/>
  <c r="X1349" i="13"/>
  <c r="U1363" i="13"/>
  <c r="X1363" i="13"/>
  <c r="T1372" i="13"/>
  <c r="T1380" i="13"/>
  <c r="V1388" i="13"/>
  <c r="U933" i="13"/>
  <c r="X933" i="13"/>
  <c r="U942" i="13"/>
  <c r="X942" i="13"/>
  <c r="U950" i="13"/>
  <c r="X950" i="13"/>
  <c r="U952" i="13"/>
  <c r="X952" i="13"/>
  <c r="U957" i="13"/>
  <c r="X957" i="13"/>
  <c r="U968" i="13"/>
  <c r="X968" i="13"/>
  <c r="U981" i="13"/>
  <c r="X981" i="13"/>
  <c r="U990" i="13"/>
  <c r="X990" i="13"/>
  <c r="V996" i="13"/>
  <c r="U1002" i="13"/>
  <c r="X1002" i="13"/>
  <c r="U1004" i="13"/>
  <c r="X1004" i="13"/>
  <c r="U1034" i="13"/>
  <c r="X1034" i="13"/>
  <c r="U1041" i="13"/>
  <c r="X1041" i="13"/>
  <c r="W1064" i="13"/>
  <c r="U1073" i="13"/>
  <c r="X1073" i="13"/>
  <c r="W1082" i="13"/>
  <c r="U1087" i="13"/>
  <c r="X1087" i="13"/>
  <c r="U1096" i="13"/>
  <c r="X1096" i="13"/>
  <c r="W1111" i="13"/>
  <c r="U1137" i="13"/>
  <c r="X1137" i="13"/>
  <c r="W1140" i="13"/>
  <c r="W1142" i="13"/>
  <c r="W1174" i="13"/>
  <c r="U1208" i="13"/>
  <c r="X1208" i="13"/>
  <c r="U1213" i="13"/>
  <c r="X1213" i="13"/>
  <c r="U1269" i="13"/>
  <c r="X1269" i="13"/>
  <c r="U1274" i="13"/>
  <c r="X1274" i="13"/>
  <c r="U1282" i="13"/>
  <c r="X1282" i="13"/>
  <c r="U1284" i="13"/>
  <c r="X1284" i="13"/>
  <c r="U1291" i="13"/>
  <c r="X1291" i="13"/>
  <c r="U1316" i="13"/>
  <c r="X1316" i="13"/>
  <c r="U1328" i="13"/>
  <c r="X1328" i="13"/>
  <c r="W1335" i="13"/>
  <c r="U1356" i="13"/>
  <c r="X1356" i="13"/>
  <c r="U1397" i="13"/>
  <c r="X1397" i="13"/>
  <c r="U913" i="13"/>
  <c r="X913" i="13"/>
  <c r="R914" i="13"/>
  <c r="U914" i="13"/>
  <c r="X914" i="13"/>
  <c r="U916" i="13"/>
  <c r="X916" i="13"/>
  <c r="U963" i="13"/>
  <c r="X963" i="13"/>
  <c r="U1029" i="13"/>
  <c r="X1029" i="13"/>
  <c r="U1089" i="13"/>
  <c r="X1089" i="13"/>
  <c r="U1091" i="13"/>
  <c r="X1091" i="13"/>
  <c r="U1132" i="13"/>
  <c r="X1132" i="13"/>
  <c r="U1134" i="13"/>
  <c r="X1134" i="13"/>
  <c r="U1181" i="13"/>
  <c r="X1181" i="13"/>
  <c r="U1188" i="13"/>
  <c r="X1188" i="13"/>
  <c r="U1198" i="13"/>
  <c r="X1198" i="13"/>
  <c r="U1203" i="13"/>
  <c r="X1203" i="13"/>
  <c r="U1215" i="13"/>
  <c r="X1215" i="13"/>
  <c r="U1220" i="13"/>
  <c r="X1220" i="13"/>
  <c r="U1236" i="13"/>
  <c r="X1236" i="13"/>
  <c r="U1241" i="13"/>
  <c r="X1241" i="13"/>
  <c r="U1250" i="13"/>
  <c r="X1250" i="13"/>
  <c r="U1257" i="13"/>
  <c r="X1257" i="13"/>
  <c r="U1264" i="13"/>
  <c r="X1264" i="13"/>
  <c r="U1293" i="13"/>
  <c r="X1293" i="13"/>
  <c r="U1300" i="13"/>
  <c r="X1300" i="13"/>
  <c r="U1330" i="13"/>
  <c r="X1330" i="13"/>
  <c r="U908" i="13"/>
  <c r="X908" i="13"/>
  <c r="U937" i="13"/>
  <c r="X937" i="13"/>
  <c r="U972" i="13"/>
  <c r="X972" i="13"/>
  <c r="U997" i="13"/>
  <c r="X997" i="13"/>
  <c r="U1017" i="13"/>
  <c r="X1017" i="13"/>
  <c r="U1026" i="13"/>
  <c r="X1026" i="13"/>
  <c r="U1031" i="13"/>
  <c r="X1031" i="13"/>
  <c r="U1048" i="13"/>
  <c r="X1048" i="13"/>
  <c r="U1057" i="13"/>
  <c r="X1057" i="13"/>
  <c r="U1059" i="13"/>
  <c r="X1059" i="13"/>
  <c r="U1077" i="13"/>
  <c r="X1077" i="13"/>
  <c r="U1102" i="13"/>
  <c r="X1102" i="13"/>
  <c r="U1106" i="13"/>
  <c r="X1106" i="13"/>
  <c r="U1125" i="13"/>
  <c r="X1125" i="13"/>
  <c r="U1144" i="13"/>
  <c r="X1144" i="13"/>
  <c r="U1146" i="13"/>
  <c r="X1146" i="13"/>
  <c r="U1169" i="13"/>
  <c r="X1169" i="13"/>
  <c r="Q1174" i="13"/>
  <c r="U1174" i="13"/>
  <c r="X1174" i="13"/>
  <c r="U1176" i="13"/>
  <c r="X1176" i="13"/>
  <c r="W1190" i="13"/>
  <c r="U1195" i="13"/>
  <c r="X1195" i="13"/>
  <c r="U1205" i="13"/>
  <c r="X1205" i="13"/>
  <c r="U1210" i="13"/>
  <c r="X1210" i="13"/>
  <c r="U1225" i="13"/>
  <c r="X1225" i="13"/>
  <c r="U1229" i="13"/>
  <c r="X1229" i="13"/>
  <c r="U1252" i="13"/>
  <c r="X1252" i="13"/>
  <c r="U1259" i="13"/>
  <c r="X1259" i="13"/>
  <c r="R1295" i="13"/>
  <c r="U1295" i="13"/>
  <c r="X1295" i="13"/>
  <c r="U1325" i="13"/>
  <c r="X1325" i="13"/>
  <c r="U1340" i="13"/>
  <c r="X1340" i="13"/>
  <c r="U1360" i="13"/>
  <c r="X1360" i="13"/>
  <c r="W1367" i="13"/>
  <c r="U1369" i="13"/>
  <c r="X1369" i="13"/>
  <c r="R1387" i="13"/>
  <c r="U1387" i="13"/>
  <c r="X1387" i="13"/>
  <c r="U965" i="13"/>
  <c r="X965" i="13"/>
  <c r="U967" i="13"/>
  <c r="X967" i="13"/>
  <c r="U974" i="13"/>
  <c r="X974" i="13"/>
  <c r="U976" i="13"/>
  <c r="X976" i="13"/>
  <c r="U994" i="13"/>
  <c r="X994" i="13"/>
  <c r="U999" i="13"/>
  <c r="X999" i="13"/>
  <c r="U1011" i="13"/>
  <c r="X1011" i="13"/>
  <c r="U1072" i="13"/>
  <c r="X1072" i="13"/>
  <c r="U1079" i="13"/>
  <c r="X1079" i="13"/>
  <c r="U1139" i="13"/>
  <c r="X1139" i="13"/>
  <c r="U1180" i="13"/>
  <c r="X1180" i="13"/>
  <c r="U1231" i="13"/>
  <c r="X1231" i="13"/>
  <c r="U1266" i="13"/>
  <c r="X1266" i="13"/>
  <c r="U1273" i="13"/>
  <c r="X1273" i="13"/>
  <c r="U1281" i="13"/>
  <c r="X1281" i="13"/>
  <c r="U1288" i="13"/>
  <c r="X1288" i="13"/>
  <c r="U1304" i="13"/>
  <c r="X1304" i="13"/>
  <c r="U1315" i="13"/>
  <c r="X1315" i="13"/>
  <c r="U1320" i="13"/>
  <c r="X1320" i="13"/>
  <c r="U1345" i="13"/>
  <c r="X1345" i="13"/>
  <c r="U1364" i="13"/>
  <c r="X1364" i="13"/>
  <c r="U1389" i="13"/>
  <c r="X1389" i="13"/>
  <c r="W1015" i="13"/>
  <c r="W754" i="13"/>
  <c r="W337" i="13"/>
  <c r="R111" i="13"/>
  <c r="W204" i="13"/>
  <c r="R105" i="13"/>
  <c r="U105" i="13"/>
  <c r="X105" i="13"/>
  <c r="W61" i="13"/>
  <c r="R20" i="13"/>
  <c r="U20" i="13"/>
  <c r="X20" i="13"/>
  <c r="Q15" i="13"/>
  <c r="U15" i="13"/>
  <c r="X15" i="13"/>
  <c r="R230" i="13"/>
  <c r="U230" i="13"/>
  <c r="X230" i="13"/>
  <c r="V11" i="13"/>
  <c r="V16" i="13"/>
  <c r="V30" i="13"/>
  <c r="R51" i="13"/>
  <c r="U51" i="13"/>
  <c r="X51" i="13"/>
  <c r="R52" i="13"/>
  <c r="U52" i="13"/>
  <c r="X52" i="13"/>
  <c r="Q68" i="13"/>
  <c r="U68" i="13"/>
  <c r="X68" i="13"/>
  <c r="T71" i="13"/>
  <c r="W75" i="13"/>
  <c r="T89" i="13"/>
  <c r="R90" i="13"/>
  <c r="U90" i="13"/>
  <c r="X90" i="13"/>
  <c r="R91" i="13"/>
  <c r="U91" i="13"/>
  <c r="X91" i="13"/>
  <c r="V94" i="13"/>
  <c r="W97" i="13"/>
  <c r="R112" i="13"/>
  <c r="U112" i="13"/>
  <c r="X112" i="13"/>
  <c r="T116" i="13"/>
  <c r="Q117" i="13"/>
  <c r="U117" i="13"/>
  <c r="X117" i="13"/>
  <c r="Q120" i="13"/>
  <c r="U120" i="13"/>
  <c r="X120" i="13"/>
  <c r="V1187" i="13"/>
  <c r="R1187" i="13"/>
  <c r="U1187" i="13"/>
  <c r="X1187" i="13"/>
  <c r="V720" i="13"/>
  <c r="W22" i="13"/>
  <c r="W42" i="13"/>
  <c r="Q57" i="13"/>
  <c r="U57" i="13"/>
  <c r="X57" i="13"/>
  <c r="W5" i="13"/>
  <c r="W67" i="13"/>
  <c r="W81" i="13"/>
  <c r="W1078" i="13"/>
  <c r="R958" i="13"/>
  <c r="U958" i="13"/>
  <c r="X958" i="13"/>
  <c r="W894" i="13"/>
  <c r="W551" i="13"/>
  <c r="W102" i="13"/>
  <c r="W193" i="13"/>
  <c r="W18" i="13"/>
  <c r="V1283" i="13"/>
  <c r="W909" i="13"/>
  <c r="R984" i="13"/>
  <c r="U984" i="13"/>
  <c r="X984" i="13"/>
  <c r="W482" i="13"/>
  <c r="W355" i="13"/>
  <c r="Q100" i="13"/>
  <c r="U100" i="13"/>
  <c r="X100" i="13"/>
  <c r="R153" i="13"/>
  <c r="U153" i="13"/>
  <c r="X153" i="13"/>
  <c r="W4" i="13"/>
  <c r="W60" i="13"/>
  <c r="W1398" i="13"/>
  <c r="W373" i="13"/>
  <c r="W195" i="13"/>
  <c r="R167" i="13"/>
  <c r="U167" i="13"/>
  <c r="X167" i="13"/>
  <c r="T467" i="13"/>
  <c r="W59" i="13"/>
  <c r="R197" i="13"/>
  <c r="U197" i="13"/>
  <c r="X197" i="13"/>
  <c r="V197" i="13"/>
  <c r="W239" i="13"/>
  <c r="T418" i="13"/>
  <c r="W418" i="13"/>
  <c r="W500" i="13"/>
  <c r="T500" i="13"/>
  <c r="R523" i="13"/>
  <c r="U523" i="13"/>
  <c r="X523" i="13"/>
  <c r="V523" i="13"/>
  <c r="W1400" i="13"/>
  <c r="R1095" i="13"/>
  <c r="U1095" i="13"/>
  <c r="X1095" i="13"/>
  <c r="V1141" i="13"/>
  <c r="W1016" i="13"/>
  <c r="R1093" i="13"/>
  <c r="U1093" i="13"/>
  <c r="X1093" i="13"/>
  <c r="R1110" i="13"/>
  <c r="U1110" i="13"/>
  <c r="X1110" i="13"/>
  <c r="V676" i="13"/>
  <c r="R555" i="13"/>
  <c r="U555" i="13"/>
  <c r="X555" i="13"/>
  <c r="R420" i="13"/>
  <c r="U420" i="13"/>
  <c r="X420" i="13"/>
  <c r="W277" i="13"/>
  <c r="W31" i="13"/>
  <c r="W44" i="13"/>
  <c r="W53" i="13"/>
  <c r="W65" i="13"/>
  <c r="W79" i="13"/>
  <c r="W403" i="13"/>
  <c r="T403" i="13"/>
  <c r="R491" i="13"/>
  <c r="U491" i="13"/>
  <c r="X491" i="13"/>
  <c r="V491" i="13"/>
  <c r="W644" i="13"/>
  <c r="V114" i="13"/>
  <c r="Q606" i="13"/>
  <c r="U606" i="13"/>
  <c r="X606" i="13"/>
  <c r="Q4" i="13"/>
  <c r="U4" i="13"/>
  <c r="X4" i="13"/>
  <c r="T6" i="13"/>
  <c r="W16" i="13"/>
  <c r="W20" i="13"/>
  <c r="W24" i="13"/>
  <c r="W43" i="13"/>
  <c r="W69" i="13"/>
  <c r="W76" i="13"/>
  <c r="R124" i="13"/>
  <c r="U124" i="13"/>
  <c r="X124" i="13"/>
  <c r="T198" i="13"/>
  <c r="W198" i="13"/>
  <c r="V345" i="13"/>
  <c r="R345" i="13"/>
  <c r="U345" i="13"/>
  <c r="X345" i="13"/>
  <c r="T1170" i="13"/>
  <c r="W1170" i="13"/>
  <c r="T1388" i="13"/>
  <c r="W1388" i="13"/>
  <c r="W1013" i="13"/>
  <c r="Q1324" i="13"/>
  <c r="U1324" i="13"/>
  <c r="X1324" i="13"/>
  <c r="Q155" i="13"/>
  <c r="U155" i="13"/>
  <c r="X155" i="13"/>
  <c r="Q36" i="13"/>
  <c r="W546" i="13"/>
  <c r="V202" i="13"/>
  <c r="R1040" i="13"/>
  <c r="U1040" i="13"/>
  <c r="X1040" i="13"/>
  <c r="R240" i="13"/>
  <c r="U240" i="13"/>
  <c r="X240" i="13"/>
  <c r="W144" i="13"/>
  <c r="T144" i="13"/>
  <c r="V177" i="13"/>
  <c r="W386" i="13"/>
  <c r="W442" i="13"/>
  <c r="R449" i="13"/>
  <c r="U449" i="13"/>
  <c r="X449" i="13"/>
  <c r="W458" i="13"/>
  <c r="T469" i="13"/>
  <c r="W519" i="13"/>
  <c r="W199" i="13"/>
  <c r="V269" i="13"/>
  <c r="W534" i="13"/>
  <c r="W400" i="13"/>
  <c r="W157" i="13"/>
  <c r="W246" i="13"/>
  <c r="W315" i="13"/>
  <c r="R343" i="13"/>
  <c r="W415" i="13"/>
  <c r="W492" i="13"/>
  <c r="W543" i="13"/>
  <c r="W587" i="13"/>
  <c r="W651" i="13"/>
  <c r="W113" i="13"/>
  <c r="W149" i="13"/>
  <c r="W346" i="13"/>
  <c r="W438" i="13"/>
  <c r="W514" i="13"/>
  <c r="V636" i="13"/>
  <c r="R636" i="13"/>
  <c r="U636" i="13"/>
  <c r="X636" i="13"/>
  <c r="T764" i="13"/>
  <c r="W764" i="13"/>
  <c r="R141" i="13"/>
  <c r="U141" i="13"/>
  <c r="X141" i="13"/>
  <c r="W143" i="13"/>
  <c r="W498" i="13"/>
  <c r="Q538" i="13"/>
  <c r="U538" i="13"/>
  <c r="X538" i="13"/>
  <c r="W538" i="13"/>
  <c r="R545" i="13"/>
  <c r="U545" i="13"/>
  <c r="X545" i="13"/>
  <c r="V545" i="13"/>
  <c r="W825" i="13"/>
  <c r="W849" i="13"/>
  <c r="W912" i="13"/>
  <c r="W1158" i="13"/>
  <c r="T1158" i="13"/>
  <c r="V723" i="13"/>
  <c r="Q1092" i="13"/>
  <c r="U1092" i="13"/>
  <c r="X1092" i="13"/>
  <c r="W1092" i="13"/>
  <c r="V1292" i="13"/>
  <c r="R1292" i="13"/>
  <c r="U1292" i="13"/>
  <c r="X1292" i="13"/>
  <c r="W1303" i="13"/>
  <c r="T1303" i="13"/>
  <c r="W608" i="13"/>
  <c r="W756" i="13"/>
  <c r="R905" i="13"/>
  <c r="U905" i="13"/>
  <c r="X905" i="13"/>
  <c r="T1109" i="13"/>
  <c r="W1109" i="13"/>
  <c r="W1280" i="13"/>
  <c r="Q1280" i="13"/>
  <c r="U1280" i="13"/>
  <c r="X1280" i="13"/>
  <c r="W724" i="13"/>
  <c r="W740" i="13"/>
  <c r="W748" i="13"/>
  <c r="W772" i="13"/>
  <c r="V1260" i="13"/>
  <c r="R1260" i="13"/>
  <c r="U1260" i="13"/>
  <c r="X1260" i="13"/>
  <c r="W493" i="13"/>
  <c r="W559" i="13"/>
  <c r="R810" i="13"/>
  <c r="U810" i="13"/>
  <c r="X810" i="13"/>
  <c r="V874" i="13"/>
  <c r="W896" i="13"/>
  <c r="W1106" i="13"/>
  <c r="T1106" i="13"/>
  <c r="W630" i="13"/>
  <c r="R1053" i="13"/>
  <c r="U1053" i="13"/>
  <c r="X1053" i="13"/>
  <c r="V1053" i="13"/>
  <c r="W944" i="13"/>
  <c r="R1111" i="13"/>
  <c r="U1111" i="13"/>
  <c r="X1111" i="13"/>
  <c r="W1118" i="13"/>
  <c r="W1285" i="13"/>
  <c r="W1019" i="13"/>
  <c r="W1162" i="13"/>
  <c r="W1227" i="13"/>
  <c r="W1267" i="13"/>
  <c r="W935" i="13"/>
  <c r="W962" i="13"/>
  <c r="W1105" i="13"/>
  <c r="R1128" i="13"/>
  <c r="U1128" i="13"/>
  <c r="X1128" i="13"/>
  <c r="T1150" i="13"/>
  <c r="W1326" i="13"/>
  <c r="V1353" i="13"/>
  <c r="W1332" i="13"/>
  <c r="Q1019" i="13"/>
  <c r="U1019" i="13"/>
  <c r="X1019" i="13"/>
  <c r="W1222" i="13"/>
  <c r="W1226" i="13"/>
  <c r="W1261" i="13"/>
  <c r="W1373" i="13"/>
  <c r="W993" i="13"/>
  <c r="W1030" i="13"/>
  <c r="W1040" i="13"/>
  <c r="W1047" i="13"/>
  <c r="W1399" i="13"/>
  <c r="W969" i="13"/>
  <c r="Q35" i="13"/>
  <c r="U35" i="13"/>
  <c r="X35" i="13"/>
  <c r="W35" i="13"/>
  <c r="T62" i="13"/>
  <c r="W62" i="13"/>
  <c r="V296" i="13"/>
  <c r="R296" i="13"/>
  <c r="U296" i="13"/>
  <c r="X296" i="13"/>
  <c r="R811" i="13"/>
  <c r="U811" i="13"/>
  <c r="X811" i="13"/>
  <c r="V811" i="13"/>
  <c r="V1247" i="13"/>
  <c r="W1157" i="13"/>
  <c r="Q9" i="13"/>
  <c r="U9" i="13"/>
  <c r="X9" i="13"/>
  <c r="W9" i="13"/>
  <c r="R29" i="13"/>
  <c r="U29" i="13"/>
  <c r="X29" i="13"/>
  <c r="V29" i="13"/>
  <c r="V50" i="13"/>
  <c r="R50" i="13"/>
  <c r="U50" i="13"/>
  <c r="X50" i="13"/>
  <c r="Q63" i="13"/>
  <c r="U63" i="13"/>
  <c r="X63" i="13"/>
  <c r="W63" i="13"/>
  <c r="W111" i="13"/>
  <c r="Q111" i="13"/>
  <c r="U111" i="13"/>
  <c r="X111" i="13"/>
  <c r="R108" i="13"/>
  <c r="U108" i="13"/>
  <c r="X108" i="13"/>
  <c r="V108" i="13"/>
  <c r="Q263" i="13"/>
  <c r="U263" i="13"/>
  <c r="X263" i="13"/>
  <c r="W263" i="13"/>
  <c r="W343" i="13"/>
  <c r="Q343" i="13"/>
  <c r="U343" i="13"/>
  <c r="X343" i="13"/>
  <c r="T650" i="13"/>
  <c r="W650" i="13"/>
  <c r="Q780" i="13"/>
  <c r="U780" i="13"/>
  <c r="X780" i="13"/>
  <c r="W780" i="13"/>
  <c r="V1215" i="13"/>
  <c r="R1215" i="13"/>
  <c r="W1371" i="13"/>
  <c r="Q1371" i="13"/>
  <c r="U1371" i="13"/>
  <c r="X1371" i="13"/>
  <c r="W1362" i="13"/>
  <c r="Q1403" i="13"/>
  <c r="U1403" i="13"/>
  <c r="X1403" i="13"/>
  <c r="V247" i="13"/>
  <c r="V14" i="13"/>
  <c r="R14" i="13"/>
  <c r="U14" i="13"/>
  <c r="X14" i="13"/>
  <c r="T40" i="13"/>
  <c r="W40" i="13"/>
  <c r="W92" i="13"/>
  <c r="Q92" i="13"/>
  <c r="U92" i="13"/>
  <c r="X92" i="13"/>
  <c r="Q101" i="13"/>
  <c r="U101" i="13"/>
  <c r="X101" i="13"/>
  <c r="W101" i="13"/>
  <c r="R104" i="13"/>
  <c r="U104" i="13"/>
  <c r="X104" i="13"/>
  <c r="V104" i="13"/>
  <c r="W868" i="13"/>
  <c r="T868" i="13"/>
  <c r="R941" i="13"/>
  <c r="U941" i="13"/>
  <c r="X941" i="13"/>
  <c r="V941" i="13"/>
  <c r="T1321" i="13"/>
  <c r="W1321" i="13"/>
  <c r="V1307" i="13"/>
  <c r="W1223" i="13"/>
  <c r="W166" i="13"/>
  <c r="R217" i="13"/>
  <c r="U217" i="13"/>
  <c r="X217" i="13"/>
  <c r="W34" i="13"/>
  <c r="Q34" i="13"/>
  <c r="U34" i="13"/>
  <c r="X34" i="13"/>
  <c r="Q48" i="13"/>
  <c r="U48" i="13"/>
  <c r="X48" i="13"/>
  <c r="W48" i="13"/>
  <c r="V66" i="13"/>
  <c r="R66" i="13"/>
  <c r="U66" i="13"/>
  <c r="X66" i="13"/>
  <c r="R80" i="13"/>
  <c r="U80" i="13"/>
  <c r="X80" i="13"/>
  <c r="V80" i="13"/>
  <c r="V131" i="13"/>
  <c r="R131" i="13"/>
  <c r="U131" i="13"/>
  <c r="X131" i="13"/>
  <c r="Q154" i="13"/>
  <c r="U154" i="13"/>
  <c r="X154" i="13"/>
  <c r="W154" i="13"/>
  <c r="Q1009" i="13"/>
  <c r="U1009" i="13"/>
  <c r="X1009" i="13"/>
  <c r="W1009" i="13"/>
  <c r="W1265" i="13"/>
  <c r="W799" i="13"/>
  <c r="W735" i="13"/>
  <c r="V687" i="13"/>
  <c r="W580" i="13"/>
  <c r="R21" i="13"/>
  <c r="U21" i="13"/>
  <c r="X21" i="13"/>
  <c r="V21" i="13"/>
  <c r="W33" i="13"/>
  <c r="T33" i="13"/>
  <c r="R73" i="13"/>
  <c r="U73" i="13"/>
  <c r="X73" i="13"/>
  <c r="V73" i="13"/>
  <c r="Q130" i="13"/>
  <c r="U130" i="13"/>
  <c r="X130" i="13"/>
  <c r="W130" i="13"/>
  <c r="W136" i="13"/>
  <c r="T136" i="13"/>
  <c r="Q181" i="13"/>
  <c r="U181" i="13"/>
  <c r="X181" i="13"/>
  <c r="W181" i="13"/>
  <c r="T375" i="13"/>
  <c r="W375" i="13"/>
  <c r="V818" i="13"/>
  <c r="R818" i="13"/>
  <c r="U818" i="13"/>
  <c r="X818" i="13"/>
  <c r="T999" i="13"/>
  <c r="W999" i="13"/>
  <c r="W1259" i="13"/>
  <c r="W1288" i="13"/>
  <c r="W881" i="13"/>
  <c r="W589" i="13"/>
  <c r="W251" i="13"/>
  <c r="Q27" i="13"/>
  <c r="U27" i="13"/>
  <c r="X27" i="13"/>
  <c r="H5" i="13"/>
  <c r="H7" i="13"/>
  <c r="H9" i="13"/>
  <c r="W26" i="13"/>
  <c r="Q26" i="13"/>
  <c r="U26" i="13"/>
  <c r="X26" i="13"/>
  <c r="Q47" i="13"/>
  <c r="U47" i="13"/>
  <c r="X47" i="13"/>
  <c r="W47" i="13"/>
  <c r="T151" i="13"/>
  <c r="W151" i="13"/>
  <c r="W8" i="13"/>
  <c r="Q8" i="13"/>
  <c r="U8" i="13"/>
  <c r="X8" i="13"/>
  <c r="R164" i="13"/>
  <c r="U164" i="13"/>
  <c r="X164" i="13"/>
  <c r="V164" i="13"/>
  <c r="T257" i="13"/>
  <c r="W257" i="13"/>
  <c r="V319" i="13"/>
  <c r="R319" i="13"/>
  <c r="U319" i="13"/>
  <c r="X319" i="13"/>
  <c r="V373" i="13"/>
  <c r="R373" i="13"/>
  <c r="U373" i="13"/>
  <c r="X373" i="13"/>
  <c r="V912" i="13"/>
  <c r="R912" i="13"/>
  <c r="U912" i="13"/>
  <c r="X912" i="13"/>
  <c r="Q1060" i="13"/>
  <c r="U1060" i="13"/>
  <c r="X1060" i="13"/>
  <c r="W1060" i="13"/>
  <c r="T1193" i="13"/>
  <c r="W1193" i="13"/>
  <c r="W1298" i="13"/>
  <c r="Q1298" i="13"/>
  <c r="U1298" i="13"/>
  <c r="X1298" i="13"/>
  <c r="Q10" i="13"/>
  <c r="U10" i="13"/>
  <c r="X10" i="13"/>
  <c r="W10" i="13"/>
  <c r="Q64" i="13"/>
  <c r="W64" i="13"/>
  <c r="W72" i="13"/>
  <c r="Q72" i="13"/>
  <c r="U72" i="13"/>
  <c r="X72" i="13"/>
  <c r="W78" i="13"/>
  <c r="Q78" i="13"/>
  <c r="U78" i="13"/>
  <c r="X78" i="13"/>
  <c r="V86" i="13"/>
  <c r="R86" i="13"/>
  <c r="U86" i="13"/>
  <c r="X86" i="13"/>
  <c r="T96" i="13"/>
  <c r="W96" i="13"/>
  <c r="R149" i="13"/>
  <c r="U149" i="13"/>
  <c r="X149" i="13"/>
  <c r="V149" i="13"/>
  <c r="Q107" i="13"/>
  <c r="U107" i="13"/>
  <c r="X107" i="13"/>
  <c r="W107" i="13"/>
  <c r="T138" i="13"/>
  <c r="W138" i="13"/>
  <c r="T207" i="13"/>
  <c r="W207" i="13"/>
  <c r="T616" i="13"/>
  <c r="W616" i="13"/>
  <c r="T700" i="13"/>
  <c r="W700" i="13"/>
  <c r="R891" i="13"/>
  <c r="U891" i="13"/>
  <c r="X891" i="13"/>
  <c r="V891" i="13"/>
  <c r="T1080" i="13"/>
  <c r="W1080" i="13"/>
  <c r="T1087" i="13"/>
  <c r="W1087" i="13"/>
  <c r="W1048" i="13"/>
  <c r="W982" i="13"/>
  <c r="W890" i="13"/>
  <c r="W775" i="13"/>
  <c r="W770" i="13"/>
  <c r="W333" i="13"/>
  <c r="Q19" i="13"/>
  <c r="U19" i="13"/>
  <c r="X19" i="13"/>
  <c r="W19" i="13"/>
  <c r="W25" i="13"/>
  <c r="T25" i="13"/>
  <c r="V36" i="13"/>
  <c r="R36" i="13"/>
  <c r="W70" i="13"/>
  <c r="T70" i="13"/>
  <c r="W85" i="13"/>
  <c r="Q85" i="13"/>
  <c r="U85" i="13"/>
  <c r="X85" i="13"/>
  <c r="R115" i="13"/>
  <c r="U115" i="13"/>
  <c r="X115" i="13"/>
  <c r="V115" i="13"/>
  <c r="W148" i="13"/>
  <c r="Q148" i="13"/>
  <c r="U148" i="13"/>
  <c r="X148" i="13"/>
  <c r="V116" i="13"/>
  <c r="R116" i="13"/>
  <c r="U116" i="13"/>
  <c r="X116" i="13"/>
  <c r="V117" i="13"/>
  <c r="Q140" i="13"/>
  <c r="U140" i="13"/>
  <c r="X140" i="13"/>
  <c r="W145" i="13"/>
  <c r="W186" i="13"/>
  <c r="W209" i="13"/>
  <c r="T209" i="13"/>
  <c r="R513" i="13"/>
  <c r="U513" i="13"/>
  <c r="X513" i="13"/>
  <c r="V513" i="13"/>
  <c r="W153" i="13"/>
  <c r="W160" i="13"/>
  <c r="R97" i="13"/>
  <c r="U97" i="13"/>
  <c r="X97" i="13"/>
  <c r="V133" i="13"/>
  <c r="W182" i="13"/>
  <c r="T182" i="13"/>
  <c r="V308" i="13"/>
  <c r="R308" i="13"/>
  <c r="U308" i="13"/>
  <c r="X308" i="13"/>
  <c r="V360" i="13"/>
  <c r="R360" i="13"/>
  <c r="U360" i="13"/>
  <c r="X360" i="13"/>
  <c r="T20" i="13"/>
  <c r="T28" i="13"/>
  <c r="T49" i="13"/>
  <c r="T65" i="13"/>
  <c r="T79" i="13"/>
  <c r="T93" i="13"/>
  <c r="W124" i="13"/>
  <c r="W128" i="13"/>
  <c r="W206" i="13"/>
  <c r="W222" i="13"/>
  <c r="T222" i="13"/>
  <c r="T230" i="13"/>
  <c r="W230" i="13"/>
  <c r="T370" i="13"/>
  <c r="W370" i="13"/>
  <c r="V248" i="13"/>
  <c r="R248" i="13"/>
  <c r="U248" i="13"/>
  <c r="X248" i="13"/>
  <c r="R113" i="13"/>
  <c r="U113" i="13"/>
  <c r="X113" i="13"/>
  <c r="W123" i="13"/>
  <c r="W152" i="13"/>
  <c r="W161" i="13"/>
  <c r="V264" i="13"/>
  <c r="R264" i="13"/>
  <c r="U264" i="13"/>
  <c r="X264" i="13"/>
  <c r="V145" i="13"/>
  <c r="R283" i="13"/>
  <c r="U283" i="13"/>
  <c r="X283" i="13"/>
  <c r="V284" i="13"/>
  <c r="Q291" i="13"/>
  <c r="U291" i="13"/>
  <c r="X291" i="13"/>
  <c r="V611" i="13"/>
  <c r="R611" i="13"/>
  <c r="U611" i="13"/>
  <c r="X611" i="13"/>
  <c r="Q247" i="13"/>
  <c r="U247" i="13"/>
  <c r="X247" i="13"/>
  <c r="R244" i="13"/>
  <c r="U244" i="13"/>
  <c r="X244" i="13"/>
  <c r="R252" i="13"/>
  <c r="U252" i="13"/>
  <c r="X252" i="13"/>
  <c r="V324" i="13"/>
  <c r="V385" i="13"/>
  <c r="R385" i="13"/>
  <c r="U385" i="13"/>
  <c r="X385" i="13"/>
  <c r="W387" i="13"/>
  <c r="W607" i="13"/>
  <c r="V469" i="13"/>
  <c r="R469" i="13"/>
  <c r="U469" i="13"/>
  <c r="X469" i="13"/>
  <c r="V375" i="13"/>
  <c r="R381" i="13"/>
  <c r="U381" i="13"/>
  <c r="X381" i="13"/>
  <c r="R396" i="13"/>
  <c r="U396" i="13"/>
  <c r="X396" i="13"/>
  <c r="V396" i="13"/>
  <c r="R352" i="13"/>
  <c r="U352" i="13"/>
  <c r="X352" i="13"/>
  <c r="V468" i="13"/>
  <c r="R468" i="13"/>
  <c r="U468" i="13"/>
  <c r="X468" i="13"/>
  <c r="V682" i="13"/>
  <c r="R682" i="13"/>
  <c r="U682" i="13"/>
  <c r="X682" i="13"/>
  <c r="R388" i="13"/>
  <c r="U388" i="13"/>
  <c r="X388" i="13"/>
  <c r="W409" i="13"/>
  <c r="T484" i="13"/>
  <c r="Q593" i="13"/>
  <c r="U593" i="13"/>
  <c r="X593" i="13"/>
  <c r="V632" i="13"/>
  <c r="T519" i="13"/>
  <c r="Q534" i="13"/>
  <c r="U534" i="13"/>
  <c r="X534" i="13"/>
  <c r="R552" i="13"/>
  <c r="U552" i="13"/>
  <c r="X552" i="13"/>
  <c r="T559" i="13"/>
  <c r="W592" i="13"/>
  <c r="Q607" i="13"/>
  <c r="U607" i="13"/>
  <c r="X607" i="13"/>
  <c r="R690" i="13"/>
  <c r="U690" i="13"/>
  <c r="X690" i="13"/>
  <c r="V715" i="13"/>
  <c r="V433" i="13"/>
  <c r="V434" i="13"/>
  <c r="T458" i="13"/>
  <c r="T493" i="13"/>
  <c r="V614" i="13"/>
  <c r="T635" i="13"/>
  <c r="V699" i="13"/>
  <c r="T813" i="13"/>
  <c r="V945" i="13"/>
  <c r="V798" i="13"/>
  <c r="V822" i="13"/>
  <c r="W1022" i="13"/>
  <c r="Q1022" i="13"/>
  <c r="U1022" i="13"/>
  <c r="X1022" i="13"/>
  <c r="W1164" i="13"/>
  <c r="T817" i="13"/>
  <c r="W975" i="13"/>
  <c r="W945" i="13"/>
  <c r="R953" i="13"/>
  <c r="U953" i="13"/>
  <c r="X953" i="13"/>
  <c r="T912" i="13"/>
  <c r="V921" i="13"/>
  <c r="T969" i="13"/>
  <c r="W1036" i="13"/>
  <c r="T962" i="13"/>
  <c r="R992" i="13"/>
  <c r="U992" i="13"/>
  <c r="X992" i="13"/>
  <c r="V992" i="13"/>
  <c r="W998" i="13"/>
  <c r="R1044" i="13"/>
  <c r="U1044" i="13"/>
  <c r="X1044" i="13"/>
  <c r="T1051" i="13"/>
  <c r="R1056" i="13"/>
  <c r="U1056" i="13"/>
  <c r="X1056" i="13"/>
  <c r="R1123" i="13"/>
  <c r="U1123" i="13"/>
  <c r="X1123" i="13"/>
  <c r="V1163" i="13"/>
  <c r="R993" i="13"/>
  <c r="U993" i="13"/>
  <c r="X993" i="13"/>
  <c r="T1030" i="13"/>
  <c r="T1040" i="13"/>
  <c r="T1058" i="13"/>
  <c r="V1060" i="13"/>
  <c r="T1074" i="13"/>
  <c r="T1105" i="13"/>
  <c r="V1131" i="13"/>
  <c r="V1171" i="13"/>
  <c r="R1171" i="13"/>
  <c r="U1171" i="13"/>
  <c r="X1171" i="13"/>
  <c r="Q1235" i="13"/>
  <c r="U1235" i="13"/>
  <c r="X1235" i="13"/>
  <c r="W1235" i="13"/>
  <c r="W1240" i="13"/>
  <c r="T1240" i="13"/>
  <c r="Q1311" i="13"/>
  <c r="U1311" i="13"/>
  <c r="X1311" i="13"/>
  <c r="W1311" i="13"/>
  <c r="W1341" i="13"/>
  <c r="T1341" i="13"/>
  <c r="R1348" i="13"/>
  <c r="U1348" i="13"/>
  <c r="X1348" i="13"/>
  <c r="V1348" i="13"/>
  <c r="V1200" i="13"/>
  <c r="R1200" i="13"/>
  <c r="U1200" i="13"/>
  <c r="X1200" i="13"/>
  <c r="W1179" i="13"/>
  <c r="W1263" i="13"/>
  <c r="T1263" i="13"/>
  <c r="V1226" i="13"/>
  <c r="R1226" i="13"/>
  <c r="U1226" i="13"/>
  <c r="X1226" i="13"/>
  <c r="W1396" i="13"/>
  <c r="T1396" i="13"/>
  <c r="R1243" i="13"/>
  <c r="U1243" i="13"/>
  <c r="X1243" i="13"/>
  <c r="V1309" i="13"/>
  <c r="V1369" i="13"/>
  <c r="R1204" i="13"/>
  <c r="U1204" i="13"/>
  <c r="X1204" i="13"/>
  <c r="T1285" i="13"/>
  <c r="T1294" i="13"/>
  <c r="R1299" i="13"/>
  <c r="U1299" i="13"/>
  <c r="X1299" i="13"/>
  <c r="V1396" i="13"/>
  <c r="R1321" i="13"/>
  <c r="U1321" i="13"/>
  <c r="X1321" i="13"/>
  <c r="W11" i="1"/>
  <c r="X11" i="1"/>
  <c r="Y11" i="1"/>
  <c r="Z11" i="1"/>
  <c r="M24" i="1"/>
  <c r="N24" i="1"/>
  <c r="M7" i="1"/>
  <c r="N7" i="1"/>
  <c r="M16" i="1"/>
  <c r="N16" i="1"/>
  <c r="O17" i="1"/>
  <c r="P17" i="1"/>
  <c r="Q17" i="1"/>
  <c r="R17" i="1"/>
  <c r="S17" i="1"/>
  <c r="T17" i="1"/>
  <c r="M17" i="1"/>
  <c r="N17" i="1"/>
  <c r="O9" i="1"/>
  <c r="P9" i="1"/>
  <c r="Q9" i="1"/>
  <c r="R9" i="1"/>
  <c r="S9" i="1"/>
  <c r="T9" i="1"/>
  <c r="M8" i="1"/>
  <c r="N8" i="1"/>
  <c r="GW3" i="1"/>
  <c r="Y3" i="1"/>
  <c r="Z3" i="1"/>
  <c r="W3" i="1"/>
  <c r="X3" i="1"/>
  <c r="S15" i="1"/>
  <c r="T15" i="1"/>
  <c r="Q15" i="1"/>
  <c r="R15" i="1"/>
  <c r="O15" i="1"/>
  <c r="P15" i="1"/>
  <c r="M15" i="1"/>
  <c r="N15" i="1"/>
  <c r="M19" i="1"/>
  <c r="N19" i="1"/>
  <c r="O10" i="1"/>
  <c r="P10" i="1"/>
  <c r="Q10" i="1"/>
  <c r="R10" i="1"/>
  <c r="S10" i="1"/>
  <c r="T10" i="1"/>
  <c r="O20" i="1"/>
  <c r="P20" i="1"/>
  <c r="Q20" i="1"/>
  <c r="R20" i="1"/>
  <c r="S20" i="1"/>
  <c r="T20" i="1"/>
  <c r="Y5" i="1"/>
  <c r="Z5" i="1"/>
  <c r="W5" i="1"/>
  <c r="X5" i="1"/>
  <c r="M22" i="1"/>
  <c r="N22" i="1"/>
  <c r="O19" i="1"/>
  <c r="P19" i="1"/>
  <c r="Q19" i="1"/>
  <c r="R19" i="1"/>
  <c r="S19" i="1"/>
  <c r="T19" i="1"/>
  <c r="M10" i="1"/>
  <c r="N10" i="1"/>
  <c r="M14" i="1"/>
  <c r="N14" i="1"/>
  <c r="W6" i="1"/>
  <c r="X6" i="1"/>
  <c r="Y6" i="1"/>
  <c r="Z6" i="1"/>
  <c r="S23" i="1"/>
  <c r="T23" i="1"/>
  <c r="O23" i="1"/>
  <c r="P23" i="1"/>
  <c r="Q23" i="1"/>
  <c r="R23" i="1"/>
  <c r="W7" i="1"/>
  <c r="X7" i="1"/>
  <c r="Y7" i="1"/>
  <c r="Z7" i="1"/>
  <c r="M25" i="1"/>
  <c r="N25" i="1"/>
  <c r="M18" i="1"/>
  <c r="N18" i="1"/>
  <c r="M4" i="1"/>
  <c r="N4" i="1"/>
  <c r="M6" i="1"/>
  <c r="N6" i="1"/>
  <c r="Q24" i="1"/>
  <c r="R24" i="1"/>
  <c r="S24" i="1"/>
  <c r="T24" i="1"/>
  <c r="O24" i="1"/>
  <c r="P24" i="1"/>
  <c r="O5" i="1"/>
  <c r="P5" i="1"/>
  <c r="Q5" i="1"/>
  <c r="R5" i="1"/>
  <c r="S5" i="1"/>
  <c r="T5" i="1"/>
  <c r="M13" i="1"/>
  <c r="N13" i="1"/>
  <c r="M5" i="1"/>
  <c r="N5" i="1"/>
  <c r="M11" i="1"/>
  <c r="N11" i="1"/>
  <c r="Q8" i="1"/>
  <c r="R8" i="1"/>
  <c r="S8" i="1"/>
  <c r="T8" i="1"/>
  <c r="O8" i="1"/>
  <c r="P8" i="1"/>
  <c r="M12" i="1"/>
  <c r="N12" i="1"/>
  <c r="O13" i="1"/>
  <c r="P13" i="1"/>
  <c r="Q13" i="1"/>
  <c r="R13" i="1"/>
  <c r="S13" i="1"/>
  <c r="T13" i="1"/>
  <c r="W10" i="1"/>
  <c r="X10" i="1"/>
  <c r="Y10" i="1"/>
  <c r="Z10" i="1"/>
  <c r="M20" i="1"/>
  <c r="N20" i="1"/>
  <c r="M23" i="1"/>
  <c r="N23" i="1"/>
  <c r="O18" i="1"/>
  <c r="P18" i="1"/>
  <c r="Q18" i="1"/>
  <c r="R18" i="1"/>
  <c r="S18" i="1"/>
  <c r="T18" i="1"/>
  <c r="M21" i="1"/>
  <c r="N21" i="1"/>
  <c r="Q16" i="1"/>
  <c r="R16" i="1"/>
  <c r="S16" i="1"/>
  <c r="T16" i="1"/>
  <c r="O16" i="1"/>
  <c r="P16" i="1"/>
  <c r="O6" i="1"/>
  <c r="P6" i="1"/>
  <c r="S6" i="1"/>
  <c r="T6" i="1"/>
  <c r="Q6" i="1"/>
  <c r="R6" i="1"/>
  <c r="S14" i="1"/>
  <c r="T14" i="1"/>
  <c r="O14" i="1"/>
  <c r="P14" i="1"/>
  <c r="Q14" i="1"/>
  <c r="R14" i="1"/>
  <c r="S7" i="1"/>
  <c r="T7" i="1"/>
  <c r="O7" i="1"/>
  <c r="P7" i="1"/>
  <c r="Q7" i="1"/>
  <c r="R7" i="1"/>
  <c r="M9" i="1"/>
  <c r="N9" i="1"/>
  <c r="O11" i="1"/>
  <c r="P11" i="1"/>
  <c r="Q11" i="1"/>
  <c r="R11" i="1"/>
  <c r="S11" i="1"/>
  <c r="T11" i="1"/>
  <c r="M3" i="1"/>
  <c r="N3" i="1"/>
  <c r="DV17" i="1"/>
  <c r="CX17" i="1"/>
  <c r="U17" i="1"/>
  <c r="V17" i="1"/>
  <c r="DT13" i="1"/>
  <c r="CV13" i="1"/>
  <c r="DT10" i="1"/>
  <c r="U4" i="3"/>
  <c r="CV10" i="1"/>
  <c r="DV15" i="1"/>
  <c r="CX15" i="1"/>
  <c r="DT6" i="1"/>
  <c r="CV6" i="1"/>
  <c r="DV8" i="1"/>
  <c r="CX8" i="1"/>
  <c r="CX16" i="1"/>
  <c r="DU15" i="1"/>
  <c r="CW15" i="1"/>
  <c r="DT11" i="1"/>
  <c r="CV11" i="1"/>
  <c r="DY3" i="1"/>
  <c r="DA3" i="1"/>
  <c r="DV5" i="1"/>
  <c r="CX5" i="1"/>
  <c r="U5" i="1"/>
  <c r="V5" i="1"/>
  <c r="EE3" i="1"/>
  <c r="DL3" i="1"/>
  <c r="FM3" i="1"/>
  <c r="CW16" i="1"/>
  <c r="CV15" i="1"/>
  <c r="FK15" i="1"/>
  <c r="DU17" i="1"/>
  <c r="CW17" i="1"/>
  <c r="DV7" i="1"/>
  <c r="CX7" i="1"/>
  <c r="U7" i="1"/>
  <c r="V7" i="1"/>
  <c r="CW18" i="1"/>
  <c r="DS6" i="1"/>
  <c r="CU6" i="1"/>
  <c r="GT6" i="1"/>
  <c r="EE10" i="1"/>
  <c r="DL10" i="1"/>
  <c r="DT16" i="1"/>
  <c r="CV16" i="1"/>
  <c r="DT7" i="1"/>
  <c r="CV7" i="1"/>
  <c r="DV4" i="1"/>
  <c r="CX4" i="1"/>
  <c r="U4" i="1"/>
  <c r="V4" i="1"/>
  <c r="DU14" i="1"/>
  <c r="CW14" i="1"/>
  <c r="DU8" i="1"/>
  <c r="DL9" i="1"/>
  <c r="EE9" i="1"/>
  <c r="DT12" i="1"/>
  <c r="CV12" i="1"/>
  <c r="CX9" i="1"/>
  <c r="DV14" i="1"/>
  <c r="CX14" i="1"/>
  <c r="DV10" i="1"/>
  <c r="W4" i="3"/>
  <c r="CX10" i="1"/>
  <c r="U10" i="1"/>
  <c r="V10" i="1"/>
  <c r="DT9" i="1"/>
  <c r="CV9" i="1"/>
  <c r="DT8" i="1"/>
  <c r="CV8" i="1"/>
  <c r="DT14" i="1"/>
  <c r="CV14" i="1"/>
  <c r="GV14" i="1"/>
  <c r="BJ4" i="1"/>
  <c r="CH4" i="1"/>
  <c r="DF4" i="1"/>
  <c r="AA4" i="1"/>
  <c r="AB4" i="1"/>
  <c r="AO6" i="1"/>
  <c r="AN6" i="1"/>
  <c r="AT6" i="1"/>
  <c r="AS6" i="1"/>
  <c r="FH7" i="1"/>
  <c r="GS14" i="1"/>
  <c r="FH16" i="1"/>
  <c r="GS4" i="1"/>
  <c r="DO3" i="1"/>
  <c r="DO16" i="1"/>
  <c r="DR13" i="1"/>
  <c r="DR12" i="1"/>
  <c r="DR11" i="1"/>
  <c r="DP17" i="1"/>
  <c r="DO4" i="1"/>
  <c r="DP15" i="1"/>
  <c r="DQ13" i="1"/>
  <c r="DQ10" i="1"/>
  <c r="AA4" i="3"/>
  <c r="DO15" i="1"/>
  <c r="DP13" i="1"/>
  <c r="DP12" i="1"/>
  <c r="FE12" i="1"/>
  <c r="DR3" i="1"/>
  <c r="DO12" i="1"/>
  <c r="DO11" i="1"/>
  <c r="DR5" i="1"/>
  <c r="DR14" i="1"/>
  <c r="DR16" i="1"/>
  <c r="DP8" i="1"/>
  <c r="DQ7" i="1"/>
  <c r="DQ6" i="1"/>
  <c r="DR4" i="1"/>
  <c r="DQ14" i="1"/>
  <c r="DP7" i="1"/>
  <c r="DP6" i="1"/>
  <c r="DP5" i="1"/>
  <c r="DP14" i="1"/>
  <c r="DR15" i="1"/>
  <c r="DO7" i="1"/>
  <c r="DO5" i="1"/>
  <c r="DP4" i="1"/>
  <c r="FE4" i="1"/>
  <c r="DO14" i="1"/>
  <c r="FD14" i="1"/>
  <c r="AN15" i="1"/>
  <c r="AT15" i="1"/>
  <c r="AS15" i="1"/>
  <c r="GX14" i="1"/>
  <c r="GX4" i="1"/>
  <c r="GP14" i="1"/>
  <c r="CU4" i="1"/>
  <c r="GT4" i="1"/>
  <c r="DT15" i="1"/>
  <c r="GX15" i="1"/>
  <c r="GP15" i="1"/>
  <c r="DU10" i="1"/>
  <c r="X4" i="3"/>
  <c r="DV13" i="1"/>
  <c r="DP10" i="1"/>
  <c r="Y4" i="3"/>
  <c r="CW4" i="1"/>
  <c r="DU12" i="1"/>
  <c r="DU3" i="1"/>
  <c r="DR10" i="1"/>
  <c r="FL3" i="1"/>
  <c r="AO15" i="1"/>
  <c r="DP9" i="1"/>
  <c r="GX8" i="1"/>
  <c r="DR7" i="1"/>
  <c r="GP4" i="1"/>
  <c r="DO10" i="1"/>
  <c r="DO18" i="1"/>
  <c r="DV6" i="1"/>
  <c r="FM6" i="1"/>
  <c r="DQ16" i="1"/>
  <c r="DO17" i="1"/>
  <c r="DV11" i="1"/>
  <c r="DP3" i="1"/>
  <c r="DV9" i="1"/>
  <c r="DU6" i="1"/>
  <c r="FE16" i="1"/>
  <c r="GP16" i="1"/>
  <c r="DR9" i="1"/>
  <c r="DQ9" i="1"/>
  <c r="FN18" i="1"/>
  <c r="GY18" i="1"/>
  <c r="GW10" i="1"/>
  <c r="FL10" i="1"/>
  <c r="DP16" i="1"/>
  <c r="DQ15" i="1"/>
  <c r="DQ12" i="1"/>
  <c r="DQ8" i="1"/>
  <c r="AO4" i="1"/>
  <c r="DR6" i="1"/>
  <c r="AP4" i="1"/>
  <c r="DS18" i="1"/>
  <c r="EI18" i="1"/>
  <c r="DO6" i="1"/>
  <c r="DV3" i="1"/>
  <c r="DU11" i="1"/>
  <c r="GP18" i="1"/>
  <c r="FE18" i="1"/>
  <c r="FD18" i="1"/>
  <c r="GO18" i="1"/>
  <c r="DV12" i="1"/>
  <c r="DO9" i="1"/>
  <c r="DQ11" i="1"/>
  <c r="FE13" i="1"/>
  <c r="GP13" i="1"/>
  <c r="CV4" i="1"/>
  <c r="DT4" i="1"/>
  <c r="DU5" i="1"/>
  <c r="DT3" i="1"/>
  <c r="DR8" i="1"/>
  <c r="DU7" i="1"/>
  <c r="FV18" i="1"/>
  <c r="AP15" i="1"/>
  <c r="DQ5" i="1"/>
  <c r="DR17" i="1"/>
  <c r="DP18" i="1"/>
  <c r="DP11" i="1"/>
  <c r="DQ17" i="1"/>
  <c r="GT18" i="1"/>
  <c r="FI18" i="1"/>
  <c r="DR18" i="1"/>
  <c r="GP3" i="1"/>
  <c r="FE3" i="1"/>
  <c r="DO13" i="1"/>
  <c r="DT5" i="1"/>
  <c r="DQ18" i="1"/>
  <c r="DO8" i="1"/>
  <c r="DT17" i="1"/>
  <c r="DV16" i="1"/>
  <c r="DQ3" i="1"/>
  <c r="DU16" i="1"/>
  <c r="DQ4" i="1"/>
  <c r="W13" i="1"/>
  <c r="X13" i="1"/>
  <c r="DU13" i="1"/>
  <c r="CW54" i="1"/>
  <c r="DU54" i="1"/>
  <c r="CX117" i="1"/>
  <c r="DV117" i="1"/>
  <c r="DC66" i="1"/>
  <c r="EA66" i="1"/>
  <c r="EH66" i="1"/>
  <c r="DV35" i="1"/>
  <c r="CX35" i="1"/>
  <c r="DU82" i="1"/>
  <c r="CW82" i="1"/>
  <c r="DU87" i="1"/>
  <c r="CW87" i="1"/>
  <c r="CW36" i="1"/>
  <c r="DU36" i="1"/>
  <c r="DU69" i="1"/>
  <c r="CW69" i="1"/>
  <c r="DU110" i="1"/>
  <c r="CW110" i="1"/>
  <c r="CX109" i="1"/>
  <c r="DV109" i="1"/>
  <c r="DV88" i="1"/>
  <c r="CX88" i="1"/>
  <c r="DV80" i="1"/>
  <c r="CX80" i="1"/>
  <c r="CX58" i="1"/>
  <c r="DV58" i="1"/>
  <c r="DV87" i="1"/>
  <c r="CX87" i="1"/>
  <c r="DV118" i="1"/>
  <c r="CX118" i="1"/>
  <c r="DC63" i="1"/>
  <c r="EA63" i="1"/>
  <c r="EH63" i="1"/>
  <c r="EA92" i="1"/>
  <c r="EH92" i="1"/>
  <c r="DC92" i="1"/>
  <c r="EA100" i="1"/>
  <c r="EH100" i="1"/>
  <c r="DC100" i="1"/>
  <c r="EA93" i="1"/>
  <c r="EH93" i="1"/>
  <c r="DC93" i="1"/>
  <c r="DC59" i="1"/>
  <c r="EA59" i="1"/>
  <c r="EH59" i="1"/>
  <c r="AJ118" i="1"/>
  <c r="AN118" i="1"/>
  <c r="AP118" i="1"/>
  <c r="BO118" i="1"/>
  <c r="CM118" i="1"/>
  <c r="AO118" i="1"/>
  <c r="AY118" i="1"/>
  <c r="BW118" i="1"/>
  <c r="AJ49" i="1"/>
  <c r="AN49" i="1"/>
  <c r="AO49" i="1"/>
  <c r="AY49" i="1"/>
  <c r="BW49" i="1"/>
  <c r="AP49" i="1"/>
  <c r="BO49" i="1"/>
  <c r="CM49" i="1"/>
  <c r="AP46" i="1"/>
  <c r="BO46" i="1"/>
  <c r="CM46" i="1"/>
  <c r="AJ46" i="1"/>
  <c r="AO46" i="1"/>
  <c r="AY46" i="1"/>
  <c r="BW46" i="1"/>
  <c r="AN46" i="1"/>
  <c r="AO111" i="1"/>
  <c r="AY111" i="1"/>
  <c r="BW111" i="1"/>
  <c r="AP111" i="1"/>
  <c r="BO111" i="1"/>
  <c r="CM111" i="1"/>
  <c r="AJ111" i="1"/>
  <c r="AN111" i="1"/>
  <c r="AJ101" i="1"/>
  <c r="AN101" i="1"/>
  <c r="AO101" i="1"/>
  <c r="AY101" i="1"/>
  <c r="BW101" i="1"/>
  <c r="AP101" i="1"/>
  <c r="BO101" i="1"/>
  <c r="CM101" i="1"/>
  <c r="AP84" i="1"/>
  <c r="BO84" i="1"/>
  <c r="CM84" i="1"/>
  <c r="AN84" i="1"/>
  <c r="AO84" i="1"/>
  <c r="AY84" i="1"/>
  <c r="BW84" i="1"/>
  <c r="AJ84" i="1"/>
  <c r="DU78" i="1"/>
  <c r="CW78" i="1"/>
  <c r="DV68" i="1"/>
  <c r="CX68" i="1"/>
  <c r="EA106" i="1"/>
  <c r="EH106" i="1"/>
  <c r="DC106" i="1"/>
  <c r="U64" i="13"/>
  <c r="X64" i="13"/>
  <c r="DU88" i="1"/>
  <c r="CW88" i="1"/>
  <c r="DV45" i="1"/>
  <c r="CX45" i="1"/>
  <c r="DC49" i="1"/>
  <c r="EA49" i="1"/>
  <c r="EH49" i="1"/>
  <c r="DU102" i="1"/>
  <c r="CW102" i="1"/>
  <c r="CW108" i="1"/>
  <c r="DU108" i="1"/>
  <c r="CW37" i="1"/>
  <c r="DU37" i="1"/>
  <c r="CW91" i="1"/>
  <c r="DU91" i="1"/>
  <c r="CW95" i="1"/>
  <c r="DU95" i="1"/>
  <c r="EP25" i="1"/>
  <c r="EO25" i="1"/>
  <c r="U25" i="1"/>
  <c r="V25" i="1"/>
  <c r="DV99" i="1"/>
  <c r="CX99" i="1"/>
  <c r="CX74" i="1"/>
  <c r="DV74" i="1"/>
  <c r="CX91" i="1"/>
  <c r="DV91" i="1"/>
  <c r="DV52" i="1"/>
  <c r="CX52" i="1"/>
  <c r="CX73" i="1"/>
  <c r="DV73" i="1"/>
  <c r="DC73" i="1"/>
  <c r="EA73" i="1"/>
  <c r="EH73" i="1"/>
  <c r="EA45" i="1"/>
  <c r="EH45" i="1"/>
  <c r="DC45" i="1"/>
  <c r="EA115" i="1"/>
  <c r="EH115" i="1"/>
  <c r="DC115" i="1"/>
  <c r="EA65" i="1"/>
  <c r="EH65" i="1"/>
  <c r="DC65" i="1"/>
  <c r="DC89" i="1"/>
  <c r="EA89" i="1"/>
  <c r="EH89" i="1"/>
  <c r="AJ26" i="1"/>
  <c r="AN26" i="1"/>
  <c r="AO26" i="1"/>
  <c r="AY26" i="1"/>
  <c r="BW26" i="1"/>
  <c r="AP26" i="1"/>
  <c r="AJ42" i="1"/>
  <c r="AO42" i="1"/>
  <c r="AY42" i="1"/>
  <c r="BW42" i="1"/>
  <c r="AN42" i="1"/>
  <c r="AP42" i="1"/>
  <c r="BO42" i="1"/>
  <c r="CM42" i="1"/>
  <c r="AP105" i="1"/>
  <c r="BO105" i="1"/>
  <c r="CM105" i="1"/>
  <c r="AJ105" i="1"/>
  <c r="AO105" i="1"/>
  <c r="AY105" i="1"/>
  <c r="BW105" i="1"/>
  <c r="AN105" i="1"/>
  <c r="AN70" i="1"/>
  <c r="AJ70" i="1"/>
  <c r="AP70" i="1"/>
  <c r="BO70" i="1"/>
  <c r="CM70" i="1"/>
  <c r="AO70" i="1"/>
  <c r="AY70" i="1"/>
  <c r="BW70" i="1"/>
  <c r="AO88" i="1"/>
  <c r="AY88" i="1"/>
  <c r="BW88" i="1"/>
  <c r="AN88" i="1"/>
  <c r="AP88" i="1"/>
  <c r="BO88" i="1"/>
  <c r="CM88" i="1"/>
  <c r="AJ88" i="1"/>
  <c r="AN60" i="1"/>
  <c r="AO60" i="1"/>
  <c r="AY60" i="1"/>
  <c r="BW60" i="1"/>
  <c r="AP60" i="1"/>
  <c r="BO60" i="1"/>
  <c r="CM60" i="1"/>
  <c r="AJ60" i="1"/>
  <c r="AO67" i="1"/>
  <c r="AY67" i="1"/>
  <c r="BW67" i="1"/>
  <c r="AP67" i="1"/>
  <c r="BO67" i="1"/>
  <c r="CM67" i="1"/>
  <c r="AN67" i="1"/>
  <c r="AJ67" i="1"/>
  <c r="AJ98" i="1"/>
  <c r="AO98" i="1"/>
  <c r="AY98" i="1"/>
  <c r="BW98" i="1"/>
  <c r="AP98" i="1"/>
  <c r="BO98" i="1"/>
  <c r="CM98" i="1"/>
  <c r="AN98" i="1"/>
  <c r="AP99" i="1"/>
  <c r="BO99" i="1"/>
  <c r="CM99" i="1"/>
  <c r="AJ99" i="1"/>
  <c r="AO99" i="1"/>
  <c r="AY99" i="1"/>
  <c r="BW99" i="1"/>
  <c r="AN99" i="1"/>
  <c r="DU71" i="1"/>
  <c r="CW71" i="1"/>
  <c r="DV59" i="1"/>
  <c r="CX59" i="1"/>
  <c r="DC33" i="1"/>
  <c r="EA33" i="1"/>
  <c r="EH33" i="1"/>
  <c r="CW68" i="1"/>
  <c r="DU68" i="1"/>
  <c r="DU34" i="1"/>
  <c r="CW34" i="1"/>
  <c r="CX111" i="1"/>
  <c r="DV111" i="1"/>
  <c r="DC97" i="1"/>
  <c r="EA97" i="1"/>
  <c r="EH97" i="1"/>
  <c r="CW99" i="1"/>
  <c r="DU99" i="1"/>
  <c r="CW60" i="1"/>
  <c r="DU60" i="1"/>
  <c r="CW53" i="1"/>
  <c r="DU53" i="1"/>
  <c r="CW33" i="1"/>
  <c r="DU33" i="1"/>
  <c r="CW46" i="1"/>
  <c r="DU46" i="1"/>
  <c r="EP22" i="1"/>
  <c r="EO22" i="1"/>
  <c r="U22" i="1"/>
  <c r="V22" i="1"/>
  <c r="DV46" i="1"/>
  <c r="CX46" i="1"/>
  <c r="CX72" i="1"/>
  <c r="DV72" i="1"/>
  <c r="CX67" i="1"/>
  <c r="DV67" i="1"/>
  <c r="CX36" i="1"/>
  <c r="DV36" i="1"/>
  <c r="CX54" i="1"/>
  <c r="DV54" i="1"/>
  <c r="DC28" i="1"/>
  <c r="EA28" i="1"/>
  <c r="EH28" i="1"/>
  <c r="DC40" i="1"/>
  <c r="EA40" i="1"/>
  <c r="EH40" i="1"/>
  <c r="EA46" i="1"/>
  <c r="EH46" i="1"/>
  <c r="DC46" i="1"/>
  <c r="EA72" i="1"/>
  <c r="EH72" i="1"/>
  <c r="DC72" i="1"/>
  <c r="EA113" i="1"/>
  <c r="EH113" i="1"/>
  <c r="DC113" i="1"/>
  <c r="DC69" i="1"/>
  <c r="EA69" i="1"/>
  <c r="EH69" i="1"/>
  <c r="AO64" i="1"/>
  <c r="AY64" i="1"/>
  <c r="BW64" i="1"/>
  <c r="AN64" i="1"/>
  <c r="AP64" i="1"/>
  <c r="BO64" i="1"/>
  <c r="CM64" i="1"/>
  <c r="AJ64" i="1"/>
  <c r="AO106" i="1"/>
  <c r="AY106" i="1"/>
  <c r="BW106" i="1"/>
  <c r="AP106" i="1"/>
  <c r="BO106" i="1"/>
  <c r="CM106" i="1"/>
  <c r="AN106" i="1"/>
  <c r="AJ106" i="1"/>
  <c r="AN102" i="1"/>
  <c r="AO102" i="1"/>
  <c r="AY102" i="1"/>
  <c r="BW102" i="1"/>
  <c r="AJ102" i="1"/>
  <c r="AP102" i="1"/>
  <c r="BO102" i="1"/>
  <c r="CM102" i="1"/>
  <c r="AP63" i="1"/>
  <c r="BO63" i="1"/>
  <c r="CM63" i="1"/>
  <c r="AJ63" i="1"/>
  <c r="AN63" i="1"/>
  <c r="AO63" i="1"/>
  <c r="AY63" i="1"/>
  <c r="BW63" i="1"/>
  <c r="AO79" i="1"/>
  <c r="AY79" i="1"/>
  <c r="BW79" i="1"/>
  <c r="AP79" i="1"/>
  <c r="BO79" i="1"/>
  <c r="CM79" i="1"/>
  <c r="AJ79" i="1"/>
  <c r="AN79" i="1"/>
  <c r="CW106" i="1"/>
  <c r="DU106" i="1"/>
  <c r="CX53" i="1"/>
  <c r="DV53" i="1"/>
  <c r="DC52" i="1"/>
  <c r="EA52" i="1"/>
  <c r="EH52" i="1"/>
  <c r="AP40" i="1"/>
  <c r="BO40" i="1"/>
  <c r="CM40" i="1"/>
  <c r="AN40" i="1"/>
  <c r="AO40" i="1"/>
  <c r="AY40" i="1"/>
  <c r="BW40" i="1"/>
  <c r="AJ40" i="1"/>
  <c r="CW58" i="1"/>
  <c r="DU58" i="1"/>
  <c r="CX110" i="1"/>
  <c r="DV110" i="1"/>
  <c r="EA96" i="1"/>
  <c r="EH96" i="1"/>
  <c r="DC96" i="1"/>
  <c r="DU9" i="1"/>
  <c r="DU61" i="1"/>
  <c r="CW61" i="1"/>
  <c r="DU85" i="1"/>
  <c r="CW85" i="1"/>
  <c r="CW77" i="1"/>
  <c r="DU77" i="1"/>
  <c r="DU115" i="1"/>
  <c r="CW115" i="1"/>
  <c r="DU111" i="1"/>
  <c r="CW111" i="1"/>
  <c r="EO21" i="1"/>
  <c r="EP21" i="1"/>
  <c r="U21" i="1"/>
  <c r="V21" i="1"/>
  <c r="DV101" i="1"/>
  <c r="CX101" i="1"/>
  <c r="CX85" i="1"/>
  <c r="DV85" i="1"/>
  <c r="DV56" i="1"/>
  <c r="CX56" i="1"/>
  <c r="DV47" i="1"/>
  <c r="CX47" i="1"/>
  <c r="CX70" i="1"/>
  <c r="DV70" i="1"/>
  <c r="EA29" i="1"/>
  <c r="EH29" i="1"/>
  <c r="DC29" i="1"/>
  <c r="DC104" i="1"/>
  <c r="EA104" i="1"/>
  <c r="EH104" i="1"/>
  <c r="EA88" i="1"/>
  <c r="EH88" i="1"/>
  <c r="DC88" i="1"/>
  <c r="EA51" i="1"/>
  <c r="EH51" i="1"/>
  <c r="DC51" i="1"/>
  <c r="DC43" i="1"/>
  <c r="EA43" i="1"/>
  <c r="EH43" i="1"/>
  <c r="DC95" i="1"/>
  <c r="EA95" i="1"/>
  <c r="EH95" i="1"/>
  <c r="AO97" i="1"/>
  <c r="AY97" i="1"/>
  <c r="BW97" i="1"/>
  <c r="AJ97" i="1"/>
  <c r="AP97" i="1"/>
  <c r="BO97" i="1"/>
  <c r="CM97" i="1"/>
  <c r="AN97" i="1"/>
  <c r="AN35" i="1"/>
  <c r="AP35" i="1"/>
  <c r="BO35" i="1"/>
  <c r="CM35" i="1"/>
  <c r="AJ35" i="1"/>
  <c r="AO35" i="1"/>
  <c r="AY35" i="1"/>
  <c r="BW35" i="1"/>
  <c r="AO39" i="1"/>
  <c r="AY39" i="1"/>
  <c r="BW39" i="1"/>
  <c r="AJ39" i="1"/>
  <c r="AN39" i="1"/>
  <c r="AP39" i="1"/>
  <c r="BO39" i="1"/>
  <c r="CM39" i="1"/>
  <c r="AJ59" i="1"/>
  <c r="AN59" i="1"/>
  <c r="AP59" i="1"/>
  <c r="BO59" i="1"/>
  <c r="CM59" i="1"/>
  <c r="AO59" i="1"/>
  <c r="AY59" i="1"/>
  <c r="BW59" i="1"/>
  <c r="AJ95" i="1"/>
  <c r="AN95" i="1"/>
  <c r="AO95" i="1"/>
  <c r="AY95" i="1"/>
  <c r="BW95" i="1"/>
  <c r="AP95" i="1"/>
  <c r="BO95" i="1"/>
  <c r="CM95" i="1"/>
  <c r="CW57" i="1"/>
  <c r="DU57" i="1"/>
  <c r="DV81" i="1"/>
  <c r="CX81" i="1"/>
  <c r="EA55" i="1"/>
  <c r="EH55" i="1"/>
  <c r="DC55" i="1"/>
  <c r="CW94" i="1"/>
  <c r="DU94" i="1"/>
  <c r="DV71" i="1"/>
  <c r="CX71" i="1"/>
  <c r="EA85" i="1"/>
  <c r="EH85" i="1"/>
  <c r="DC85" i="1"/>
  <c r="DU65" i="1"/>
  <c r="CW65" i="1"/>
  <c r="CW64" i="1"/>
  <c r="DU64" i="1"/>
  <c r="CW73" i="1"/>
  <c r="DU73" i="1"/>
  <c r="CW96" i="1"/>
  <c r="DU96" i="1"/>
  <c r="CW83" i="1"/>
  <c r="DU83" i="1"/>
  <c r="U26" i="1"/>
  <c r="V26" i="1"/>
  <c r="EP26" i="1"/>
  <c r="EO26" i="1"/>
  <c r="DV103" i="1"/>
  <c r="CX103" i="1"/>
  <c r="CX93" i="1"/>
  <c r="DV93" i="1"/>
  <c r="CX76" i="1"/>
  <c r="DV76" i="1"/>
  <c r="CX37" i="1"/>
  <c r="DV37" i="1"/>
  <c r="DV97" i="1"/>
  <c r="CX97" i="1"/>
  <c r="DC111" i="1"/>
  <c r="EA111" i="1"/>
  <c r="EH111" i="1"/>
  <c r="EA47" i="1"/>
  <c r="EH47" i="1"/>
  <c r="DC47" i="1"/>
  <c r="DC110" i="1"/>
  <c r="EA110" i="1"/>
  <c r="EH110" i="1"/>
  <c r="DC64" i="1"/>
  <c r="EA64" i="1"/>
  <c r="EH64" i="1"/>
  <c r="EA81" i="1"/>
  <c r="EH81" i="1"/>
  <c r="DC81" i="1"/>
  <c r="EA102" i="1"/>
  <c r="EH102" i="1"/>
  <c r="DC102" i="1"/>
  <c r="AN36" i="1"/>
  <c r="AJ36" i="1"/>
  <c r="AP36" i="1"/>
  <c r="BO36" i="1"/>
  <c r="CM36" i="1"/>
  <c r="AO36" i="1"/>
  <c r="AY36" i="1"/>
  <c r="BW36" i="1"/>
  <c r="AJ66" i="1"/>
  <c r="AN66" i="1"/>
  <c r="AO66" i="1"/>
  <c r="AY66" i="1"/>
  <c r="BW66" i="1"/>
  <c r="AP66" i="1"/>
  <c r="BO66" i="1"/>
  <c r="CM66" i="1"/>
  <c r="AO44" i="1"/>
  <c r="AY44" i="1"/>
  <c r="BW44" i="1"/>
  <c r="AP44" i="1"/>
  <c r="BO44" i="1"/>
  <c r="CM44" i="1"/>
  <c r="AN44" i="1"/>
  <c r="AJ44" i="1"/>
  <c r="CW90" i="1"/>
  <c r="DU90" i="1"/>
  <c r="CW86" i="1"/>
  <c r="DU86" i="1"/>
  <c r="DU50" i="1"/>
  <c r="CW50" i="1"/>
  <c r="DU81" i="1"/>
  <c r="CW81" i="1"/>
  <c r="DU105" i="1"/>
  <c r="CW105" i="1"/>
  <c r="EO23" i="1"/>
  <c r="EP23" i="1"/>
  <c r="U23" i="1"/>
  <c r="V23" i="1"/>
  <c r="CX33" i="1"/>
  <c r="DV33" i="1"/>
  <c r="CX38" i="1"/>
  <c r="DV38" i="1"/>
  <c r="CX114" i="1"/>
  <c r="DV114" i="1"/>
  <c r="DV112" i="1"/>
  <c r="CX112" i="1"/>
  <c r="DV64" i="1"/>
  <c r="CX64" i="1"/>
  <c r="DC101" i="1"/>
  <c r="EA101" i="1"/>
  <c r="EH101" i="1"/>
  <c r="EA91" i="1"/>
  <c r="EH91" i="1"/>
  <c r="DC91" i="1"/>
  <c r="DC60" i="1"/>
  <c r="EA60" i="1"/>
  <c r="EH60" i="1"/>
  <c r="DC56" i="1"/>
  <c r="EA56" i="1"/>
  <c r="EH56" i="1"/>
  <c r="DC62" i="1"/>
  <c r="EA62" i="1"/>
  <c r="EH62" i="1"/>
  <c r="DC37" i="1"/>
  <c r="EA37" i="1"/>
  <c r="EH37" i="1"/>
  <c r="AO108" i="1"/>
  <c r="AY108" i="1"/>
  <c r="BW108" i="1"/>
  <c r="AN108" i="1"/>
  <c r="AP108" i="1"/>
  <c r="BO108" i="1"/>
  <c r="CM108" i="1"/>
  <c r="AJ108" i="1"/>
  <c r="AJ115" i="1"/>
  <c r="AO115" i="1"/>
  <c r="AY115" i="1"/>
  <c r="BW115" i="1"/>
  <c r="AN115" i="1"/>
  <c r="AP115" i="1"/>
  <c r="BO115" i="1"/>
  <c r="CM115" i="1"/>
  <c r="AO81" i="1"/>
  <c r="AY81" i="1"/>
  <c r="BW81" i="1"/>
  <c r="AN81" i="1"/>
  <c r="AJ81" i="1"/>
  <c r="AP81" i="1"/>
  <c r="BO81" i="1"/>
  <c r="CM81" i="1"/>
  <c r="AJ85" i="1"/>
  <c r="AN85" i="1"/>
  <c r="AP85" i="1"/>
  <c r="BO85" i="1"/>
  <c r="CM85" i="1"/>
  <c r="AO85" i="1"/>
  <c r="AY85" i="1"/>
  <c r="BW85" i="1"/>
  <c r="AO112" i="1"/>
  <c r="AY112" i="1"/>
  <c r="BW112" i="1"/>
  <c r="AJ112" i="1"/>
  <c r="AN112" i="1"/>
  <c r="AP112" i="1"/>
  <c r="BO112" i="1"/>
  <c r="CM112" i="1"/>
  <c r="AO71" i="1"/>
  <c r="AY71" i="1"/>
  <c r="BW71" i="1"/>
  <c r="AP71" i="1"/>
  <c r="BO71" i="1"/>
  <c r="CM71" i="1"/>
  <c r="AJ71" i="1"/>
  <c r="AN71" i="1"/>
  <c r="DK32" i="1"/>
  <c r="ED32" i="1"/>
  <c r="AN50" i="1"/>
  <c r="AJ50" i="1"/>
  <c r="AP50" i="1"/>
  <c r="BO50" i="1"/>
  <c r="CM50" i="1"/>
  <c r="AO50" i="1"/>
  <c r="AY50" i="1"/>
  <c r="BW50" i="1"/>
  <c r="Y9" i="1"/>
  <c r="Z9" i="1"/>
  <c r="BJ25" i="1"/>
  <c r="CH25" i="1"/>
  <c r="DF25" i="1"/>
  <c r="AA25" i="1"/>
  <c r="AB25" i="1"/>
  <c r="DU29" i="1"/>
  <c r="CW29" i="1"/>
  <c r="CW38" i="1"/>
  <c r="DU38" i="1"/>
  <c r="DU70" i="1"/>
  <c r="CW70" i="1"/>
  <c r="DU43" i="1"/>
  <c r="CW43" i="1"/>
  <c r="DU55" i="1"/>
  <c r="CW55" i="1"/>
  <c r="DU101" i="1"/>
  <c r="CW101" i="1"/>
  <c r="EO24" i="1"/>
  <c r="EP24" i="1"/>
  <c r="U24" i="1"/>
  <c r="V24" i="1"/>
  <c r="CX49" i="1"/>
  <c r="DV49" i="1"/>
  <c r="DV62" i="1"/>
  <c r="CX62" i="1"/>
  <c r="CX44" i="1"/>
  <c r="DV44" i="1"/>
  <c r="CX84" i="1"/>
  <c r="DV84" i="1"/>
  <c r="DV106" i="1"/>
  <c r="CX106" i="1"/>
  <c r="EA105" i="1"/>
  <c r="EH105" i="1"/>
  <c r="DC105" i="1"/>
  <c r="DC83" i="1"/>
  <c r="EA83" i="1"/>
  <c r="EH83" i="1"/>
  <c r="DC99" i="1"/>
  <c r="EA99" i="1"/>
  <c r="EH99" i="1"/>
  <c r="EA82" i="1"/>
  <c r="EH82" i="1"/>
  <c r="DC82" i="1"/>
  <c r="EA39" i="1"/>
  <c r="EH39" i="1"/>
  <c r="DC39" i="1"/>
  <c r="EA58" i="1"/>
  <c r="EH58" i="1"/>
  <c r="DC58" i="1"/>
  <c r="AP34" i="1"/>
  <c r="BO34" i="1"/>
  <c r="CM34" i="1"/>
  <c r="AO34" i="1"/>
  <c r="AY34" i="1"/>
  <c r="BW34" i="1"/>
  <c r="AN34" i="1"/>
  <c r="AJ34" i="1"/>
  <c r="AO82" i="1"/>
  <c r="AY82" i="1"/>
  <c r="BW82" i="1"/>
  <c r="AN82" i="1"/>
  <c r="AJ82" i="1"/>
  <c r="AP82" i="1"/>
  <c r="BO82" i="1"/>
  <c r="CM82" i="1"/>
  <c r="AJ74" i="1"/>
  <c r="AP74" i="1"/>
  <c r="BO74" i="1"/>
  <c r="CM74" i="1"/>
  <c r="AN74" i="1"/>
  <c r="AO74" i="1"/>
  <c r="AY74" i="1"/>
  <c r="BW74" i="1"/>
  <c r="AP73" i="1"/>
  <c r="BO73" i="1"/>
  <c r="CM73" i="1"/>
  <c r="AO73" i="1"/>
  <c r="AY73" i="1"/>
  <c r="BW73" i="1"/>
  <c r="AJ73" i="1"/>
  <c r="AN73" i="1"/>
  <c r="AJ68" i="1"/>
  <c r="AO68" i="1"/>
  <c r="AY68" i="1"/>
  <c r="BW68" i="1"/>
  <c r="AN68" i="1"/>
  <c r="AP68" i="1"/>
  <c r="BO68" i="1"/>
  <c r="CM68" i="1"/>
  <c r="AJ96" i="1"/>
  <c r="AP96" i="1"/>
  <c r="BO96" i="1"/>
  <c r="CM96" i="1"/>
  <c r="AO96" i="1"/>
  <c r="AY96" i="1"/>
  <c r="BW96" i="1"/>
  <c r="AN96" i="1"/>
  <c r="AN51" i="1"/>
  <c r="AP51" i="1"/>
  <c r="BO51" i="1"/>
  <c r="CM51" i="1"/>
  <c r="AO51" i="1"/>
  <c r="AY51" i="1"/>
  <c r="BW51" i="1"/>
  <c r="AJ51" i="1"/>
  <c r="AJ61" i="1"/>
  <c r="AN61" i="1"/>
  <c r="AP61" i="1"/>
  <c r="BO61" i="1"/>
  <c r="CM61" i="1"/>
  <c r="AO61" i="1"/>
  <c r="AY61" i="1"/>
  <c r="BW61" i="1"/>
  <c r="DK38" i="1"/>
  <c r="ED38" i="1"/>
  <c r="DU28" i="1"/>
  <c r="CW28" i="1"/>
  <c r="CW80" i="1"/>
  <c r="DU80" i="1"/>
  <c r="CW79" i="1"/>
  <c r="DU79" i="1"/>
  <c r="DU76" i="1"/>
  <c r="CW76" i="1"/>
  <c r="DU117" i="1"/>
  <c r="CW117" i="1"/>
  <c r="CW92" i="1"/>
  <c r="DU92" i="1"/>
  <c r="CX29" i="1"/>
  <c r="DV29" i="1"/>
  <c r="DV51" i="1"/>
  <c r="CX51" i="1"/>
  <c r="CX39" i="1"/>
  <c r="DV39" i="1"/>
  <c r="DV108" i="1"/>
  <c r="CX108" i="1"/>
  <c r="CX96" i="1"/>
  <c r="DV96" i="1"/>
  <c r="DV95" i="1"/>
  <c r="CX95" i="1"/>
  <c r="DC80" i="1"/>
  <c r="EA80" i="1"/>
  <c r="EH80" i="1"/>
  <c r="EA109" i="1"/>
  <c r="EH109" i="1"/>
  <c r="DC109" i="1"/>
  <c r="EA78" i="1"/>
  <c r="EH78" i="1"/>
  <c r="DC78" i="1"/>
  <c r="DC42" i="1"/>
  <c r="EA42" i="1"/>
  <c r="EH42" i="1"/>
  <c r="DC67" i="1"/>
  <c r="EA67" i="1"/>
  <c r="EH67" i="1"/>
  <c r="EA54" i="1"/>
  <c r="EH54" i="1"/>
  <c r="DC54" i="1"/>
  <c r="AO54" i="1"/>
  <c r="AY54" i="1"/>
  <c r="BW54" i="1"/>
  <c r="AJ54" i="1"/>
  <c r="AN54" i="1"/>
  <c r="AP54" i="1"/>
  <c r="BO54" i="1"/>
  <c r="CM54" i="1"/>
  <c r="AP75" i="1"/>
  <c r="BO75" i="1"/>
  <c r="CM75" i="1"/>
  <c r="AN75" i="1"/>
  <c r="AJ75" i="1"/>
  <c r="AO75" i="1"/>
  <c r="AY75" i="1"/>
  <c r="BW75" i="1"/>
  <c r="AN45" i="1"/>
  <c r="AO45" i="1"/>
  <c r="AY45" i="1"/>
  <c r="BW45" i="1"/>
  <c r="AJ45" i="1"/>
  <c r="AP45" i="1"/>
  <c r="BO45" i="1"/>
  <c r="CM45" i="1"/>
  <c r="AJ92" i="1"/>
  <c r="AN92" i="1"/>
  <c r="AP92" i="1"/>
  <c r="BO92" i="1"/>
  <c r="CM92" i="1"/>
  <c r="AO92" i="1"/>
  <c r="AY92" i="1"/>
  <c r="BW92" i="1"/>
  <c r="AP55" i="1"/>
  <c r="BO55" i="1"/>
  <c r="CM55" i="1"/>
  <c r="AO55" i="1"/>
  <c r="AY55" i="1"/>
  <c r="BW55" i="1"/>
  <c r="AN55" i="1"/>
  <c r="AJ55" i="1"/>
  <c r="ED110" i="1"/>
  <c r="DK110" i="1"/>
  <c r="AN109" i="1"/>
  <c r="AO109" i="1"/>
  <c r="AY109" i="1"/>
  <c r="BW109" i="1"/>
  <c r="AP109" i="1"/>
  <c r="BO109" i="1"/>
  <c r="CM109" i="1"/>
  <c r="AJ109" i="1"/>
  <c r="DU118" i="1"/>
  <c r="CW118" i="1"/>
  <c r="DU67" i="1"/>
  <c r="CW67" i="1"/>
  <c r="DU89" i="1"/>
  <c r="CW89" i="1"/>
  <c r="CW40" i="1"/>
  <c r="DU40" i="1"/>
  <c r="CW48" i="1"/>
  <c r="DU48" i="1"/>
  <c r="DU116" i="1"/>
  <c r="CW116" i="1"/>
  <c r="DV28" i="1"/>
  <c r="CX28" i="1"/>
  <c r="DV78" i="1"/>
  <c r="CX78" i="1"/>
  <c r="CX98" i="1"/>
  <c r="DV98" i="1"/>
  <c r="DV41" i="1"/>
  <c r="CX41" i="1"/>
  <c r="CX48" i="1"/>
  <c r="DV48" i="1"/>
  <c r="DV60" i="1"/>
  <c r="CX60" i="1"/>
  <c r="EA68" i="1"/>
  <c r="EH68" i="1"/>
  <c r="DC68" i="1"/>
  <c r="DC103" i="1"/>
  <c r="EA103" i="1"/>
  <c r="EH103" i="1"/>
  <c r="EA34" i="1"/>
  <c r="EH34" i="1"/>
  <c r="DC34" i="1"/>
  <c r="DC116" i="1"/>
  <c r="EA116" i="1"/>
  <c r="EH116" i="1"/>
  <c r="DC50" i="1"/>
  <c r="EA50" i="1"/>
  <c r="EH50" i="1"/>
  <c r="DC41" i="1"/>
  <c r="EA41" i="1"/>
  <c r="EH41" i="1"/>
  <c r="AJ48" i="1"/>
  <c r="AO48" i="1"/>
  <c r="AY48" i="1"/>
  <c r="BW48" i="1"/>
  <c r="AP48" i="1"/>
  <c r="BO48" i="1"/>
  <c r="CM48" i="1"/>
  <c r="AN48" i="1"/>
  <c r="AO57" i="1"/>
  <c r="AY57" i="1"/>
  <c r="BW57" i="1"/>
  <c r="AN57" i="1"/>
  <c r="AJ57" i="1"/>
  <c r="AP57" i="1"/>
  <c r="BO57" i="1"/>
  <c r="CM57" i="1"/>
  <c r="AJ94" i="1"/>
  <c r="AN94" i="1"/>
  <c r="AO94" i="1"/>
  <c r="AY94" i="1"/>
  <c r="BW94" i="1"/>
  <c r="AP94" i="1"/>
  <c r="BO94" i="1"/>
  <c r="CM94" i="1"/>
  <c r="CW84" i="1"/>
  <c r="DU84" i="1"/>
  <c r="CW109" i="1"/>
  <c r="DU109" i="1"/>
  <c r="DU42" i="1"/>
  <c r="CW42" i="1"/>
  <c r="CW74" i="1"/>
  <c r="DU74" i="1"/>
  <c r="DU49" i="1"/>
  <c r="CW49" i="1"/>
  <c r="CW75" i="1"/>
  <c r="DU75" i="1"/>
  <c r="CX83" i="1"/>
  <c r="DV83" i="1"/>
  <c r="CX75" i="1"/>
  <c r="DV75" i="1"/>
  <c r="CX65" i="1"/>
  <c r="DV65" i="1"/>
  <c r="DV77" i="1"/>
  <c r="CX77" i="1"/>
  <c r="CX66" i="1"/>
  <c r="DV66" i="1"/>
  <c r="CX105" i="1"/>
  <c r="DV105" i="1"/>
  <c r="DC107" i="1"/>
  <c r="EA107" i="1"/>
  <c r="EH107" i="1"/>
  <c r="DC32" i="1"/>
  <c r="EA32" i="1"/>
  <c r="EH32" i="1"/>
  <c r="DC76" i="1"/>
  <c r="EA76" i="1"/>
  <c r="EH76" i="1"/>
  <c r="DC117" i="1"/>
  <c r="EA117" i="1"/>
  <c r="EH117" i="1"/>
  <c r="EA114" i="1"/>
  <c r="EH114" i="1"/>
  <c r="DC114" i="1"/>
  <c r="EA38" i="1"/>
  <c r="EH38" i="1"/>
  <c r="DC38" i="1"/>
  <c r="AJ28" i="1"/>
  <c r="AP28" i="1"/>
  <c r="BO28" i="1"/>
  <c r="CM28" i="1"/>
  <c r="AO28" i="1"/>
  <c r="AY28" i="1"/>
  <c r="BW28" i="1"/>
  <c r="AN28" i="1"/>
  <c r="AN43" i="1"/>
  <c r="AJ43" i="1"/>
  <c r="AO43" i="1"/>
  <c r="AY43" i="1"/>
  <c r="BW43" i="1"/>
  <c r="AP43" i="1"/>
  <c r="BO43" i="1"/>
  <c r="CM43" i="1"/>
  <c r="AP76" i="1"/>
  <c r="BO76" i="1"/>
  <c r="CM76" i="1"/>
  <c r="AJ76" i="1"/>
  <c r="AO76" i="1"/>
  <c r="AY76" i="1"/>
  <c r="BW76" i="1"/>
  <c r="AN76" i="1"/>
  <c r="AP33" i="1"/>
  <c r="BO33" i="1"/>
  <c r="CM33" i="1"/>
  <c r="AO33" i="1"/>
  <c r="AY33" i="1"/>
  <c r="BW33" i="1"/>
  <c r="AJ33" i="1"/>
  <c r="AN33" i="1"/>
  <c r="AJ37" i="1"/>
  <c r="AO37" i="1"/>
  <c r="AY37" i="1"/>
  <c r="BW37" i="1"/>
  <c r="AP37" i="1"/>
  <c r="BO37" i="1"/>
  <c r="CM37" i="1"/>
  <c r="AN37" i="1"/>
  <c r="AJ91" i="1"/>
  <c r="AP91" i="1"/>
  <c r="BO91" i="1"/>
  <c r="CM91" i="1"/>
  <c r="AO91" i="1"/>
  <c r="AY91" i="1"/>
  <c r="BW91" i="1"/>
  <c r="AN91" i="1"/>
  <c r="AP52" i="1"/>
  <c r="BO52" i="1"/>
  <c r="CM52" i="1"/>
  <c r="AJ52" i="1"/>
  <c r="AO52" i="1"/>
  <c r="AY52" i="1"/>
  <c r="BW52" i="1"/>
  <c r="AN52" i="1"/>
  <c r="AP114" i="1"/>
  <c r="BO114" i="1"/>
  <c r="CM114" i="1"/>
  <c r="AJ114" i="1"/>
  <c r="AO114" i="1"/>
  <c r="AY114" i="1"/>
  <c r="BW114" i="1"/>
  <c r="AN114" i="1"/>
  <c r="AN116" i="1"/>
  <c r="AO116" i="1"/>
  <c r="AY116" i="1"/>
  <c r="BW116" i="1"/>
  <c r="AJ116" i="1"/>
  <c r="AP116" i="1"/>
  <c r="BO116" i="1"/>
  <c r="CM116" i="1"/>
  <c r="CW72" i="1"/>
  <c r="DU72" i="1"/>
  <c r="DU100" i="1"/>
  <c r="CW100" i="1"/>
  <c r="DU39" i="1"/>
  <c r="CW39" i="1"/>
  <c r="CW112" i="1"/>
  <c r="DU112" i="1"/>
  <c r="DU62" i="1"/>
  <c r="CW62" i="1"/>
  <c r="DU104" i="1"/>
  <c r="CW104" i="1"/>
  <c r="CX90" i="1"/>
  <c r="DV90" i="1"/>
  <c r="DV115" i="1"/>
  <c r="CX115" i="1"/>
  <c r="DV113" i="1"/>
  <c r="CX113" i="1"/>
  <c r="CX42" i="1"/>
  <c r="DV42" i="1"/>
  <c r="CX55" i="1"/>
  <c r="DV55" i="1"/>
  <c r="DV94" i="1"/>
  <c r="CX94" i="1"/>
  <c r="DC70" i="1"/>
  <c r="EA70" i="1"/>
  <c r="EH70" i="1"/>
  <c r="EA31" i="1"/>
  <c r="EH31" i="1"/>
  <c r="DC31" i="1"/>
  <c r="DC75" i="1"/>
  <c r="EA75" i="1"/>
  <c r="EH75" i="1"/>
  <c r="EA118" i="1"/>
  <c r="EH118" i="1"/>
  <c r="DC118" i="1"/>
  <c r="EA87" i="1"/>
  <c r="EH87" i="1"/>
  <c r="DC87" i="1"/>
  <c r="DC94" i="1"/>
  <c r="EA94" i="1"/>
  <c r="EH94" i="1"/>
  <c r="AP29" i="1"/>
  <c r="BO29" i="1"/>
  <c r="CM29" i="1"/>
  <c r="AJ29" i="1"/>
  <c r="AN29" i="1"/>
  <c r="AO29" i="1"/>
  <c r="AY29" i="1"/>
  <c r="BW29" i="1"/>
  <c r="AP104" i="1"/>
  <c r="BO104" i="1"/>
  <c r="CM104" i="1"/>
  <c r="AN104" i="1"/>
  <c r="AO104" i="1"/>
  <c r="AY104" i="1"/>
  <c r="BW104" i="1"/>
  <c r="AJ104" i="1"/>
  <c r="AP113" i="1"/>
  <c r="BO113" i="1"/>
  <c r="CM113" i="1"/>
  <c r="AJ113" i="1"/>
  <c r="AO113" i="1"/>
  <c r="AY113" i="1"/>
  <c r="BW113" i="1"/>
  <c r="AN113" i="1"/>
  <c r="AN41" i="1"/>
  <c r="AO41" i="1"/>
  <c r="AY41" i="1"/>
  <c r="BW41" i="1"/>
  <c r="AJ41" i="1"/>
  <c r="AP41" i="1"/>
  <c r="BO41" i="1"/>
  <c r="CM41" i="1"/>
  <c r="AO90" i="1"/>
  <c r="AY90" i="1"/>
  <c r="BW90" i="1"/>
  <c r="AN90" i="1"/>
  <c r="AJ90" i="1"/>
  <c r="AP90" i="1"/>
  <c r="BO90" i="1"/>
  <c r="CM90" i="1"/>
  <c r="AP31" i="1"/>
  <c r="BO31" i="1"/>
  <c r="CM31" i="1"/>
  <c r="AJ31" i="1"/>
  <c r="AO31" i="1"/>
  <c r="AY31" i="1"/>
  <c r="BW31" i="1"/>
  <c r="AN31" i="1"/>
  <c r="AJ89" i="1"/>
  <c r="AO89" i="1"/>
  <c r="AY89" i="1"/>
  <c r="BW89" i="1"/>
  <c r="AP89" i="1"/>
  <c r="BO89" i="1"/>
  <c r="CM89" i="1"/>
  <c r="AN89" i="1"/>
  <c r="AJ62" i="1"/>
  <c r="AP62" i="1"/>
  <c r="BO62" i="1"/>
  <c r="CM62" i="1"/>
  <c r="AN62" i="1"/>
  <c r="AO62" i="1"/>
  <c r="AY62" i="1"/>
  <c r="BW62" i="1"/>
  <c r="AJ56" i="1"/>
  <c r="AN56" i="1"/>
  <c r="AO56" i="1"/>
  <c r="AY56" i="1"/>
  <c r="BW56" i="1"/>
  <c r="AP56" i="1"/>
  <c r="BO56" i="1"/>
  <c r="CM56" i="1"/>
  <c r="AN103" i="1"/>
  <c r="AJ103" i="1"/>
  <c r="AP103" i="1"/>
  <c r="BO103" i="1"/>
  <c r="CM103" i="1"/>
  <c r="AO103" i="1"/>
  <c r="AY103" i="1"/>
  <c r="BW103" i="1"/>
  <c r="Y12" i="1"/>
  <c r="Z12" i="1"/>
  <c r="CW97" i="1"/>
  <c r="DU97" i="1"/>
  <c r="DU107" i="1"/>
  <c r="CW107" i="1"/>
  <c r="DU41" i="1"/>
  <c r="CW41" i="1"/>
  <c r="DU52" i="1"/>
  <c r="CW52" i="1"/>
  <c r="DU93" i="1"/>
  <c r="CW93" i="1"/>
  <c r="CW98" i="1"/>
  <c r="DU98" i="1"/>
  <c r="CX61" i="1"/>
  <c r="DV61" i="1"/>
  <c r="DV79" i="1"/>
  <c r="CX79" i="1"/>
  <c r="DV40" i="1"/>
  <c r="CX40" i="1"/>
  <c r="CX102" i="1"/>
  <c r="DV102" i="1"/>
  <c r="DV57" i="1"/>
  <c r="CX57" i="1"/>
  <c r="CX32" i="1"/>
  <c r="DV32" i="1"/>
  <c r="DC84" i="1"/>
  <c r="EA84" i="1"/>
  <c r="EH84" i="1"/>
  <c r="EA53" i="1"/>
  <c r="EH53" i="1"/>
  <c r="DC53" i="1"/>
  <c r="EA36" i="1"/>
  <c r="EH36" i="1"/>
  <c r="DC36" i="1"/>
  <c r="EA61" i="1"/>
  <c r="EH61" i="1"/>
  <c r="DC61" i="1"/>
  <c r="EA71" i="1"/>
  <c r="EH71" i="1"/>
  <c r="DC71" i="1"/>
  <c r="DC77" i="1"/>
  <c r="EA77" i="1"/>
  <c r="EH77" i="1"/>
  <c r="AJ86" i="1"/>
  <c r="AO86" i="1"/>
  <c r="AY86" i="1"/>
  <c r="BW86" i="1"/>
  <c r="AN86" i="1"/>
  <c r="AP86" i="1"/>
  <c r="BO86" i="1"/>
  <c r="CM86" i="1"/>
  <c r="AP87" i="1"/>
  <c r="BO87" i="1"/>
  <c r="CM87" i="1"/>
  <c r="AJ87" i="1"/>
  <c r="AO87" i="1"/>
  <c r="AY87" i="1"/>
  <c r="BW87" i="1"/>
  <c r="AN87" i="1"/>
  <c r="AO69" i="1"/>
  <c r="AY69" i="1"/>
  <c r="BW69" i="1"/>
  <c r="AP69" i="1"/>
  <c r="BO69" i="1"/>
  <c r="CM69" i="1"/>
  <c r="AJ69" i="1"/>
  <c r="AN69" i="1"/>
  <c r="DU32" i="1"/>
  <c r="CW32" i="1"/>
  <c r="CX107" i="1"/>
  <c r="DV107" i="1"/>
  <c r="CW59" i="1"/>
  <c r="DU59" i="1"/>
  <c r="CX31" i="1"/>
  <c r="DV31" i="1"/>
  <c r="DC44" i="1"/>
  <c r="EA44" i="1"/>
  <c r="EH44" i="1"/>
  <c r="CU32" i="1"/>
  <c r="DS32" i="1"/>
  <c r="AP78" i="1"/>
  <c r="BO78" i="1"/>
  <c r="CM78" i="1"/>
  <c r="AO78" i="1"/>
  <c r="AY78" i="1"/>
  <c r="BW78" i="1"/>
  <c r="AJ78" i="1"/>
  <c r="AN78" i="1"/>
  <c r="AJ65" i="1"/>
  <c r="AN65" i="1"/>
  <c r="AP65" i="1"/>
  <c r="BO65" i="1"/>
  <c r="CM65" i="1"/>
  <c r="AO65" i="1"/>
  <c r="AY65" i="1"/>
  <c r="BW65" i="1"/>
  <c r="AJ80" i="1"/>
  <c r="AP80" i="1"/>
  <c r="BO80" i="1"/>
  <c r="CM80" i="1"/>
  <c r="AO80" i="1"/>
  <c r="AY80" i="1"/>
  <c r="BW80" i="1"/>
  <c r="AN80" i="1"/>
  <c r="CW45" i="1"/>
  <c r="DU45" i="1"/>
  <c r="CW47" i="1"/>
  <c r="DU47" i="1"/>
  <c r="CW35" i="1"/>
  <c r="DU35" i="1"/>
  <c r="DU51" i="1"/>
  <c r="CW51" i="1"/>
  <c r="CW44" i="1"/>
  <c r="DU44" i="1"/>
  <c r="DU114" i="1"/>
  <c r="CW114" i="1"/>
  <c r="DV104" i="1"/>
  <c r="CX104" i="1"/>
  <c r="DV86" i="1"/>
  <c r="CX86" i="1"/>
  <c r="CX116" i="1"/>
  <c r="DV116" i="1"/>
  <c r="CX50" i="1"/>
  <c r="DV50" i="1"/>
  <c r="CX89" i="1"/>
  <c r="DV89" i="1"/>
  <c r="DV34" i="1"/>
  <c r="CX34" i="1"/>
  <c r="DC112" i="1"/>
  <c r="EA112" i="1"/>
  <c r="EH112" i="1"/>
  <c r="DC90" i="1"/>
  <c r="EA90" i="1"/>
  <c r="EH90" i="1"/>
  <c r="EA48" i="1"/>
  <c r="EH48" i="1"/>
  <c r="DC48" i="1"/>
  <c r="EA74" i="1"/>
  <c r="EH74" i="1"/>
  <c r="DC74" i="1"/>
  <c r="EA98" i="1"/>
  <c r="EH98" i="1"/>
  <c r="DC98" i="1"/>
  <c r="DS110" i="1"/>
  <c r="CU110" i="1"/>
  <c r="AJ117" i="1"/>
  <c r="AN117" i="1"/>
  <c r="AP117" i="1"/>
  <c r="BO117" i="1"/>
  <c r="CM117" i="1"/>
  <c r="AO117" i="1"/>
  <c r="AY117" i="1"/>
  <c r="BW117" i="1"/>
  <c r="AJ93" i="1"/>
  <c r="AP93" i="1"/>
  <c r="BO93" i="1"/>
  <c r="CM93" i="1"/>
  <c r="AO93" i="1"/>
  <c r="AY93" i="1"/>
  <c r="BW93" i="1"/>
  <c r="AN93" i="1"/>
  <c r="AP100" i="1"/>
  <c r="BO100" i="1"/>
  <c r="CM100" i="1"/>
  <c r="AN100" i="1"/>
  <c r="AO100" i="1"/>
  <c r="AY100" i="1"/>
  <c r="BW100" i="1"/>
  <c r="AJ100" i="1"/>
  <c r="AO83" i="1"/>
  <c r="AY83" i="1"/>
  <c r="BW83" i="1"/>
  <c r="AP83" i="1"/>
  <c r="BO83" i="1"/>
  <c r="CM83" i="1"/>
  <c r="AJ83" i="1"/>
  <c r="AN83" i="1"/>
  <c r="AN47" i="1"/>
  <c r="AP47" i="1"/>
  <c r="BO47" i="1"/>
  <c r="CM47" i="1"/>
  <c r="AJ47" i="1"/>
  <c r="AO47" i="1"/>
  <c r="AY47" i="1"/>
  <c r="BW47" i="1"/>
  <c r="DU66" i="1"/>
  <c r="CW66" i="1"/>
  <c r="DU113" i="1"/>
  <c r="CW113" i="1"/>
  <c r="CW56" i="1"/>
  <c r="DU56" i="1"/>
  <c r="DU31" i="1"/>
  <c r="CW31" i="1"/>
  <c r="DU63" i="1"/>
  <c r="CW63" i="1"/>
  <c r="CW103" i="1"/>
  <c r="DU103" i="1"/>
  <c r="DV100" i="1"/>
  <c r="CX100" i="1"/>
  <c r="DV82" i="1"/>
  <c r="CX82" i="1"/>
  <c r="DV69" i="1"/>
  <c r="CX69" i="1"/>
  <c r="CX43" i="1"/>
  <c r="DV43" i="1"/>
  <c r="CX63" i="1"/>
  <c r="DV63" i="1"/>
  <c r="DV92" i="1"/>
  <c r="CX92" i="1"/>
  <c r="DC108" i="1"/>
  <c r="EA108" i="1"/>
  <c r="EH108" i="1"/>
  <c r="DC86" i="1"/>
  <c r="EA86" i="1"/>
  <c r="EH86" i="1"/>
  <c r="DC79" i="1"/>
  <c r="EA79" i="1"/>
  <c r="EH79" i="1"/>
  <c r="DC57" i="1"/>
  <c r="EA57" i="1"/>
  <c r="EH57" i="1"/>
  <c r="DC35" i="1"/>
  <c r="EA35" i="1"/>
  <c r="EH35" i="1"/>
  <c r="CU38" i="1"/>
  <c r="DS38" i="1"/>
  <c r="AJ107" i="1"/>
  <c r="AP107" i="1"/>
  <c r="BO107" i="1"/>
  <c r="CM107" i="1"/>
  <c r="AN107" i="1"/>
  <c r="AO107" i="1"/>
  <c r="AY107" i="1"/>
  <c r="BW107" i="1"/>
  <c r="AN77" i="1"/>
  <c r="AO77" i="1"/>
  <c r="AY77" i="1"/>
  <c r="BW77" i="1"/>
  <c r="AJ77" i="1"/>
  <c r="AP77" i="1"/>
  <c r="BO77" i="1"/>
  <c r="CM77" i="1"/>
  <c r="AJ53" i="1"/>
  <c r="AO53" i="1"/>
  <c r="AY53" i="1"/>
  <c r="BW53" i="1"/>
  <c r="AN53" i="1"/>
  <c r="AP53" i="1"/>
  <c r="BO53" i="1"/>
  <c r="CM53" i="1"/>
  <c r="AJ72" i="1"/>
  <c r="AP72" i="1"/>
  <c r="BO72" i="1"/>
  <c r="CM72" i="1"/>
  <c r="AO72" i="1"/>
  <c r="AY72" i="1"/>
  <c r="BW72" i="1"/>
  <c r="AN72" i="1"/>
  <c r="AO58" i="1"/>
  <c r="AY58" i="1"/>
  <c r="BW58" i="1"/>
  <c r="AP58" i="1"/>
  <c r="BO58" i="1"/>
  <c r="CM58" i="1"/>
  <c r="AN58" i="1"/>
  <c r="AJ58" i="1"/>
  <c r="BS11" i="3"/>
  <c r="BS10" i="3"/>
  <c r="BW15" i="3"/>
  <c r="CA15" i="3"/>
  <c r="CA16" i="3"/>
  <c r="BH16" i="3"/>
  <c r="BV16" i="3"/>
  <c r="AW16" i="3"/>
  <c r="AT17" i="3"/>
  <c r="AU16" i="3"/>
  <c r="BI16" i="3"/>
  <c r="BW16" i="3"/>
  <c r="AX16" i="3"/>
  <c r="BJ16" i="3"/>
  <c r="BX16" i="3"/>
  <c r="BK15" i="3"/>
  <c r="BY15" i="3"/>
  <c r="CC15" i="3"/>
  <c r="CC16" i="3"/>
  <c r="AV18" i="3"/>
  <c r="BV18" i="3"/>
  <c r="AW18" i="3"/>
  <c r="AU18" i="3"/>
  <c r="BE18" i="3"/>
  <c r="BE19" i="3"/>
  <c r="BA18" i="3"/>
  <c r="BO18" i="3"/>
  <c r="BF19" i="3"/>
  <c r="AT19" i="3"/>
  <c r="AX18" i="3"/>
  <c r="AT21" i="3"/>
  <c r="BE20" i="3"/>
  <c r="BG16" i="3"/>
  <c r="BU16" i="3"/>
  <c r="BS16" i="3"/>
  <c r="BZ15" i="3"/>
  <c r="BX15" i="3"/>
  <c r="AT12" i="1"/>
  <c r="AS12" i="1"/>
  <c r="AJ12" i="1"/>
  <c r="AO14" i="1"/>
  <c r="AJ14" i="1"/>
  <c r="AP9" i="1"/>
  <c r="AJ9" i="1"/>
  <c r="AO7" i="1"/>
  <c r="AY7" i="1"/>
  <c r="BW7" i="1"/>
  <c r="DS7" i="1"/>
  <c r="AJ7" i="1"/>
  <c r="AN3" i="1"/>
  <c r="AT3" i="1"/>
  <c r="AS3" i="1"/>
  <c r="AJ3" i="1"/>
  <c r="AN17" i="1"/>
  <c r="AT17" i="1"/>
  <c r="AS17" i="1"/>
  <c r="AJ17" i="1"/>
  <c r="AP14" i="1"/>
  <c r="BO14" i="1"/>
  <c r="CM14" i="1"/>
  <c r="DK14" i="1"/>
  <c r="GQ15" i="1"/>
  <c r="AN14" i="1"/>
  <c r="AT14" i="1"/>
  <c r="AS14" i="1"/>
  <c r="ED6" i="1"/>
  <c r="AL15" i="1"/>
  <c r="FF18" i="1"/>
  <c r="DS25" i="1"/>
  <c r="EK25" i="1"/>
  <c r="CU21" i="1"/>
  <c r="EO18" i="1"/>
  <c r="FS18" i="1"/>
  <c r="FY18" i="1"/>
  <c r="EN18" i="1"/>
  <c r="FR18" i="1"/>
  <c r="FX18" i="1"/>
  <c r="FF16" i="1"/>
  <c r="EN16" i="1"/>
  <c r="FR16" i="1"/>
  <c r="FX16" i="1"/>
  <c r="GR15" i="1"/>
  <c r="EM18" i="1"/>
  <c r="GQ18" i="1"/>
  <c r="HB18" i="1"/>
  <c r="AO3" i="1"/>
  <c r="AY3" i="1"/>
  <c r="BW3" i="1"/>
  <c r="DS3" i="1"/>
  <c r="AP3" i="1"/>
  <c r="BO3" i="1"/>
  <c r="CM3" i="1"/>
  <c r="ED3" i="1"/>
  <c r="FG14" i="1"/>
  <c r="AY14" i="1"/>
  <c r="BW14" i="1"/>
  <c r="CU14" i="1"/>
  <c r="AY22" i="1"/>
  <c r="BW22" i="1"/>
  <c r="AN9" i="1"/>
  <c r="AY24" i="1"/>
  <c r="BW24" i="1"/>
  <c r="BJ24" i="1"/>
  <c r="CH24" i="1"/>
  <c r="DF24" i="1"/>
  <c r="AA24" i="1"/>
  <c r="AB24" i="1"/>
  <c r="BO4" i="1"/>
  <c r="CM4" i="1"/>
  <c r="ED4" i="1"/>
  <c r="EI4" i="1"/>
  <c r="AO10" i="1"/>
  <c r="AY23" i="1"/>
  <c r="BW23" i="1"/>
  <c r="BO9" i="1"/>
  <c r="CM9" i="1"/>
  <c r="ED9" i="1"/>
  <c r="AN10" i="1"/>
  <c r="BO15" i="1"/>
  <c r="CM15" i="1"/>
  <c r="ED15" i="1"/>
  <c r="AY15" i="1"/>
  <c r="BW15" i="1"/>
  <c r="DS15" i="1"/>
  <c r="AO8" i="1"/>
  <c r="AO13" i="1"/>
  <c r="AN7" i="1"/>
  <c r="AP12" i="1"/>
  <c r="AO5" i="1"/>
  <c r="AO11" i="1"/>
  <c r="BJ23" i="1"/>
  <c r="CH23" i="1"/>
  <c r="DF23" i="1"/>
  <c r="AA23" i="1"/>
  <c r="AB23" i="1"/>
  <c r="BJ21" i="1"/>
  <c r="CH21" i="1"/>
  <c r="DF21" i="1"/>
  <c r="AA21" i="1"/>
  <c r="AB21" i="1"/>
  <c r="BJ22" i="1"/>
  <c r="CH22" i="1"/>
  <c r="DF22" i="1"/>
  <c r="AA22" i="1"/>
  <c r="AB22" i="1"/>
  <c r="AN8" i="1"/>
  <c r="AO12" i="1"/>
  <c r="AN5" i="1"/>
  <c r="AT5" i="1"/>
  <c r="AS5" i="1"/>
  <c r="AP10" i="1"/>
  <c r="AO9" i="1"/>
  <c r="AP11" i="1"/>
  <c r="AP13" i="1"/>
  <c r="AN11" i="1"/>
  <c r="AT11" i="1"/>
  <c r="AS11" i="1"/>
  <c r="AP8" i="1"/>
  <c r="AN13" i="1"/>
  <c r="AT13" i="1"/>
  <c r="AS13" i="1"/>
  <c r="EK18" i="1"/>
  <c r="AP5" i="1"/>
  <c r="AP7" i="1"/>
  <c r="EI21" i="1"/>
  <c r="EJ21" i="1"/>
  <c r="EK21" i="1"/>
  <c r="U36" i="13"/>
  <c r="X36" i="13"/>
  <c r="F3" i="13"/>
  <c r="F9" i="13"/>
  <c r="F4" i="13"/>
  <c r="F10" i="13"/>
  <c r="F5" i="13"/>
  <c r="F7" i="13"/>
  <c r="F6" i="13"/>
  <c r="F8" i="13"/>
  <c r="D5" i="13"/>
  <c r="D7" i="13"/>
  <c r="D6" i="13"/>
  <c r="D8" i="13"/>
  <c r="D4" i="13"/>
  <c r="D10" i="13"/>
  <c r="D3" i="13"/>
  <c r="D9" i="13"/>
  <c r="W8" i="1"/>
  <c r="X8" i="1"/>
  <c r="Y8" i="1"/>
  <c r="Z8" i="1"/>
  <c r="FL17" i="1"/>
  <c r="W17" i="1"/>
  <c r="X17" i="1"/>
  <c r="Y17" i="1"/>
  <c r="Z17" i="1"/>
  <c r="FN16" i="1"/>
  <c r="U16" i="1"/>
  <c r="V16" i="1"/>
  <c r="GY14" i="1"/>
  <c r="HD14" i="1"/>
  <c r="HJ14" i="1"/>
  <c r="U14" i="1"/>
  <c r="V14" i="1"/>
  <c r="GW18" i="1"/>
  <c r="W18" i="1"/>
  <c r="X18" i="1"/>
  <c r="Y18" i="1"/>
  <c r="Z18" i="1"/>
  <c r="FL16" i="1"/>
  <c r="W16" i="1"/>
  <c r="X16" i="1"/>
  <c r="Y16" i="1"/>
  <c r="Z16" i="1"/>
  <c r="Y4" i="1"/>
  <c r="Z4" i="1"/>
  <c r="W4" i="1"/>
  <c r="X4" i="1"/>
  <c r="W19" i="1"/>
  <c r="X19" i="1"/>
  <c r="Y19" i="1"/>
  <c r="Z19" i="1"/>
  <c r="GY9" i="1"/>
  <c r="U9" i="1"/>
  <c r="V9" i="1"/>
  <c r="GW14" i="1"/>
  <c r="W14" i="1"/>
  <c r="X14" i="1"/>
  <c r="Y14" i="1"/>
  <c r="Z14" i="1"/>
  <c r="EO8" i="1"/>
  <c r="U8" i="1"/>
  <c r="V8" i="1"/>
  <c r="FL15" i="1"/>
  <c r="W15" i="1"/>
  <c r="X15" i="1"/>
  <c r="Y15" i="1"/>
  <c r="Z15" i="1"/>
  <c r="EO15" i="1"/>
  <c r="FS15" i="1"/>
  <c r="FY15" i="1"/>
  <c r="U15" i="1"/>
  <c r="V15" i="1"/>
  <c r="S3" i="1"/>
  <c r="T3" i="1"/>
  <c r="Q3" i="1"/>
  <c r="R3" i="1"/>
  <c r="O3" i="1"/>
  <c r="P3" i="1"/>
  <c r="FL18" i="1"/>
  <c r="FN9" i="1"/>
  <c r="EO16" i="1"/>
  <c r="FS16" i="1"/>
  <c r="FY16" i="1"/>
  <c r="EP16" i="1"/>
  <c r="FT16" i="1"/>
  <c r="FZ16" i="1"/>
  <c r="GY16" i="1"/>
  <c r="HE16" i="1"/>
  <c r="HK16" i="1"/>
  <c r="GV15" i="1"/>
  <c r="EH13" i="1"/>
  <c r="EH9" i="1"/>
  <c r="GW16" i="1"/>
  <c r="EH6" i="1"/>
  <c r="EH18" i="1"/>
  <c r="EJ18" i="1"/>
  <c r="EH8" i="1"/>
  <c r="EH7" i="1"/>
  <c r="EH17" i="1"/>
  <c r="EI6" i="1"/>
  <c r="EH4" i="1"/>
  <c r="EH15" i="1"/>
  <c r="N4" i="3"/>
  <c r="T4" i="3"/>
  <c r="AB4" i="3"/>
  <c r="BL4" i="3"/>
  <c r="EH10" i="1"/>
  <c r="EH5" i="1"/>
  <c r="EH14" i="1"/>
  <c r="EH11" i="1"/>
  <c r="EH16" i="1"/>
  <c r="EH12" i="1"/>
  <c r="EH3" i="1"/>
  <c r="GX18" i="1"/>
  <c r="FM18" i="1"/>
  <c r="GS16" i="1"/>
  <c r="BJ3" i="1"/>
  <c r="CH3" i="1"/>
  <c r="DF3" i="1"/>
  <c r="AA3" i="1"/>
  <c r="AB3" i="1"/>
  <c r="BJ12" i="1"/>
  <c r="CH12" i="1"/>
  <c r="DF12" i="1"/>
  <c r="AA12" i="1"/>
  <c r="AB12" i="1"/>
  <c r="BJ15" i="1"/>
  <c r="CH15" i="1"/>
  <c r="DF15" i="1"/>
  <c r="AA15" i="1"/>
  <c r="AB15" i="1"/>
  <c r="BJ6" i="1"/>
  <c r="CH6" i="1"/>
  <c r="DF6" i="1"/>
  <c r="AA6" i="1"/>
  <c r="AB6" i="1"/>
  <c r="BJ17" i="1"/>
  <c r="CH17" i="1"/>
  <c r="DF17" i="1"/>
  <c r="AA17" i="1"/>
  <c r="AB17" i="1"/>
  <c r="GS7" i="1"/>
  <c r="FH14" i="1"/>
  <c r="EP8" i="1"/>
  <c r="EN15" i="1"/>
  <c r="FR15" i="1"/>
  <c r="FX15" i="1"/>
  <c r="HC14" i="1"/>
  <c r="HI14" i="1"/>
  <c r="EN14" i="1"/>
  <c r="FR14" i="1"/>
  <c r="FX14" i="1"/>
  <c r="GP12" i="1"/>
  <c r="O4" i="3"/>
  <c r="FN14" i="1"/>
  <c r="FM4" i="1"/>
  <c r="GW17" i="1"/>
  <c r="FF14" i="1"/>
  <c r="EO6" i="1"/>
  <c r="FL14" i="1"/>
  <c r="GO14" i="1"/>
  <c r="EO13" i="1"/>
  <c r="FM14" i="1"/>
  <c r="FK14" i="1"/>
  <c r="FE14" i="1"/>
  <c r="EO7" i="1"/>
  <c r="FI6" i="1"/>
  <c r="EN10" i="1"/>
  <c r="EP14" i="1"/>
  <c r="FT14" i="1"/>
  <c r="FZ14" i="1"/>
  <c r="FE15" i="1"/>
  <c r="GR16" i="1"/>
  <c r="FI4" i="1"/>
  <c r="EO14" i="1"/>
  <c r="FS14" i="1"/>
  <c r="FY14" i="1"/>
  <c r="GW15" i="1"/>
  <c r="HC15" i="1"/>
  <c r="HI15" i="1"/>
  <c r="FM15" i="1"/>
  <c r="FN15" i="1"/>
  <c r="FH4" i="1"/>
  <c r="EP15" i="1"/>
  <c r="FT15" i="1"/>
  <c r="FZ15" i="1"/>
  <c r="GY15" i="1"/>
  <c r="GX6" i="1"/>
  <c r="EN6" i="1"/>
  <c r="FR6" i="1"/>
  <c r="FX6" i="1"/>
  <c r="Q4" i="3"/>
  <c r="GV16" i="1"/>
  <c r="FK16" i="1"/>
  <c r="EO10" i="1"/>
  <c r="GX3" i="1"/>
  <c r="EN8" i="1"/>
  <c r="FR8" i="1"/>
  <c r="FX8" i="1"/>
  <c r="FM8" i="1"/>
  <c r="EN13" i="1"/>
  <c r="Z4" i="3"/>
  <c r="EP10" i="1"/>
  <c r="EP7" i="1"/>
  <c r="GO15" i="1"/>
  <c r="FD15" i="1"/>
  <c r="FH17" i="1"/>
  <c r="GS17" i="1"/>
  <c r="FM16" i="1"/>
  <c r="GX16" i="1"/>
  <c r="HC16" i="1"/>
  <c r="HI16" i="1"/>
  <c r="EO9" i="1"/>
  <c r="FS9" i="1"/>
  <c r="FY9" i="1"/>
  <c r="EP9" i="1"/>
  <c r="FT9" i="1"/>
  <c r="FZ9" i="1"/>
  <c r="EN9" i="1"/>
  <c r="EK6" i="1"/>
  <c r="GX5" i="1"/>
  <c r="FM5" i="1"/>
  <c r="AO17" i="1"/>
  <c r="AP17" i="1"/>
  <c r="FD16" i="1"/>
  <c r="GO16" i="1"/>
  <c r="FE11" i="1"/>
  <c r="GP11" i="1"/>
  <c r="FM17" i="1"/>
  <c r="GX17" i="1"/>
  <c r="EN11" i="1"/>
  <c r="EP11" i="1"/>
  <c r="EO11" i="1"/>
  <c r="EN5" i="1"/>
  <c r="FR5" i="1"/>
  <c r="FX5" i="1"/>
  <c r="EO5" i="1"/>
  <c r="EP5" i="1"/>
  <c r="FJ6" i="1"/>
  <c r="GU6" i="1"/>
  <c r="EL6" i="1"/>
  <c r="EM6" i="1"/>
  <c r="FG18" i="1"/>
  <c r="GR18" i="1"/>
  <c r="EK4" i="1"/>
  <c r="FL7" i="1"/>
  <c r="GW7" i="1"/>
  <c r="FM7" i="1"/>
  <c r="GX7" i="1"/>
  <c r="EN7" i="1"/>
  <c r="FR7" i="1"/>
  <c r="FX7" i="1"/>
  <c r="EN17" i="1"/>
  <c r="FR17" i="1"/>
  <c r="FX17" i="1"/>
  <c r="EP17" i="1"/>
  <c r="EO17" i="1"/>
  <c r="EO12" i="1"/>
  <c r="EP12" i="1"/>
  <c r="GS8" i="1"/>
  <c r="FH8" i="1"/>
  <c r="EN3" i="1"/>
  <c r="FR3" i="1"/>
  <c r="FX3" i="1"/>
  <c r="EP3" i="1"/>
  <c r="EO3" i="1"/>
  <c r="EN4" i="1"/>
  <c r="FR4" i="1"/>
  <c r="FX4" i="1"/>
  <c r="EP4" i="1"/>
  <c r="EO4" i="1"/>
  <c r="GS15" i="1"/>
  <c r="FH15" i="1"/>
  <c r="BI4" i="3"/>
  <c r="BJ4" i="3"/>
  <c r="BK4" i="3"/>
  <c r="BA19" i="3"/>
  <c r="BO19" i="3"/>
  <c r="CU72" i="1"/>
  <c r="DS72" i="1"/>
  <c r="EP43" i="1"/>
  <c r="EO43" i="1"/>
  <c r="CU93" i="1"/>
  <c r="DS93" i="1"/>
  <c r="DK62" i="1"/>
  <c r="ED62" i="1"/>
  <c r="CU41" i="1"/>
  <c r="DS41" i="1"/>
  <c r="EO113" i="1"/>
  <c r="EP113" i="1"/>
  <c r="ED91" i="1"/>
  <c r="DK91" i="1"/>
  <c r="BJ57" i="1"/>
  <c r="CH57" i="1"/>
  <c r="DF57" i="1"/>
  <c r="AT57" i="1"/>
  <c r="AS57" i="1"/>
  <c r="DK54" i="1"/>
  <c r="ED54" i="1"/>
  <c r="EP95" i="1"/>
  <c r="EO95" i="1"/>
  <c r="BJ61" i="1"/>
  <c r="CH61" i="1"/>
  <c r="DF61" i="1"/>
  <c r="AT61" i="1"/>
  <c r="AS61" i="1"/>
  <c r="DS73" i="1"/>
  <c r="EK73" i="1"/>
  <c r="CU73" i="1"/>
  <c r="EO62" i="1"/>
  <c r="EP62" i="1"/>
  <c r="BJ112" i="1"/>
  <c r="CH112" i="1"/>
  <c r="DF112" i="1"/>
  <c r="AT112" i="1"/>
  <c r="AS112" i="1"/>
  <c r="DK108" i="1"/>
  <c r="ED108" i="1"/>
  <c r="AT35" i="1"/>
  <c r="AS35" i="1"/>
  <c r="BJ35" i="1"/>
  <c r="CH35" i="1"/>
  <c r="DF35" i="1"/>
  <c r="CU40" i="1"/>
  <c r="DS40" i="1"/>
  <c r="EK40" i="1"/>
  <c r="ED63" i="1"/>
  <c r="DK63" i="1"/>
  <c r="EO72" i="1"/>
  <c r="EP72" i="1"/>
  <c r="BJ88" i="1"/>
  <c r="CH88" i="1"/>
  <c r="DF88" i="1"/>
  <c r="AT88" i="1"/>
  <c r="AS88" i="1"/>
  <c r="AT26" i="1"/>
  <c r="AS26" i="1"/>
  <c r="BJ26" i="1"/>
  <c r="CH26" i="1"/>
  <c r="DF26" i="1"/>
  <c r="AA26" i="1"/>
  <c r="AB26" i="1"/>
  <c r="ED49" i="1"/>
  <c r="DK49" i="1"/>
  <c r="DK72" i="1"/>
  <c r="ED72" i="1"/>
  <c r="EP69" i="1"/>
  <c r="EO69" i="1"/>
  <c r="DK93" i="1"/>
  <c r="ED93" i="1"/>
  <c r="CU65" i="1"/>
  <c r="DS65" i="1"/>
  <c r="BJ41" i="1"/>
  <c r="CH41" i="1"/>
  <c r="DF41" i="1"/>
  <c r="AT41" i="1"/>
  <c r="AS41" i="1"/>
  <c r="BJ43" i="1"/>
  <c r="CH43" i="1"/>
  <c r="DF43" i="1"/>
  <c r="AT43" i="1"/>
  <c r="AS43" i="1"/>
  <c r="DS57" i="1"/>
  <c r="CU57" i="1"/>
  <c r="AT55" i="1"/>
  <c r="AS55" i="1"/>
  <c r="BJ55" i="1"/>
  <c r="CH55" i="1"/>
  <c r="DF55" i="1"/>
  <c r="BJ54" i="1"/>
  <c r="CH54" i="1"/>
  <c r="DF54" i="1"/>
  <c r="AT54" i="1"/>
  <c r="AS54" i="1"/>
  <c r="DK73" i="1"/>
  <c r="ED73" i="1"/>
  <c r="EI73" i="1"/>
  <c r="EJ73" i="1"/>
  <c r="BJ108" i="1"/>
  <c r="CH108" i="1"/>
  <c r="DF108" i="1"/>
  <c r="AT108" i="1"/>
  <c r="AS108" i="1"/>
  <c r="EO112" i="1"/>
  <c r="EP112" i="1"/>
  <c r="AT36" i="1"/>
  <c r="AS36" i="1"/>
  <c r="BJ36" i="1"/>
  <c r="CH36" i="1"/>
  <c r="DF36" i="1"/>
  <c r="EP37" i="1"/>
  <c r="EO37" i="1"/>
  <c r="ED95" i="1"/>
  <c r="DK95" i="1"/>
  <c r="BJ97" i="1"/>
  <c r="CH97" i="1"/>
  <c r="DF97" i="1"/>
  <c r="AT97" i="1"/>
  <c r="AS97" i="1"/>
  <c r="AT40" i="1"/>
  <c r="AS40" i="1"/>
  <c r="BJ40" i="1"/>
  <c r="CH40" i="1"/>
  <c r="DF40" i="1"/>
  <c r="DK102" i="1"/>
  <c r="ED102" i="1"/>
  <c r="EO46" i="1"/>
  <c r="EP46" i="1"/>
  <c r="DK99" i="1"/>
  <c r="ED99" i="1"/>
  <c r="CU88" i="1"/>
  <c r="DS88" i="1"/>
  <c r="EO91" i="1"/>
  <c r="EP91" i="1"/>
  <c r="DS84" i="1"/>
  <c r="EK84" i="1"/>
  <c r="CU84" i="1"/>
  <c r="CU49" i="1"/>
  <c r="DS49" i="1"/>
  <c r="ED65" i="1"/>
  <c r="DK65" i="1"/>
  <c r="EP107" i="1"/>
  <c r="EO107" i="1"/>
  <c r="EO102" i="1"/>
  <c r="EP102" i="1"/>
  <c r="BJ89" i="1"/>
  <c r="CH89" i="1"/>
  <c r="DF89" i="1"/>
  <c r="AT89" i="1"/>
  <c r="AS89" i="1"/>
  <c r="BJ113" i="1"/>
  <c r="CH113" i="1"/>
  <c r="DF113" i="1"/>
  <c r="AT113" i="1"/>
  <c r="AS113" i="1"/>
  <c r="EP115" i="1"/>
  <c r="EO115" i="1"/>
  <c r="DK116" i="1"/>
  <c r="ED116" i="1"/>
  <c r="AT37" i="1"/>
  <c r="AS37" i="1"/>
  <c r="BJ37" i="1"/>
  <c r="CH37" i="1"/>
  <c r="DF37" i="1"/>
  <c r="AT28" i="1"/>
  <c r="AS28" i="1"/>
  <c r="BJ28" i="1"/>
  <c r="CH28" i="1"/>
  <c r="DF28" i="1"/>
  <c r="BJ48" i="1"/>
  <c r="CH48" i="1"/>
  <c r="DF48" i="1"/>
  <c r="AT48" i="1"/>
  <c r="AS48" i="1"/>
  <c r="EO60" i="1"/>
  <c r="EP60" i="1"/>
  <c r="DS55" i="1"/>
  <c r="EK55" i="1"/>
  <c r="CU55" i="1"/>
  <c r="DS74" i="1"/>
  <c r="CU74" i="1"/>
  <c r="DS112" i="1"/>
  <c r="CU112" i="1"/>
  <c r="DS108" i="1"/>
  <c r="CU108" i="1"/>
  <c r="CU95" i="1"/>
  <c r="DS95" i="1"/>
  <c r="DK97" i="1"/>
  <c r="ED97" i="1"/>
  <c r="EP70" i="1"/>
  <c r="EO70" i="1"/>
  <c r="DK40" i="1"/>
  <c r="ED40" i="1"/>
  <c r="EI40" i="1"/>
  <c r="EJ40" i="1"/>
  <c r="BJ98" i="1"/>
  <c r="CH98" i="1"/>
  <c r="DF98" i="1"/>
  <c r="AT98" i="1"/>
  <c r="AS98" i="1"/>
  <c r="CU70" i="1"/>
  <c r="DS70" i="1"/>
  <c r="BJ84" i="1"/>
  <c r="CH84" i="1"/>
  <c r="DF84" i="1"/>
  <c r="AT84" i="1"/>
  <c r="AS84" i="1"/>
  <c r="BJ49" i="1"/>
  <c r="CH49" i="1"/>
  <c r="DF49" i="1"/>
  <c r="AT49" i="1"/>
  <c r="AS49" i="1"/>
  <c r="EO118" i="1"/>
  <c r="EP118" i="1"/>
  <c r="DK53" i="1"/>
  <c r="ED53" i="1"/>
  <c r="EP82" i="1"/>
  <c r="EO82" i="1"/>
  <c r="CU47" i="1"/>
  <c r="DS47" i="1"/>
  <c r="CU117" i="1"/>
  <c r="DS117" i="1"/>
  <c r="EO34" i="1"/>
  <c r="EP34" i="1"/>
  <c r="BJ65" i="1"/>
  <c r="CH65" i="1"/>
  <c r="DF65" i="1"/>
  <c r="AT65" i="1"/>
  <c r="AS65" i="1"/>
  <c r="EP40" i="1"/>
  <c r="EO40" i="1"/>
  <c r="DK89" i="1"/>
  <c r="ED89" i="1"/>
  <c r="DS113" i="1"/>
  <c r="CU113" i="1"/>
  <c r="ED37" i="1"/>
  <c r="DK37" i="1"/>
  <c r="DS28" i="1"/>
  <c r="EK28" i="1"/>
  <c r="CU28" i="1"/>
  <c r="EO105" i="1"/>
  <c r="EP105" i="1"/>
  <c r="DK48" i="1"/>
  <c r="ED48" i="1"/>
  <c r="DK55" i="1"/>
  <c r="ED55" i="1"/>
  <c r="EI55" i="1"/>
  <c r="EJ55" i="1"/>
  <c r="DS54" i="1"/>
  <c r="EK54" i="1"/>
  <c r="CU54" i="1"/>
  <c r="EO96" i="1"/>
  <c r="EP96" i="1"/>
  <c r="DS51" i="1"/>
  <c r="EK51" i="1"/>
  <c r="CU51" i="1"/>
  <c r="AT74" i="1"/>
  <c r="AS74" i="1"/>
  <c r="BJ74" i="1"/>
  <c r="CH74" i="1"/>
  <c r="DF74" i="1"/>
  <c r="EP49" i="1"/>
  <c r="EO49" i="1"/>
  <c r="DS85" i="1"/>
  <c r="CU85" i="1"/>
  <c r="EP76" i="1"/>
  <c r="EO76" i="1"/>
  <c r="AT95" i="1"/>
  <c r="AS95" i="1"/>
  <c r="BJ95" i="1"/>
  <c r="CH95" i="1"/>
  <c r="DF95" i="1"/>
  <c r="EO47" i="1"/>
  <c r="EP47" i="1"/>
  <c r="CU102" i="1"/>
  <c r="DS102" i="1"/>
  <c r="EO111" i="1"/>
  <c r="EP111" i="1"/>
  <c r="DK98" i="1"/>
  <c r="ED98" i="1"/>
  <c r="DK70" i="1"/>
  <c r="ED70" i="1"/>
  <c r="EP74" i="1"/>
  <c r="EO74" i="1"/>
  <c r="ED84" i="1"/>
  <c r="EI84" i="1"/>
  <c r="EJ84" i="1"/>
  <c r="DK84" i="1"/>
  <c r="BJ53" i="1"/>
  <c r="CH53" i="1"/>
  <c r="DF53" i="1"/>
  <c r="AT53" i="1"/>
  <c r="AS53" i="1"/>
  <c r="DK117" i="1"/>
  <c r="ED117" i="1"/>
  <c r="DS89" i="1"/>
  <c r="CU89" i="1"/>
  <c r="DS116" i="1"/>
  <c r="EK116" i="1"/>
  <c r="CU116" i="1"/>
  <c r="DS37" i="1"/>
  <c r="CU37" i="1"/>
  <c r="DK28" i="1"/>
  <c r="ED28" i="1"/>
  <c r="DS48" i="1"/>
  <c r="CU48" i="1"/>
  <c r="CU92" i="1"/>
  <c r="DS92" i="1"/>
  <c r="EO108" i="1"/>
  <c r="EP108" i="1"/>
  <c r="DK51" i="1"/>
  <c r="ED51" i="1"/>
  <c r="EI51" i="1"/>
  <c r="EJ51" i="1"/>
  <c r="DK74" i="1"/>
  <c r="ED74" i="1"/>
  <c r="ED85" i="1"/>
  <c r="DK85" i="1"/>
  <c r="EO114" i="1"/>
  <c r="EP114" i="1"/>
  <c r="CU97" i="1"/>
  <c r="DS97" i="1"/>
  <c r="AT102" i="1"/>
  <c r="AS102" i="1"/>
  <c r="BJ102" i="1"/>
  <c r="CH102" i="1"/>
  <c r="DF102" i="1"/>
  <c r="CU98" i="1"/>
  <c r="DS98" i="1"/>
  <c r="EO99" i="1"/>
  <c r="EP99" i="1"/>
  <c r="DK101" i="1"/>
  <c r="ED101" i="1"/>
  <c r="CU118" i="1"/>
  <c r="DS118" i="1"/>
  <c r="EP87" i="1"/>
  <c r="EO87" i="1"/>
  <c r="DS53" i="1"/>
  <c r="CU53" i="1"/>
  <c r="EO100" i="1"/>
  <c r="EP100" i="1"/>
  <c r="ED47" i="1"/>
  <c r="DK47" i="1"/>
  <c r="AT117" i="1"/>
  <c r="AS117" i="1"/>
  <c r="BJ117" i="1"/>
  <c r="CH117" i="1"/>
  <c r="DF117" i="1"/>
  <c r="BJ78" i="1"/>
  <c r="CH78" i="1"/>
  <c r="DF78" i="1"/>
  <c r="AT78" i="1"/>
  <c r="AS78" i="1"/>
  <c r="BJ69" i="1"/>
  <c r="CH69" i="1"/>
  <c r="DF69" i="1"/>
  <c r="AT69" i="1"/>
  <c r="AS69" i="1"/>
  <c r="EO79" i="1"/>
  <c r="EP79" i="1"/>
  <c r="DK113" i="1"/>
  <c r="ED113" i="1"/>
  <c r="EO90" i="1"/>
  <c r="EP90" i="1"/>
  <c r="AT116" i="1"/>
  <c r="AS116" i="1"/>
  <c r="BJ116" i="1"/>
  <c r="CH116" i="1"/>
  <c r="DF116" i="1"/>
  <c r="EP66" i="1"/>
  <c r="EO66" i="1"/>
  <c r="EP48" i="1"/>
  <c r="EO48" i="1"/>
  <c r="DK92" i="1"/>
  <c r="ED92" i="1"/>
  <c r="BJ51" i="1"/>
  <c r="CH51" i="1"/>
  <c r="DF51" i="1"/>
  <c r="AT51" i="1"/>
  <c r="AS51" i="1"/>
  <c r="CU50" i="1"/>
  <c r="DS50" i="1"/>
  <c r="BJ85" i="1"/>
  <c r="CH85" i="1"/>
  <c r="DF85" i="1"/>
  <c r="AT85" i="1"/>
  <c r="AS85" i="1"/>
  <c r="EP93" i="1"/>
  <c r="EO93" i="1"/>
  <c r="CU59" i="1"/>
  <c r="DS59" i="1"/>
  <c r="EP56" i="1"/>
  <c r="EO56" i="1"/>
  <c r="BJ70" i="1"/>
  <c r="CH70" i="1"/>
  <c r="DF70" i="1"/>
  <c r="AT70" i="1"/>
  <c r="AS70" i="1"/>
  <c r="EO45" i="1"/>
  <c r="EP45" i="1"/>
  <c r="CU101" i="1"/>
  <c r="DS101" i="1"/>
  <c r="ED118" i="1"/>
  <c r="DK118" i="1"/>
  <c r="BJ47" i="1"/>
  <c r="CH47" i="1"/>
  <c r="DF47" i="1"/>
  <c r="AT47" i="1"/>
  <c r="AS47" i="1"/>
  <c r="EO89" i="1"/>
  <c r="EP89" i="1"/>
  <c r="CU103" i="1"/>
  <c r="DS103" i="1"/>
  <c r="AT31" i="1"/>
  <c r="AS31" i="1"/>
  <c r="BJ31" i="1"/>
  <c r="CH31" i="1"/>
  <c r="DF31" i="1"/>
  <c r="BJ114" i="1"/>
  <c r="CH114" i="1"/>
  <c r="DF114" i="1"/>
  <c r="AT114" i="1"/>
  <c r="AS114" i="1"/>
  <c r="AT33" i="1"/>
  <c r="AS33" i="1"/>
  <c r="BJ33" i="1"/>
  <c r="CH33" i="1"/>
  <c r="DF33" i="1"/>
  <c r="EO77" i="1"/>
  <c r="EP77" i="1"/>
  <c r="EP41" i="1"/>
  <c r="EO41" i="1"/>
  <c r="AT92" i="1"/>
  <c r="AS92" i="1"/>
  <c r="BJ92" i="1"/>
  <c r="CH92" i="1"/>
  <c r="DF92" i="1"/>
  <c r="AT96" i="1"/>
  <c r="AS96" i="1"/>
  <c r="BJ96" i="1"/>
  <c r="CH96" i="1"/>
  <c r="DF96" i="1"/>
  <c r="DK82" i="1"/>
  <c r="ED82" i="1"/>
  <c r="DK50" i="1"/>
  <c r="ED50" i="1"/>
  <c r="EP38" i="1"/>
  <c r="EO38" i="1"/>
  <c r="EO103" i="1"/>
  <c r="EP103" i="1"/>
  <c r="ED59" i="1"/>
  <c r="DK59" i="1"/>
  <c r="EO53" i="1"/>
  <c r="EP53" i="1"/>
  <c r="BJ106" i="1"/>
  <c r="CH106" i="1"/>
  <c r="DF106" i="1"/>
  <c r="AT106" i="1"/>
  <c r="AS106" i="1"/>
  <c r="BJ105" i="1"/>
  <c r="CH105" i="1"/>
  <c r="DF105" i="1"/>
  <c r="AT105" i="1"/>
  <c r="AS105" i="1"/>
  <c r="AT101" i="1"/>
  <c r="AS101" i="1"/>
  <c r="BJ101" i="1"/>
  <c r="CH101" i="1"/>
  <c r="DF101" i="1"/>
  <c r="BJ118" i="1"/>
  <c r="CH118" i="1"/>
  <c r="DF118" i="1"/>
  <c r="AT118" i="1"/>
  <c r="AS118" i="1"/>
  <c r="ED77" i="1"/>
  <c r="DK77" i="1"/>
  <c r="BJ83" i="1"/>
  <c r="CH83" i="1"/>
  <c r="DF83" i="1"/>
  <c r="AT83" i="1"/>
  <c r="AS83" i="1"/>
  <c r="CU78" i="1"/>
  <c r="DS78" i="1"/>
  <c r="EK78" i="1"/>
  <c r="ED69" i="1"/>
  <c r="DK69" i="1"/>
  <c r="ED103" i="1"/>
  <c r="DK103" i="1"/>
  <c r="CU31" i="1"/>
  <c r="DS31" i="1"/>
  <c r="CU104" i="1"/>
  <c r="DS104" i="1"/>
  <c r="DS114" i="1"/>
  <c r="CU114" i="1"/>
  <c r="EP39" i="1"/>
  <c r="EO39" i="1"/>
  <c r="DS96" i="1"/>
  <c r="CU96" i="1"/>
  <c r="DK81" i="1"/>
  <c r="ED81" i="1"/>
  <c r="BJ44" i="1"/>
  <c r="CH44" i="1"/>
  <c r="DF44" i="1"/>
  <c r="AT44" i="1"/>
  <c r="AS44" i="1"/>
  <c r="EP71" i="1"/>
  <c r="EO71" i="1"/>
  <c r="AT59" i="1"/>
  <c r="AS59" i="1"/>
  <c r="BJ59" i="1"/>
  <c r="CH59" i="1"/>
  <c r="DF59" i="1"/>
  <c r="ED106" i="1"/>
  <c r="DK106" i="1"/>
  <c r="AT67" i="1"/>
  <c r="AS67" i="1"/>
  <c r="BJ67" i="1"/>
  <c r="CH67" i="1"/>
  <c r="DF67" i="1"/>
  <c r="DS105" i="1"/>
  <c r="CU105" i="1"/>
  <c r="EO58" i="1"/>
  <c r="EP58" i="1"/>
  <c r="EK110" i="1"/>
  <c r="EI110" i="1"/>
  <c r="EJ110" i="1"/>
  <c r="EP50" i="1"/>
  <c r="EO50" i="1"/>
  <c r="DK78" i="1"/>
  <c r="ED78" i="1"/>
  <c r="EI78" i="1"/>
  <c r="EJ78" i="1"/>
  <c r="CU69" i="1"/>
  <c r="DS69" i="1"/>
  <c r="EP61" i="1"/>
  <c r="EO61" i="1"/>
  <c r="AT104" i="1"/>
  <c r="AS104" i="1"/>
  <c r="BJ104" i="1"/>
  <c r="CH104" i="1"/>
  <c r="DF104" i="1"/>
  <c r="CU33" i="1"/>
  <c r="DS33" i="1"/>
  <c r="ED45" i="1"/>
  <c r="DK45" i="1"/>
  <c r="EP51" i="1"/>
  <c r="EO51" i="1"/>
  <c r="DK96" i="1"/>
  <c r="ED96" i="1"/>
  <c r="AT82" i="1"/>
  <c r="AS82" i="1"/>
  <c r="BJ82" i="1"/>
  <c r="CH82" i="1"/>
  <c r="DF82" i="1"/>
  <c r="BJ50" i="1"/>
  <c r="CH50" i="1"/>
  <c r="DF50" i="1"/>
  <c r="AT50" i="1"/>
  <c r="AS50" i="1"/>
  <c r="EO33" i="1"/>
  <c r="EP33" i="1"/>
  <c r="DK44" i="1"/>
  <c r="ED44" i="1"/>
  <c r="EO85" i="1"/>
  <c r="EP85" i="1"/>
  <c r="CU106" i="1"/>
  <c r="DS106" i="1"/>
  <c r="DK67" i="1"/>
  <c r="ED67" i="1"/>
  <c r="BJ111" i="1"/>
  <c r="CH111" i="1"/>
  <c r="DF111" i="1"/>
  <c r="AT111" i="1"/>
  <c r="AS111" i="1"/>
  <c r="EO80" i="1"/>
  <c r="EP80" i="1"/>
  <c r="EP35" i="1"/>
  <c r="EO35" i="1"/>
  <c r="CU77" i="1"/>
  <c r="DS77" i="1"/>
  <c r="DK83" i="1"/>
  <c r="ED83" i="1"/>
  <c r="EK32" i="1"/>
  <c r="EI32" i="1"/>
  <c r="EJ32" i="1"/>
  <c r="BJ87" i="1"/>
  <c r="CH87" i="1"/>
  <c r="DF87" i="1"/>
  <c r="AT87" i="1"/>
  <c r="AS87" i="1"/>
  <c r="BJ103" i="1"/>
  <c r="CH103" i="1"/>
  <c r="DF103" i="1"/>
  <c r="AT103" i="1"/>
  <c r="AS103" i="1"/>
  <c r="ED31" i="1"/>
  <c r="DK31" i="1"/>
  <c r="DK104" i="1"/>
  <c r="ED104" i="1"/>
  <c r="ED114" i="1"/>
  <c r="DK114" i="1"/>
  <c r="ED33" i="1"/>
  <c r="DK33" i="1"/>
  <c r="EP65" i="1"/>
  <c r="EO65" i="1"/>
  <c r="EP98" i="1"/>
  <c r="EO98" i="1"/>
  <c r="DS82" i="1"/>
  <c r="EK82" i="1"/>
  <c r="CU82" i="1"/>
  <c r="AT81" i="1"/>
  <c r="AS81" i="1"/>
  <c r="BJ81" i="1"/>
  <c r="CH81" i="1"/>
  <c r="DF81" i="1"/>
  <c r="DS44" i="1"/>
  <c r="CU44" i="1"/>
  <c r="ED39" i="1"/>
  <c r="DK39" i="1"/>
  <c r="EP101" i="1"/>
  <c r="EO101" i="1"/>
  <c r="BJ79" i="1"/>
  <c r="CH79" i="1"/>
  <c r="DF79" i="1"/>
  <c r="AT79" i="1"/>
  <c r="AS79" i="1"/>
  <c r="CU67" i="1"/>
  <c r="DS67" i="1"/>
  <c r="DK105" i="1"/>
  <c r="ED105" i="1"/>
  <c r="BJ77" i="1"/>
  <c r="CH77" i="1"/>
  <c r="DF77" i="1"/>
  <c r="AT77" i="1"/>
  <c r="AS77" i="1"/>
  <c r="CU83" i="1"/>
  <c r="DS83" i="1"/>
  <c r="EO116" i="1"/>
  <c r="EP116" i="1"/>
  <c r="DS87" i="1"/>
  <c r="CU87" i="1"/>
  <c r="ED56" i="1"/>
  <c r="DK56" i="1"/>
  <c r="DK90" i="1"/>
  <c r="ED90" i="1"/>
  <c r="DS29" i="1"/>
  <c r="CU29" i="1"/>
  <c r="EP94" i="1"/>
  <c r="EO94" i="1"/>
  <c r="BJ52" i="1"/>
  <c r="CH52" i="1"/>
  <c r="DF52" i="1"/>
  <c r="AT52" i="1"/>
  <c r="AS52" i="1"/>
  <c r="BJ76" i="1"/>
  <c r="CH76" i="1"/>
  <c r="DF76" i="1"/>
  <c r="AT76" i="1"/>
  <c r="AS76" i="1"/>
  <c r="DK94" i="1"/>
  <c r="ED94" i="1"/>
  <c r="EO78" i="1"/>
  <c r="EP78" i="1"/>
  <c r="DS45" i="1"/>
  <c r="CU45" i="1"/>
  <c r="ED68" i="1"/>
  <c r="DK68" i="1"/>
  <c r="EO106" i="1"/>
  <c r="EP106" i="1"/>
  <c r="EL32" i="1"/>
  <c r="EM32" i="1"/>
  <c r="CU81" i="1"/>
  <c r="DS81" i="1"/>
  <c r="DK66" i="1"/>
  <c r="ED66" i="1"/>
  <c r="BJ39" i="1"/>
  <c r="CH39" i="1"/>
  <c r="DF39" i="1"/>
  <c r="AT39" i="1"/>
  <c r="AS39" i="1"/>
  <c r="ED64" i="1"/>
  <c r="DK64" i="1"/>
  <c r="EP54" i="1"/>
  <c r="EO54" i="1"/>
  <c r="EO59" i="1"/>
  <c r="EP59" i="1"/>
  <c r="ED42" i="1"/>
  <c r="DK42" i="1"/>
  <c r="ED111" i="1"/>
  <c r="DK111" i="1"/>
  <c r="EP88" i="1"/>
  <c r="EO88" i="1"/>
  <c r="CU107" i="1"/>
  <c r="DS107" i="1"/>
  <c r="EO92" i="1"/>
  <c r="EP92" i="1"/>
  <c r="EP86" i="1"/>
  <c r="EO86" i="1"/>
  <c r="CU56" i="1"/>
  <c r="DS56" i="1"/>
  <c r="AT29" i="1"/>
  <c r="AS29" i="1"/>
  <c r="BJ29" i="1"/>
  <c r="CH29" i="1"/>
  <c r="DF29" i="1"/>
  <c r="CU52" i="1"/>
  <c r="DS52" i="1"/>
  <c r="CU76" i="1"/>
  <c r="DS76" i="1"/>
  <c r="EO75" i="1"/>
  <c r="EP75" i="1"/>
  <c r="DS94" i="1"/>
  <c r="CU94" i="1"/>
  <c r="ED109" i="1"/>
  <c r="DK109" i="1"/>
  <c r="BJ45" i="1"/>
  <c r="CH45" i="1"/>
  <c r="DF45" i="1"/>
  <c r="AT45" i="1"/>
  <c r="AS45" i="1"/>
  <c r="EO29" i="1"/>
  <c r="EP29" i="1"/>
  <c r="BJ68" i="1"/>
  <c r="CH68" i="1"/>
  <c r="DF68" i="1"/>
  <c r="AT68" i="1"/>
  <c r="AS68" i="1"/>
  <c r="BJ34" i="1"/>
  <c r="CH34" i="1"/>
  <c r="DF34" i="1"/>
  <c r="AT34" i="1"/>
  <c r="AS34" i="1"/>
  <c r="AT71" i="1"/>
  <c r="AS71" i="1"/>
  <c r="BJ71" i="1"/>
  <c r="CH71" i="1"/>
  <c r="DF71" i="1"/>
  <c r="ED115" i="1"/>
  <c r="DK115" i="1"/>
  <c r="CU66" i="1"/>
  <c r="DS66" i="1"/>
  <c r="DK79" i="1"/>
  <c r="ED79" i="1"/>
  <c r="BJ64" i="1"/>
  <c r="CH64" i="1"/>
  <c r="DF64" i="1"/>
  <c r="AT64" i="1"/>
  <c r="AS64" i="1"/>
  <c r="DK60" i="1"/>
  <c r="ED60" i="1"/>
  <c r="BJ42" i="1"/>
  <c r="CH42" i="1"/>
  <c r="DF42" i="1"/>
  <c r="AT42" i="1"/>
  <c r="AS42" i="1"/>
  <c r="CU111" i="1"/>
  <c r="DS111" i="1"/>
  <c r="BJ58" i="1"/>
  <c r="CH58" i="1"/>
  <c r="DF58" i="1"/>
  <c r="AT58" i="1"/>
  <c r="AS58" i="1"/>
  <c r="BJ107" i="1"/>
  <c r="CH107" i="1"/>
  <c r="DF107" i="1"/>
  <c r="AT107" i="1"/>
  <c r="AS107" i="1"/>
  <c r="DS100" i="1"/>
  <c r="EK100" i="1"/>
  <c r="CU100" i="1"/>
  <c r="DK87" i="1"/>
  <c r="ED87" i="1"/>
  <c r="BJ56" i="1"/>
  <c r="CH56" i="1"/>
  <c r="DF56" i="1"/>
  <c r="AT56" i="1"/>
  <c r="AS56" i="1"/>
  <c r="AT90" i="1"/>
  <c r="AS90" i="1"/>
  <c r="BJ90" i="1"/>
  <c r="CH90" i="1"/>
  <c r="DF90" i="1"/>
  <c r="BJ94" i="1"/>
  <c r="CH94" i="1"/>
  <c r="DF94" i="1"/>
  <c r="AT94" i="1"/>
  <c r="AS94" i="1"/>
  <c r="EP28" i="1"/>
  <c r="EO28" i="1"/>
  <c r="CU109" i="1"/>
  <c r="DS109" i="1"/>
  <c r="DS75" i="1"/>
  <c r="EK75" i="1"/>
  <c r="CU75" i="1"/>
  <c r="DS68" i="1"/>
  <c r="CU68" i="1"/>
  <c r="DS34" i="1"/>
  <c r="EK34" i="1"/>
  <c r="CU34" i="1"/>
  <c r="BJ115" i="1"/>
  <c r="CH115" i="1"/>
  <c r="DF115" i="1"/>
  <c r="AT115" i="1"/>
  <c r="AS115" i="1"/>
  <c r="BJ66" i="1"/>
  <c r="CH66" i="1"/>
  <c r="DF66" i="1"/>
  <c r="AT66" i="1"/>
  <c r="AS66" i="1"/>
  <c r="DS39" i="1"/>
  <c r="CU39" i="1"/>
  <c r="EP110" i="1"/>
  <c r="EO110" i="1"/>
  <c r="CU79" i="1"/>
  <c r="DS79" i="1"/>
  <c r="CU64" i="1"/>
  <c r="DS64" i="1"/>
  <c r="EO36" i="1"/>
  <c r="EP36" i="1"/>
  <c r="CU60" i="1"/>
  <c r="DS60" i="1"/>
  <c r="CU42" i="1"/>
  <c r="DS42" i="1"/>
  <c r="EP68" i="1"/>
  <c r="EO68" i="1"/>
  <c r="AT46" i="1"/>
  <c r="AS46" i="1"/>
  <c r="BJ46" i="1"/>
  <c r="CH46" i="1"/>
  <c r="DF46" i="1"/>
  <c r="ED58" i="1"/>
  <c r="DK58" i="1"/>
  <c r="DK107" i="1"/>
  <c r="ED107" i="1"/>
  <c r="BJ100" i="1"/>
  <c r="CH100" i="1"/>
  <c r="DF100" i="1"/>
  <c r="AT100" i="1"/>
  <c r="AS100" i="1"/>
  <c r="EO104" i="1"/>
  <c r="EP104" i="1"/>
  <c r="BJ80" i="1"/>
  <c r="CH80" i="1"/>
  <c r="DF80" i="1"/>
  <c r="AT80" i="1"/>
  <c r="AS80" i="1"/>
  <c r="ED86" i="1"/>
  <c r="DK86" i="1"/>
  <c r="DS90" i="1"/>
  <c r="EK90" i="1"/>
  <c r="CU90" i="1"/>
  <c r="DK29" i="1"/>
  <c r="ED29" i="1"/>
  <c r="EP55" i="1"/>
  <c r="EO55" i="1"/>
  <c r="DK52" i="1"/>
  <c r="ED52" i="1"/>
  <c r="DK76" i="1"/>
  <c r="ED76" i="1"/>
  <c r="EO83" i="1"/>
  <c r="EP83" i="1"/>
  <c r="AT109" i="1"/>
  <c r="AS109" i="1"/>
  <c r="BJ109" i="1"/>
  <c r="CH109" i="1"/>
  <c r="DF109" i="1"/>
  <c r="EM38" i="1"/>
  <c r="EL38" i="1"/>
  <c r="DK34" i="1"/>
  <c r="ED34" i="1"/>
  <c r="EP84" i="1"/>
  <c r="EO84" i="1"/>
  <c r="ED71" i="1"/>
  <c r="DK71" i="1"/>
  <c r="DS115" i="1"/>
  <c r="CU115" i="1"/>
  <c r="EP81" i="1"/>
  <c r="EO81" i="1"/>
  <c r="CU35" i="1"/>
  <c r="DS35" i="1"/>
  <c r="CU63" i="1"/>
  <c r="DS63" i="1"/>
  <c r="BJ60" i="1"/>
  <c r="CH60" i="1"/>
  <c r="DF60" i="1"/>
  <c r="AT60" i="1"/>
  <c r="AS60" i="1"/>
  <c r="EO73" i="1"/>
  <c r="EP73" i="1"/>
  <c r="DS46" i="1"/>
  <c r="CU46" i="1"/>
  <c r="EO109" i="1"/>
  <c r="EP109" i="1"/>
  <c r="EO117" i="1"/>
  <c r="EP117" i="1"/>
  <c r="CU58" i="1"/>
  <c r="DS58" i="1"/>
  <c r="EO63" i="1"/>
  <c r="EP63" i="1"/>
  <c r="DK100" i="1"/>
  <c r="ED100" i="1"/>
  <c r="EI100" i="1"/>
  <c r="EJ100" i="1"/>
  <c r="DS80" i="1"/>
  <c r="CU80" i="1"/>
  <c r="EP31" i="1"/>
  <c r="EO31" i="1"/>
  <c r="BJ86" i="1"/>
  <c r="CH86" i="1"/>
  <c r="DF86" i="1"/>
  <c r="AT86" i="1"/>
  <c r="AS86" i="1"/>
  <c r="EO32" i="1"/>
  <c r="EP32" i="1"/>
  <c r="CU62" i="1"/>
  <c r="DS62" i="1"/>
  <c r="ED41" i="1"/>
  <c r="DK41" i="1"/>
  <c r="BJ91" i="1"/>
  <c r="CH91" i="1"/>
  <c r="DF91" i="1"/>
  <c r="AT91" i="1"/>
  <c r="AS91" i="1"/>
  <c r="DK43" i="1"/>
  <c r="ED43" i="1"/>
  <c r="ED57" i="1"/>
  <c r="DK57" i="1"/>
  <c r="EL110" i="1"/>
  <c r="EM110" i="1"/>
  <c r="BJ75" i="1"/>
  <c r="CH75" i="1"/>
  <c r="DF75" i="1"/>
  <c r="AT75" i="1"/>
  <c r="AS75" i="1"/>
  <c r="CU61" i="1"/>
  <c r="DS61" i="1"/>
  <c r="BJ73" i="1"/>
  <c r="CH73" i="1"/>
  <c r="DF73" i="1"/>
  <c r="AT73" i="1"/>
  <c r="AS73" i="1"/>
  <c r="DS71" i="1"/>
  <c r="CU71" i="1"/>
  <c r="CU36" i="1"/>
  <c r="DS36" i="1"/>
  <c r="EP97" i="1"/>
  <c r="EO97" i="1"/>
  <c r="BJ63" i="1"/>
  <c r="CH63" i="1"/>
  <c r="DF63" i="1"/>
  <c r="AT63" i="1"/>
  <c r="AS63" i="1"/>
  <c r="EO67" i="1"/>
  <c r="EP67" i="1"/>
  <c r="BJ99" i="1"/>
  <c r="CH99" i="1"/>
  <c r="DF99" i="1"/>
  <c r="AT99" i="1"/>
  <c r="AS99" i="1"/>
  <c r="EP52" i="1"/>
  <c r="EO52" i="1"/>
  <c r="BJ72" i="1"/>
  <c r="CH72" i="1"/>
  <c r="DF72" i="1"/>
  <c r="AT72" i="1"/>
  <c r="AS72" i="1"/>
  <c r="EK38" i="1"/>
  <c r="EI38" i="1"/>
  <c r="EJ38" i="1"/>
  <c r="BJ93" i="1"/>
  <c r="CH93" i="1"/>
  <c r="DF93" i="1"/>
  <c r="AT93" i="1"/>
  <c r="AS93" i="1"/>
  <c r="ED80" i="1"/>
  <c r="DK80" i="1"/>
  <c r="DS86" i="1"/>
  <c r="CU86" i="1"/>
  <c r="EP57" i="1"/>
  <c r="EO57" i="1"/>
  <c r="BJ62" i="1"/>
  <c r="CH62" i="1"/>
  <c r="DF62" i="1"/>
  <c r="AT62" i="1"/>
  <c r="AS62" i="1"/>
  <c r="EP42" i="1"/>
  <c r="EO42" i="1"/>
  <c r="CU91" i="1"/>
  <c r="DS91" i="1"/>
  <c r="CU43" i="1"/>
  <c r="DS43" i="1"/>
  <c r="DK75" i="1"/>
  <c r="ED75" i="1"/>
  <c r="ED61" i="1"/>
  <c r="DK61" i="1"/>
  <c r="EP44" i="1"/>
  <c r="EO44" i="1"/>
  <c r="DK112" i="1"/>
  <c r="ED112" i="1"/>
  <c r="EO64" i="1"/>
  <c r="EP64" i="1"/>
  <c r="DK36" i="1"/>
  <c r="ED36" i="1"/>
  <c r="ED35" i="1"/>
  <c r="DK35" i="1"/>
  <c r="DS99" i="1"/>
  <c r="EK99" i="1"/>
  <c r="CU99" i="1"/>
  <c r="ED88" i="1"/>
  <c r="DK88" i="1"/>
  <c r="CU26" i="1"/>
  <c r="DS26" i="1"/>
  <c r="ED46" i="1"/>
  <c r="DK46" i="1"/>
  <c r="BZ16" i="3"/>
  <c r="BE21" i="3"/>
  <c r="BE22" i="3"/>
  <c r="AV21" i="3"/>
  <c r="BV21" i="3"/>
  <c r="AT24" i="3"/>
  <c r="AT22" i="3"/>
  <c r="BF22" i="3"/>
  <c r="AW21" i="3"/>
  <c r="AU21" i="3"/>
  <c r="BI21" i="3"/>
  <c r="BW21" i="3"/>
  <c r="CA21" i="3"/>
  <c r="AX21" i="3"/>
  <c r="BE23" i="3"/>
  <c r="AY19" i="3"/>
  <c r="BM19" i="3"/>
  <c r="AZ18" i="3"/>
  <c r="BN18" i="3"/>
  <c r="AZ19" i="3"/>
  <c r="BN19" i="3"/>
  <c r="BJ18" i="3"/>
  <c r="BX18" i="3"/>
  <c r="CB18" i="3"/>
  <c r="CB19" i="3"/>
  <c r="AV19" i="3"/>
  <c r="BL19" i="3"/>
  <c r="AX19" i="3"/>
  <c r="AT20" i="3"/>
  <c r="AW19" i="3"/>
  <c r="AU19" i="3"/>
  <c r="BI19" i="3"/>
  <c r="BW19" i="3"/>
  <c r="BL18" i="3"/>
  <c r="BD19" i="3"/>
  <c r="BR19" i="3"/>
  <c r="AW17" i="3"/>
  <c r="AX17" i="3"/>
  <c r="BV17" i="3"/>
  <c r="AU17" i="3"/>
  <c r="BI17" i="3"/>
  <c r="BW17" i="3"/>
  <c r="BZ18" i="3"/>
  <c r="CD18" i="3"/>
  <c r="CD19" i="3"/>
  <c r="BT19" i="3"/>
  <c r="BH19" i="3"/>
  <c r="BV19" i="3"/>
  <c r="BB18" i="3"/>
  <c r="BI18" i="3"/>
  <c r="BW18" i="3"/>
  <c r="CA18" i="3"/>
  <c r="CA19" i="3"/>
  <c r="BK16" i="3"/>
  <c r="BY16" i="3"/>
  <c r="BS20" i="3"/>
  <c r="BG20" i="3"/>
  <c r="BS19" i="3"/>
  <c r="BG19" i="3"/>
  <c r="BU19" i="3"/>
  <c r="BS18" i="3"/>
  <c r="BG18" i="3"/>
  <c r="BU18" i="3"/>
  <c r="BU20" i="3"/>
  <c r="BC18" i="3"/>
  <c r="BQ18" i="3"/>
  <c r="AY18" i="3"/>
  <c r="BM18" i="3"/>
  <c r="BY18" i="3"/>
  <c r="CC18" i="3"/>
  <c r="CC19" i="3"/>
  <c r="BK18" i="3"/>
  <c r="CD15" i="3"/>
  <c r="CD16" i="3"/>
  <c r="CB15" i="3"/>
  <c r="CB16" i="3"/>
  <c r="DS14" i="1"/>
  <c r="HD18" i="1"/>
  <c r="HJ18" i="1"/>
  <c r="BJ14" i="1"/>
  <c r="CH14" i="1"/>
  <c r="DF14" i="1"/>
  <c r="AA14" i="1"/>
  <c r="AB14" i="1"/>
  <c r="HD15" i="1"/>
  <c r="HJ15" i="1"/>
  <c r="EI25" i="1"/>
  <c r="EJ25" i="1"/>
  <c r="BJ8" i="1"/>
  <c r="CH8" i="1"/>
  <c r="DF8" i="1"/>
  <c r="AA8" i="1"/>
  <c r="AB8" i="1"/>
  <c r="AT8" i="1"/>
  <c r="AS8" i="1"/>
  <c r="BJ9" i="1"/>
  <c r="CH9" i="1"/>
  <c r="DF9" i="1"/>
  <c r="AA9" i="1"/>
  <c r="AB9" i="1"/>
  <c r="AT9" i="1"/>
  <c r="AS9" i="1"/>
  <c r="BJ10" i="1"/>
  <c r="CH10" i="1"/>
  <c r="DF10" i="1"/>
  <c r="AA10" i="1"/>
  <c r="AB10" i="1"/>
  <c r="AT10" i="1"/>
  <c r="AS10" i="1"/>
  <c r="BJ7" i="1"/>
  <c r="CH7" i="1"/>
  <c r="DF7" i="1"/>
  <c r="AA7" i="1"/>
  <c r="AB7" i="1"/>
  <c r="AT7" i="1"/>
  <c r="AS7" i="1"/>
  <c r="HE18" i="1"/>
  <c r="HK18" i="1"/>
  <c r="HA18" i="1"/>
  <c r="HH18" i="1"/>
  <c r="HC18" i="1"/>
  <c r="HI18" i="1"/>
  <c r="DK9" i="1"/>
  <c r="EL9" i="1"/>
  <c r="CU3" i="1"/>
  <c r="CU15" i="1"/>
  <c r="HE14" i="1"/>
  <c r="HK14" i="1"/>
  <c r="DK4" i="1"/>
  <c r="GU4" i="1"/>
  <c r="DK15" i="1"/>
  <c r="EL15" i="1"/>
  <c r="AY13" i="1"/>
  <c r="BW13" i="1"/>
  <c r="ED14" i="1"/>
  <c r="BJ11" i="1"/>
  <c r="CH11" i="1"/>
  <c r="DF11" i="1"/>
  <c r="AA11" i="1"/>
  <c r="AB11" i="1"/>
  <c r="AY9" i="1"/>
  <c r="BW9" i="1"/>
  <c r="AY12" i="1"/>
  <c r="BW12" i="1"/>
  <c r="AY10" i="1"/>
  <c r="BW10" i="1"/>
  <c r="CU24" i="1"/>
  <c r="DS24" i="1"/>
  <c r="DS22" i="1"/>
  <c r="CU22" i="1"/>
  <c r="AY17" i="1"/>
  <c r="BW17" i="1"/>
  <c r="CU17" i="1"/>
  <c r="BO7" i="1"/>
  <c r="CM7" i="1"/>
  <c r="BO11" i="1"/>
  <c r="CM11" i="1"/>
  <c r="DK11" i="1"/>
  <c r="EM11" i="1"/>
  <c r="BJ5" i="1"/>
  <c r="CH5" i="1"/>
  <c r="DF5" i="1"/>
  <c r="AA5" i="1"/>
  <c r="AB5" i="1"/>
  <c r="AY5" i="1"/>
  <c r="BW5" i="1"/>
  <c r="DK3" i="1"/>
  <c r="EM3" i="1"/>
  <c r="BJ13" i="1"/>
  <c r="CH13" i="1"/>
  <c r="DF13" i="1"/>
  <c r="AA13" i="1"/>
  <c r="AB13" i="1"/>
  <c r="AY11" i="1"/>
  <c r="BW11" i="1"/>
  <c r="BO12" i="1"/>
  <c r="CM12" i="1"/>
  <c r="AY8" i="1"/>
  <c r="BW8" i="1"/>
  <c r="BO17" i="1"/>
  <c r="CM17" i="1"/>
  <c r="ED17" i="1"/>
  <c r="BO5" i="1"/>
  <c r="CM5" i="1"/>
  <c r="BO8" i="1"/>
  <c r="CM8" i="1"/>
  <c r="ED8" i="1"/>
  <c r="BO13" i="1"/>
  <c r="CM13" i="1"/>
  <c r="ED13" i="1"/>
  <c r="BO10" i="1"/>
  <c r="CM10" i="1"/>
  <c r="DK10" i="1"/>
  <c r="CU23" i="1"/>
  <c r="DS23" i="1"/>
  <c r="EV18" i="1"/>
  <c r="FH18" i="1"/>
  <c r="GH18" i="1"/>
  <c r="GF18" i="1"/>
  <c r="FB18" i="1"/>
  <c r="FA18" i="1"/>
  <c r="GC18" i="1"/>
  <c r="EY18" i="1"/>
  <c r="FK18" i="1"/>
  <c r="EW18" i="1"/>
  <c r="EU18" i="1"/>
  <c r="ET18" i="1"/>
  <c r="ES18" i="1"/>
  <c r="EZ18" i="1"/>
  <c r="GI18" i="1"/>
  <c r="GM18" i="1"/>
  <c r="GL18" i="1"/>
  <c r="EX18" i="1"/>
  <c r="ER18" i="1"/>
  <c r="GG18" i="1"/>
  <c r="GS18" i="1"/>
  <c r="GE18" i="1"/>
  <c r="GD18" i="1"/>
  <c r="GK18" i="1"/>
  <c r="GJ18" i="1"/>
  <c r="GV18" i="1"/>
  <c r="ET25" i="1"/>
  <c r="FF25" i="1"/>
  <c r="EX25" i="1"/>
  <c r="FB25" i="1"/>
  <c r="FN25" i="1"/>
  <c r="GE25" i="1"/>
  <c r="GQ25" i="1"/>
  <c r="GI25" i="1"/>
  <c r="GM25" i="1"/>
  <c r="GY25" i="1"/>
  <c r="ER25" i="1"/>
  <c r="FD25" i="1"/>
  <c r="EW25" i="1"/>
  <c r="FI25" i="1"/>
  <c r="GG25" i="1"/>
  <c r="GS25" i="1"/>
  <c r="GL25" i="1"/>
  <c r="ES25" i="1"/>
  <c r="EY25" i="1"/>
  <c r="FK25" i="1"/>
  <c r="GC25" i="1"/>
  <c r="GO25" i="1"/>
  <c r="GH25" i="1"/>
  <c r="GT25" i="1"/>
  <c r="EZ25" i="1"/>
  <c r="GD25" i="1"/>
  <c r="FA25" i="1"/>
  <c r="GF25" i="1"/>
  <c r="GR25" i="1"/>
  <c r="EU25" i="1"/>
  <c r="FG25" i="1"/>
  <c r="GJ25" i="1"/>
  <c r="GV25" i="1"/>
  <c r="EV25" i="1"/>
  <c r="FH25" i="1"/>
  <c r="GK25" i="1"/>
  <c r="ES21" i="1"/>
  <c r="EW21" i="1"/>
  <c r="FI21" i="1"/>
  <c r="FA21" i="1"/>
  <c r="FM21" i="1"/>
  <c r="GD21" i="1"/>
  <c r="GH21" i="1"/>
  <c r="GT21" i="1"/>
  <c r="GL21" i="1"/>
  <c r="GX21" i="1"/>
  <c r="EV21" i="1"/>
  <c r="FH21" i="1"/>
  <c r="FB21" i="1"/>
  <c r="FN21" i="1"/>
  <c r="GF21" i="1"/>
  <c r="GR21" i="1"/>
  <c r="GK21" i="1"/>
  <c r="ER21" i="1"/>
  <c r="FD21" i="1"/>
  <c r="EX21" i="1"/>
  <c r="GG21" i="1"/>
  <c r="GS21" i="1"/>
  <c r="GM21" i="1"/>
  <c r="GY21" i="1"/>
  <c r="ET21" i="1"/>
  <c r="FF21" i="1"/>
  <c r="EY21" i="1"/>
  <c r="FK21" i="1"/>
  <c r="GC21" i="1"/>
  <c r="GO21" i="1"/>
  <c r="GI21" i="1"/>
  <c r="EU21" i="1"/>
  <c r="FG21" i="1"/>
  <c r="GJ21" i="1"/>
  <c r="GV21" i="1"/>
  <c r="EZ21" i="1"/>
  <c r="GE21" i="1"/>
  <c r="GQ21" i="1"/>
  <c r="J5" i="13"/>
  <c r="J7" i="13"/>
  <c r="J3" i="13"/>
  <c r="J9" i="13"/>
  <c r="J6" i="13"/>
  <c r="J8" i="13"/>
  <c r="J4" i="13"/>
  <c r="J10" i="13"/>
  <c r="CU7" i="1"/>
  <c r="HD16" i="1"/>
  <c r="HJ16" i="1"/>
  <c r="EK15" i="1"/>
  <c r="EX15" i="1"/>
  <c r="EK7" i="1"/>
  <c r="GE7" i="1"/>
  <c r="GQ7" i="1"/>
  <c r="EI3" i="1"/>
  <c r="EJ3" i="1"/>
  <c r="EI15" i="1"/>
  <c r="EJ15" i="1"/>
  <c r="EK3" i="1"/>
  <c r="GD3" i="1"/>
  <c r="EJ4" i="1"/>
  <c r="EJ6" i="1"/>
  <c r="P4" i="3"/>
  <c r="AE4" i="3"/>
  <c r="HE15" i="1"/>
  <c r="HK15" i="1"/>
  <c r="AC4" i="3"/>
  <c r="ET6" i="1"/>
  <c r="FF6" i="1"/>
  <c r="GI6" i="1"/>
  <c r="FA6" i="1"/>
  <c r="ES6" i="1"/>
  <c r="FE6" i="1"/>
  <c r="FB6" i="1"/>
  <c r="FN6" i="1"/>
  <c r="GG6" i="1"/>
  <c r="GS6" i="1"/>
  <c r="EV6" i="1"/>
  <c r="FH6" i="1"/>
  <c r="EU6" i="1"/>
  <c r="FG6" i="1"/>
  <c r="GH6" i="1"/>
  <c r="EW6" i="1"/>
  <c r="GL6" i="1"/>
  <c r="GD6" i="1"/>
  <c r="GP6" i="1"/>
  <c r="GC6" i="1"/>
  <c r="GO6" i="1"/>
  <c r="GM6" i="1"/>
  <c r="GY6" i="1"/>
  <c r="GF6" i="1"/>
  <c r="GR6" i="1"/>
  <c r="GK6" i="1"/>
  <c r="GW6" i="1"/>
  <c r="EX6" i="1"/>
  <c r="ER6" i="1"/>
  <c r="FD6" i="1"/>
  <c r="GE6" i="1"/>
  <c r="GQ6" i="1"/>
  <c r="EZ6" i="1"/>
  <c r="FL6" i="1"/>
  <c r="EY6" i="1"/>
  <c r="FK6" i="1"/>
  <c r="GJ6" i="1"/>
  <c r="GV6" i="1"/>
  <c r="FQ6" i="1"/>
  <c r="FP6" i="1"/>
  <c r="EK14" i="1"/>
  <c r="EM14" i="1"/>
  <c r="EL14" i="1"/>
  <c r="GD4" i="1"/>
  <c r="GH4" i="1"/>
  <c r="GI4" i="1"/>
  <c r="EW4" i="1"/>
  <c r="EX4" i="1"/>
  <c r="GJ4" i="1"/>
  <c r="GV4" i="1"/>
  <c r="GC4" i="1"/>
  <c r="GO4" i="1"/>
  <c r="EY4" i="1"/>
  <c r="FK4" i="1"/>
  <c r="EV4" i="1"/>
  <c r="GL4" i="1"/>
  <c r="GG4" i="1"/>
  <c r="GF4" i="1"/>
  <c r="GR4" i="1"/>
  <c r="GK4" i="1"/>
  <c r="GW4" i="1"/>
  <c r="ES4" i="1"/>
  <c r="ET4" i="1"/>
  <c r="FF4" i="1"/>
  <c r="GM4" i="1"/>
  <c r="GY4" i="1"/>
  <c r="GE4" i="1"/>
  <c r="GQ4" i="1"/>
  <c r="ER4" i="1"/>
  <c r="FD4" i="1"/>
  <c r="EZ4" i="1"/>
  <c r="FL4" i="1"/>
  <c r="EU4" i="1"/>
  <c r="FG4" i="1"/>
  <c r="FA4" i="1"/>
  <c r="FB4" i="1"/>
  <c r="FN4" i="1"/>
  <c r="EI14" i="1"/>
  <c r="EJ14" i="1"/>
  <c r="EM37" i="1"/>
  <c r="EL37" i="1"/>
  <c r="EI37" i="1"/>
  <c r="EJ37" i="1"/>
  <c r="EK37" i="1"/>
  <c r="EL98" i="1"/>
  <c r="EM98" i="1"/>
  <c r="EM102" i="1"/>
  <c r="EL102" i="1"/>
  <c r="EI26" i="1"/>
  <c r="EJ26" i="1"/>
  <c r="EK26" i="1"/>
  <c r="EL61" i="1"/>
  <c r="EM61" i="1"/>
  <c r="EM80" i="1"/>
  <c r="EL80" i="1"/>
  <c r="EK63" i="1"/>
  <c r="EI63" i="1"/>
  <c r="EJ63" i="1"/>
  <c r="EK60" i="1"/>
  <c r="EI60" i="1"/>
  <c r="EJ60" i="1"/>
  <c r="EL109" i="1"/>
  <c r="EM109" i="1"/>
  <c r="EM31" i="1"/>
  <c r="EL31" i="1"/>
  <c r="EM103" i="1"/>
  <c r="EL103" i="1"/>
  <c r="EM85" i="1"/>
  <c r="EL85" i="1"/>
  <c r="EM65" i="1"/>
  <c r="EL65" i="1"/>
  <c r="EM91" i="1"/>
  <c r="EL91" i="1"/>
  <c r="EL43" i="1"/>
  <c r="EM43" i="1"/>
  <c r="EL100" i="1"/>
  <c r="EM100" i="1"/>
  <c r="EZ34" i="1"/>
  <c r="FL34" i="1"/>
  <c r="GC34" i="1"/>
  <c r="GO34" i="1"/>
  <c r="GK34" i="1"/>
  <c r="GW34" i="1"/>
  <c r="ES34" i="1"/>
  <c r="FE34" i="1"/>
  <c r="EU34" i="1"/>
  <c r="FG34" i="1"/>
  <c r="GL34" i="1"/>
  <c r="GX34" i="1"/>
  <c r="EW34" i="1"/>
  <c r="FI34" i="1"/>
  <c r="GF34" i="1"/>
  <c r="GR34" i="1"/>
  <c r="FA34" i="1"/>
  <c r="FM34" i="1"/>
  <c r="EY34" i="1"/>
  <c r="FK34" i="1"/>
  <c r="GD34" i="1"/>
  <c r="GP34" i="1"/>
  <c r="GJ34" i="1"/>
  <c r="GV34" i="1"/>
  <c r="GH34" i="1"/>
  <c r="GT34" i="1"/>
  <c r="EV34" i="1"/>
  <c r="GG34" i="1"/>
  <c r="ET34" i="1"/>
  <c r="FF34" i="1"/>
  <c r="EX34" i="1"/>
  <c r="FJ34" i="1"/>
  <c r="FB34" i="1"/>
  <c r="FN34" i="1"/>
  <c r="GE34" i="1"/>
  <c r="GQ34" i="1"/>
  <c r="GI34" i="1"/>
  <c r="GU34" i="1"/>
  <c r="GM34" i="1"/>
  <c r="GY34" i="1"/>
  <c r="ER34" i="1"/>
  <c r="FD34" i="1"/>
  <c r="EM87" i="1"/>
  <c r="EL87" i="1"/>
  <c r="EL79" i="1"/>
  <c r="EM79" i="1"/>
  <c r="EL94" i="1"/>
  <c r="EM94" i="1"/>
  <c r="EI44" i="1"/>
  <c r="EJ44" i="1"/>
  <c r="EK44" i="1"/>
  <c r="EL78" i="1"/>
  <c r="EM78" i="1"/>
  <c r="EM113" i="1"/>
  <c r="EL113" i="1"/>
  <c r="EX116" i="1"/>
  <c r="FJ116" i="1"/>
  <c r="GL116" i="1"/>
  <c r="GX116" i="1"/>
  <c r="FB116" i="1"/>
  <c r="FN116" i="1"/>
  <c r="EW116" i="1"/>
  <c r="FI116" i="1"/>
  <c r="GE116" i="1"/>
  <c r="GQ116" i="1"/>
  <c r="GH116" i="1"/>
  <c r="GT116" i="1"/>
  <c r="GI116" i="1"/>
  <c r="GU116" i="1"/>
  <c r="ES116" i="1"/>
  <c r="FE116" i="1"/>
  <c r="GG116" i="1"/>
  <c r="GM116" i="1"/>
  <c r="GY116" i="1"/>
  <c r="GD116" i="1"/>
  <c r="GP116" i="1"/>
  <c r="EU116" i="1"/>
  <c r="FG116" i="1"/>
  <c r="EY116" i="1"/>
  <c r="FK116" i="1"/>
  <c r="GF116" i="1"/>
  <c r="GR116" i="1"/>
  <c r="GJ116" i="1"/>
  <c r="GV116" i="1"/>
  <c r="ER116" i="1"/>
  <c r="FD116" i="1"/>
  <c r="EV116" i="1"/>
  <c r="EZ116" i="1"/>
  <c r="FL116" i="1"/>
  <c r="GC116" i="1"/>
  <c r="GO116" i="1"/>
  <c r="ET116" i="1"/>
  <c r="FF116" i="1"/>
  <c r="FS116" i="1"/>
  <c r="FY116" i="1"/>
  <c r="GK116" i="1"/>
  <c r="GW116" i="1"/>
  <c r="FA116" i="1"/>
  <c r="FM116" i="1"/>
  <c r="ER51" i="1"/>
  <c r="FD51" i="1"/>
  <c r="ET51" i="1"/>
  <c r="FF51" i="1"/>
  <c r="FR51" i="1"/>
  <c r="FX51" i="1"/>
  <c r="EV51" i="1"/>
  <c r="GE51" i="1"/>
  <c r="GQ51" i="1"/>
  <c r="EZ51" i="1"/>
  <c r="FL51" i="1"/>
  <c r="FB51" i="1"/>
  <c r="FN51" i="1"/>
  <c r="GC51" i="1"/>
  <c r="GO51" i="1"/>
  <c r="GM51" i="1"/>
  <c r="GY51" i="1"/>
  <c r="GG51" i="1"/>
  <c r="FA51" i="1"/>
  <c r="FM51" i="1"/>
  <c r="GK51" i="1"/>
  <c r="GW51" i="1"/>
  <c r="GL51" i="1"/>
  <c r="GX51" i="1"/>
  <c r="EU51" i="1"/>
  <c r="FG51" i="1"/>
  <c r="EY51" i="1"/>
  <c r="FK51" i="1"/>
  <c r="GF51" i="1"/>
  <c r="GR51" i="1"/>
  <c r="GJ51" i="1"/>
  <c r="GV51" i="1"/>
  <c r="EX51" i="1"/>
  <c r="FJ51" i="1"/>
  <c r="GI51" i="1"/>
  <c r="GU51" i="1"/>
  <c r="EW51" i="1"/>
  <c r="FI51" i="1"/>
  <c r="ES51" i="1"/>
  <c r="FE51" i="1"/>
  <c r="GD51" i="1"/>
  <c r="GP51" i="1"/>
  <c r="GH51" i="1"/>
  <c r="GT51" i="1"/>
  <c r="EI113" i="1"/>
  <c r="EJ113" i="1"/>
  <c r="EK113" i="1"/>
  <c r="EM53" i="1"/>
  <c r="EL53" i="1"/>
  <c r="EL97" i="1"/>
  <c r="EM97" i="1"/>
  <c r="EM72" i="1"/>
  <c r="EL72" i="1"/>
  <c r="EM108" i="1"/>
  <c r="EL108" i="1"/>
  <c r="EM46" i="1"/>
  <c r="EL46" i="1"/>
  <c r="EL104" i="1"/>
  <c r="EM104" i="1"/>
  <c r="EM88" i="1"/>
  <c r="EL88" i="1"/>
  <c r="EI75" i="1"/>
  <c r="EJ75" i="1"/>
  <c r="EK36" i="1"/>
  <c r="EI36" i="1"/>
  <c r="EJ36" i="1"/>
  <c r="EI35" i="1"/>
  <c r="EJ35" i="1"/>
  <c r="EK35" i="1"/>
  <c r="EI66" i="1"/>
  <c r="EJ66" i="1"/>
  <c r="EK66" i="1"/>
  <c r="EI107" i="1"/>
  <c r="EJ107" i="1"/>
  <c r="EK107" i="1"/>
  <c r="EI83" i="1"/>
  <c r="EJ83" i="1"/>
  <c r="EK83" i="1"/>
  <c r="EM69" i="1"/>
  <c r="EL69" i="1"/>
  <c r="EM118" i="1"/>
  <c r="EL118" i="1"/>
  <c r="EK50" i="1"/>
  <c r="EI50" i="1"/>
  <c r="EJ50" i="1"/>
  <c r="EK118" i="1"/>
  <c r="EI118" i="1"/>
  <c r="EJ118" i="1"/>
  <c r="EK102" i="1"/>
  <c r="EI102" i="1"/>
  <c r="EJ102" i="1"/>
  <c r="EI95" i="1"/>
  <c r="EJ95" i="1"/>
  <c r="EK95" i="1"/>
  <c r="EI49" i="1"/>
  <c r="EJ49" i="1"/>
  <c r="EK49" i="1"/>
  <c r="EM49" i="1"/>
  <c r="EL49" i="1"/>
  <c r="EL86" i="1"/>
  <c r="EM86" i="1"/>
  <c r="EI80" i="1"/>
  <c r="EJ80" i="1"/>
  <c r="EK80" i="1"/>
  <c r="EM75" i="1"/>
  <c r="EL75" i="1"/>
  <c r="EK68" i="1"/>
  <c r="EI68" i="1"/>
  <c r="EJ68" i="1"/>
  <c r="GG100" i="1"/>
  <c r="EW100" i="1"/>
  <c r="FI100" i="1"/>
  <c r="GH100" i="1"/>
  <c r="GT100" i="1"/>
  <c r="EU100" i="1"/>
  <c r="FG100" i="1"/>
  <c r="FA100" i="1"/>
  <c r="FM100" i="1"/>
  <c r="EY100" i="1"/>
  <c r="FK100" i="1"/>
  <c r="GL100" i="1"/>
  <c r="GX100" i="1"/>
  <c r="GF100" i="1"/>
  <c r="GR100" i="1"/>
  <c r="ER100" i="1"/>
  <c r="FD100" i="1"/>
  <c r="GE100" i="1"/>
  <c r="GQ100" i="1"/>
  <c r="GJ100" i="1"/>
  <c r="GV100" i="1"/>
  <c r="FB100" i="1"/>
  <c r="FN100" i="1"/>
  <c r="FT100" i="1"/>
  <c r="FZ100" i="1"/>
  <c r="ES100" i="1"/>
  <c r="FE100" i="1"/>
  <c r="GC100" i="1"/>
  <c r="GO100" i="1"/>
  <c r="EX100" i="1"/>
  <c r="FJ100" i="1"/>
  <c r="GM100" i="1"/>
  <c r="GY100" i="1"/>
  <c r="GD100" i="1"/>
  <c r="GP100" i="1"/>
  <c r="GI100" i="1"/>
  <c r="GU100" i="1"/>
  <c r="EV100" i="1"/>
  <c r="ET100" i="1"/>
  <c r="FF100" i="1"/>
  <c r="GK100" i="1"/>
  <c r="GW100" i="1"/>
  <c r="EZ100" i="1"/>
  <c r="FL100" i="1"/>
  <c r="EK94" i="1"/>
  <c r="EI94" i="1"/>
  <c r="EJ94" i="1"/>
  <c r="EM66" i="1"/>
  <c r="EL66" i="1"/>
  <c r="EL67" i="1"/>
  <c r="EM67" i="1"/>
  <c r="EL96" i="1"/>
  <c r="EM96" i="1"/>
  <c r="EL74" i="1"/>
  <c r="EM74" i="1"/>
  <c r="EI89" i="1"/>
  <c r="EJ89" i="1"/>
  <c r="EK89" i="1"/>
  <c r="EM89" i="1"/>
  <c r="EL89" i="1"/>
  <c r="EI86" i="1"/>
  <c r="EJ86" i="1"/>
  <c r="EK86" i="1"/>
  <c r="EM73" i="1"/>
  <c r="EL73" i="1"/>
  <c r="EI43" i="1"/>
  <c r="EJ43" i="1"/>
  <c r="EK43" i="1"/>
  <c r="EM41" i="1"/>
  <c r="EL41" i="1"/>
  <c r="EK58" i="1"/>
  <c r="EI58" i="1"/>
  <c r="EJ58" i="1"/>
  <c r="EI64" i="1"/>
  <c r="EJ64" i="1"/>
  <c r="EK64" i="1"/>
  <c r="EL115" i="1"/>
  <c r="EM115" i="1"/>
  <c r="EK81" i="1"/>
  <c r="EI81" i="1"/>
  <c r="EJ81" i="1"/>
  <c r="EI106" i="1"/>
  <c r="EJ106" i="1"/>
  <c r="EK106" i="1"/>
  <c r="FS51" i="1"/>
  <c r="FY51" i="1"/>
  <c r="GF78" i="1"/>
  <c r="GR78" i="1"/>
  <c r="GC78" i="1"/>
  <c r="GO78" i="1"/>
  <c r="EY78" i="1"/>
  <c r="FK78" i="1"/>
  <c r="GJ78" i="1"/>
  <c r="GV78" i="1"/>
  <c r="GH78" i="1"/>
  <c r="GT78" i="1"/>
  <c r="EU78" i="1"/>
  <c r="FG78" i="1"/>
  <c r="ES78" i="1"/>
  <c r="FE78" i="1"/>
  <c r="ER78" i="1"/>
  <c r="FD78" i="1"/>
  <c r="EW78" i="1"/>
  <c r="FI78" i="1"/>
  <c r="EX78" i="1"/>
  <c r="FJ78" i="1"/>
  <c r="GM78" i="1"/>
  <c r="GY78" i="1"/>
  <c r="FB78" i="1"/>
  <c r="FN78" i="1"/>
  <c r="GD78" i="1"/>
  <c r="GP78" i="1"/>
  <c r="GI78" i="1"/>
  <c r="GU78" i="1"/>
  <c r="ET78" i="1"/>
  <c r="FF78" i="1"/>
  <c r="EZ78" i="1"/>
  <c r="FL78" i="1"/>
  <c r="GE78" i="1"/>
  <c r="GQ78" i="1"/>
  <c r="GK78" i="1"/>
  <c r="GW78" i="1"/>
  <c r="EV78" i="1"/>
  <c r="GL78" i="1"/>
  <c r="GX78" i="1"/>
  <c r="FA78" i="1"/>
  <c r="FM78" i="1"/>
  <c r="GG78" i="1"/>
  <c r="EM59" i="1"/>
  <c r="EL59" i="1"/>
  <c r="EK101" i="1"/>
  <c r="EI101" i="1"/>
  <c r="EJ101" i="1"/>
  <c r="EI116" i="1"/>
  <c r="EJ116" i="1"/>
  <c r="EM95" i="1"/>
  <c r="EL95" i="1"/>
  <c r="EK41" i="1"/>
  <c r="EI41" i="1"/>
  <c r="EJ41" i="1"/>
  <c r="GK99" i="1"/>
  <c r="GW99" i="1"/>
  <c r="GD99" i="1"/>
  <c r="GP99" i="1"/>
  <c r="ET99" i="1"/>
  <c r="FF99" i="1"/>
  <c r="EY99" i="1"/>
  <c r="FK99" i="1"/>
  <c r="GE99" i="1"/>
  <c r="GQ99" i="1"/>
  <c r="GJ99" i="1"/>
  <c r="GV99" i="1"/>
  <c r="EU99" i="1"/>
  <c r="FG99" i="1"/>
  <c r="FA99" i="1"/>
  <c r="FM99" i="1"/>
  <c r="GF99" i="1"/>
  <c r="GR99" i="1"/>
  <c r="GL99" i="1"/>
  <c r="GX99" i="1"/>
  <c r="EW99" i="1"/>
  <c r="FI99" i="1"/>
  <c r="GH99" i="1"/>
  <c r="GT99" i="1"/>
  <c r="ER99" i="1"/>
  <c r="FD99" i="1"/>
  <c r="EX99" i="1"/>
  <c r="FJ99" i="1"/>
  <c r="FB99" i="1"/>
  <c r="FN99" i="1"/>
  <c r="EV99" i="1"/>
  <c r="GI99" i="1"/>
  <c r="GU99" i="1"/>
  <c r="EZ99" i="1"/>
  <c r="FL99" i="1"/>
  <c r="GC99" i="1"/>
  <c r="GO99" i="1"/>
  <c r="ES99" i="1"/>
  <c r="FE99" i="1"/>
  <c r="GG99" i="1"/>
  <c r="GM99" i="1"/>
  <c r="GY99" i="1"/>
  <c r="EZ38" i="1"/>
  <c r="FL38" i="1"/>
  <c r="GK38" i="1"/>
  <c r="GW38" i="1"/>
  <c r="FB38" i="1"/>
  <c r="FN38" i="1"/>
  <c r="GM38" i="1"/>
  <c r="GY38" i="1"/>
  <c r="EV38" i="1"/>
  <c r="GG38" i="1"/>
  <c r="GF38" i="1"/>
  <c r="GR38" i="1"/>
  <c r="GH38" i="1"/>
  <c r="GT38" i="1"/>
  <c r="ES38" i="1"/>
  <c r="FE38" i="1"/>
  <c r="EU38" i="1"/>
  <c r="FG38" i="1"/>
  <c r="EW38" i="1"/>
  <c r="FI38" i="1"/>
  <c r="FA38" i="1"/>
  <c r="FM38" i="1"/>
  <c r="GJ38" i="1"/>
  <c r="GV38" i="1"/>
  <c r="ET38" i="1"/>
  <c r="FF38" i="1"/>
  <c r="GD38" i="1"/>
  <c r="GP38" i="1"/>
  <c r="EY38" i="1"/>
  <c r="FK38" i="1"/>
  <c r="GL38" i="1"/>
  <c r="GX38" i="1"/>
  <c r="ER38" i="1"/>
  <c r="FD38" i="1"/>
  <c r="GE38" i="1"/>
  <c r="GQ38" i="1"/>
  <c r="GC38" i="1"/>
  <c r="GO38" i="1"/>
  <c r="EX38" i="1"/>
  <c r="FJ38" i="1"/>
  <c r="GI38" i="1"/>
  <c r="GU38" i="1"/>
  <c r="EK71" i="1"/>
  <c r="EI71" i="1"/>
  <c r="EJ71" i="1"/>
  <c r="EL76" i="1"/>
  <c r="EM76" i="1"/>
  <c r="GL75" i="1"/>
  <c r="GX75" i="1"/>
  <c r="ES75" i="1"/>
  <c r="FE75" i="1"/>
  <c r="EY75" i="1"/>
  <c r="FK75" i="1"/>
  <c r="GF75" i="1"/>
  <c r="GR75" i="1"/>
  <c r="ER75" i="1"/>
  <c r="FD75" i="1"/>
  <c r="ET75" i="1"/>
  <c r="FF75" i="1"/>
  <c r="FS75" i="1"/>
  <c r="FY75" i="1"/>
  <c r="EV75" i="1"/>
  <c r="FA75" i="1"/>
  <c r="FM75" i="1"/>
  <c r="EZ75" i="1"/>
  <c r="FL75" i="1"/>
  <c r="GI75" i="1"/>
  <c r="GU75" i="1"/>
  <c r="GC75" i="1"/>
  <c r="GO75" i="1"/>
  <c r="EU75" i="1"/>
  <c r="FG75" i="1"/>
  <c r="GG75" i="1"/>
  <c r="GD75" i="1"/>
  <c r="GP75" i="1"/>
  <c r="GK75" i="1"/>
  <c r="GW75" i="1"/>
  <c r="GJ75" i="1"/>
  <c r="GV75" i="1"/>
  <c r="EW75" i="1"/>
  <c r="FI75" i="1"/>
  <c r="FB75" i="1"/>
  <c r="FN75" i="1"/>
  <c r="GH75" i="1"/>
  <c r="GT75" i="1"/>
  <c r="GM75" i="1"/>
  <c r="GY75" i="1"/>
  <c r="EX75" i="1"/>
  <c r="FJ75" i="1"/>
  <c r="GE75" i="1"/>
  <c r="GQ75" i="1"/>
  <c r="GF82" i="1"/>
  <c r="GR82" i="1"/>
  <c r="GG82" i="1"/>
  <c r="EY82" i="1"/>
  <c r="FK82" i="1"/>
  <c r="GE82" i="1"/>
  <c r="GQ82" i="1"/>
  <c r="EW82" i="1"/>
  <c r="FI82" i="1"/>
  <c r="ER82" i="1"/>
  <c r="FD82" i="1"/>
  <c r="EV82" i="1"/>
  <c r="ES82" i="1"/>
  <c r="FE82" i="1"/>
  <c r="GM82" i="1"/>
  <c r="GY82" i="1"/>
  <c r="EX82" i="1"/>
  <c r="GK82" i="1"/>
  <c r="GW82" i="1"/>
  <c r="EZ82" i="1"/>
  <c r="FL82" i="1"/>
  <c r="FA82" i="1"/>
  <c r="FM82" i="1"/>
  <c r="GL82" i="1"/>
  <c r="GX82" i="1"/>
  <c r="GI82" i="1"/>
  <c r="GU82" i="1"/>
  <c r="GC82" i="1"/>
  <c r="GO82" i="1"/>
  <c r="GD82" i="1"/>
  <c r="GP82" i="1"/>
  <c r="EU82" i="1"/>
  <c r="FG82" i="1"/>
  <c r="GH82" i="1"/>
  <c r="GT82" i="1"/>
  <c r="GJ82" i="1"/>
  <c r="GV82" i="1"/>
  <c r="ET82" i="1"/>
  <c r="FF82" i="1"/>
  <c r="FT82" i="1"/>
  <c r="FZ82" i="1"/>
  <c r="FB82" i="1"/>
  <c r="FN82" i="1"/>
  <c r="GJ110" i="1"/>
  <c r="GV110" i="1"/>
  <c r="GM110" i="1"/>
  <c r="GY110" i="1"/>
  <c r="EU110" i="1"/>
  <c r="FG110" i="1"/>
  <c r="ER110" i="1"/>
  <c r="FD110" i="1"/>
  <c r="GE110" i="1"/>
  <c r="GQ110" i="1"/>
  <c r="EV110" i="1"/>
  <c r="ET110" i="1"/>
  <c r="FF110" i="1"/>
  <c r="EZ110" i="1"/>
  <c r="FL110" i="1"/>
  <c r="GC110" i="1"/>
  <c r="GO110" i="1"/>
  <c r="GG110" i="1"/>
  <c r="GK110" i="1"/>
  <c r="GW110" i="1"/>
  <c r="ES110" i="1"/>
  <c r="FE110" i="1"/>
  <c r="EW110" i="1"/>
  <c r="FI110" i="1"/>
  <c r="FA110" i="1"/>
  <c r="FM110" i="1"/>
  <c r="GD110" i="1"/>
  <c r="GP110" i="1"/>
  <c r="GH110" i="1"/>
  <c r="GT110" i="1"/>
  <c r="EX110" i="1"/>
  <c r="FJ110" i="1"/>
  <c r="GL110" i="1"/>
  <c r="GX110" i="1"/>
  <c r="EY110" i="1"/>
  <c r="FK110" i="1"/>
  <c r="GF110" i="1"/>
  <c r="GR110" i="1"/>
  <c r="GI110" i="1"/>
  <c r="GU110" i="1"/>
  <c r="FB110" i="1"/>
  <c r="FN110" i="1"/>
  <c r="EL81" i="1"/>
  <c r="EM81" i="1"/>
  <c r="EL101" i="1"/>
  <c r="EM101" i="1"/>
  <c r="EM51" i="1"/>
  <c r="EL51" i="1"/>
  <c r="EM117" i="1"/>
  <c r="EL117" i="1"/>
  <c r="EU54" i="1"/>
  <c r="FG54" i="1"/>
  <c r="GF54" i="1"/>
  <c r="GR54" i="1"/>
  <c r="ET54" i="1"/>
  <c r="FF54" i="1"/>
  <c r="FB54" i="1"/>
  <c r="FN54" i="1"/>
  <c r="ES54" i="1"/>
  <c r="FE54" i="1"/>
  <c r="GE54" i="1"/>
  <c r="GQ54" i="1"/>
  <c r="EW54" i="1"/>
  <c r="FI54" i="1"/>
  <c r="GM54" i="1"/>
  <c r="GY54" i="1"/>
  <c r="FA54" i="1"/>
  <c r="FM54" i="1"/>
  <c r="EX54" i="1"/>
  <c r="FJ54" i="1"/>
  <c r="GD54" i="1"/>
  <c r="GP54" i="1"/>
  <c r="GI54" i="1"/>
  <c r="GU54" i="1"/>
  <c r="GH54" i="1"/>
  <c r="GT54" i="1"/>
  <c r="GJ54" i="1"/>
  <c r="GV54" i="1"/>
  <c r="GL54" i="1"/>
  <c r="GX54" i="1"/>
  <c r="EY54" i="1"/>
  <c r="FK54" i="1"/>
  <c r="ER54" i="1"/>
  <c r="FD54" i="1"/>
  <c r="EV54" i="1"/>
  <c r="EZ54" i="1"/>
  <c r="FL54" i="1"/>
  <c r="GC54" i="1"/>
  <c r="GO54" i="1"/>
  <c r="GG54" i="1"/>
  <c r="GK54" i="1"/>
  <c r="GW54" i="1"/>
  <c r="EI108" i="1"/>
  <c r="EJ108" i="1"/>
  <c r="EK108" i="1"/>
  <c r="EM116" i="1"/>
  <c r="EL116" i="1"/>
  <c r="GE84" i="1"/>
  <c r="GQ84" i="1"/>
  <c r="EX84" i="1"/>
  <c r="FB84" i="1"/>
  <c r="FN84" i="1"/>
  <c r="GM84" i="1"/>
  <c r="GY84" i="1"/>
  <c r="ES84" i="1"/>
  <c r="FE84" i="1"/>
  <c r="GJ84" i="1"/>
  <c r="GV84" i="1"/>
  <c r="EU84" i="1"/>
  <c r="FG84" i="1"/>
  <c r="GK84" i="1"/>
  <c r="GW84" i="1"/>
  <c r="GG84" i="1"/>
  <c r="ER84" i="1"/>
  <c r="FD84" i="1"/>
  <c r="EW84" i="1"/>
  <c r="FI84" i="1"/>
  <c r="GL84" i="1"/>
  <c r="GX84" i="1"/>
  <c r="GC84" i="1"/>
  <c r="GO84" i="1"/>
  <c r="EZ84" i="1"/>
  <c r="FL84" i="1"/>
  <c r="EY84" i="1"/>
  <c r="FK84" i="1"/>
  <c r="FA84" i="1"/>
  <c r="FM84" i="1"/>
  <c r="EV84" i="1"/>
  <c r="GF84" i="1"/>
  <c r="GR84" i="1"/>
  <c r="GD84" i="1"/>
  <c r="GP84" i="1"/>
  <c r="GI84" i="1"/>
  <c r="ET84" i="1"/>
  <c r="FF84" i="1"/>
  <c r="FS84" i="1"/>
  <c r="FY84" i="1"/>
  <c r="GH84" i="1"/>
  <c r="GT84" i="1"/>
  <c r="EK57" i="1"/>
  <c r="EI57" i="1"/>
  <c r="EJ57" i="1"/>
  <c r="EI42" i="1"/>
  <c r="EJ42" i="1"/>
  <c r="EK42" i="1"/>
  <c r="EI87" i="1"/>
  <c r="EJ87" i="1"/>
  <c r="EK87" i="1"/>
  <c r="EM35" i="1"/>
  <c r="EL35" i="1"/>
  <c r="EK91" i="1"/>
  <c r="EI91" i="1"/>
  <c r="EJ91" i="1"/>
  <c r="EI62" i="1"/>
  <c r="EJ62" i="1"/>
  <c r="EK62" i="1"/>
  <c r="EI79" i="1"/>
  <c r="EJ79" i="1"/>
  <c r="EK79" i="1"/>
  <c r="EI109" i="1"/>
  <c r="EJ109" i="1"/>
  <c r="EK109" i="1"/>
  <c r="EI76" i="1"/>
  <c r="EJ76" i="1"/>
  <c r="EK76" i="1"/>
  <c r="EM111" i="1"/>
  <c r="EL111" i="1"/>
  <c r="EL45" i="1"/>
  <c r="EM45" i="1"/>
  <c r="FT99" i="1"/>
  <c r="FZ99" i="1"/>
  <c r="EL64" i="1"/>
  <c r="EM64" i="1"/>
  <c r="FS78" i="1"/>
  <c r="FY78" i="1"/>
  <c r="EI53" i="1"/>
  <c r="EJ53" i="1"/>
  <c r="EK53" i="1"/>
  <c r="EI115" i="1"/>
  <c r="EJ115" i="1"/>
  <c r="EK115" i="1"/>
  <c r="EM52" i="1"/>
  <c r="EL52" i="1"/>
  <c r="EL107" i="1"/>
  <c r="EM107" i="1"/>
  <c r="EL105" i="1"/>
  <c r="EM105" i="1"/>
  <c r="GF32" i="1"/>
  <c r="GR32" i="1"/>
  <c r="GK32" i="1"/>
  <c r="GW32" i="1"/>
  <c r="GC32" i="1"/>
  <c r="GO32" i="1"/>
  <c r="GE32" i="1"/>
  <c r="GQ32" i="1"/>
  <c r="GJ32" i="1"/>
  <c r="GV32" i="1"/>
  <c r="ET32" i="1"/>
  <c r="FF32" i="1"/>
  <c r="FT32" i="1"/>
  <c r="FZ32" i="1"/>
  <c r="GL32" i="1"/>
  <c r="GX32" i="1"/>
  <c r="GG32" i="1"/>
  <c r="EX32" i="1"/>
  <c r="FJ32" i="1"/>
  <c r="GI32" i="1"/>
  <c r="GU32" i="1"/>
  <c r="FB32" i="1"/>
  <c r="FN32" i="1"/>
  <c r="GH32" i="1"/>
  <c r="GT32" i="1"/>
  <c r="EU32" i="1"/>
  <c r="FG32" i="1"/>
  <c r="EY32" i="1"/>
  <c r="FK32" i="1"/>
  <c r="GM32" i="1"/>
  <c r="GY32" i="1"/>
  <c r="EW32" i="1"/>
  <c r="FI32" i="1"/>
  <c r="GD32" i="1"/>
  <c r="GP32" i="1"/>
  <c r="ER32" i="1"/>
  <c r="FD32" i="1"/>
  <c r="EZ32" i="1"/>
  <c r="FL32" i="1"/>
  <c r="FA32" i="1"/>
  <c r="FM32" i="1"/>
  <c r="EV32" i="1"/>
  <c r="ES32" i="1"/>
  <c r="FE32" i="1"/>
  <c r="EK96" i="1"/>
  <c r="EI96" i="1"/>
  <c r="EJ96" i="1"/>
  <c r="EM92" i="1"/>
  <c r="EL92" i="1"/>
  <c r="FS99" i="1"/>
  <c r="FY99" i="1"/>
  <c r="EL55" i="1"/>
  <c r="EM55" i="1"/>
  <c r="EK112" i="1"/>
  <c r="EI112" i="1"/>
  <c r="EJ112" i="1"/>
  <c r="GL73" i="1"/>
  <c r="GX73" i="1"/>
  <c r="ER73" i="1"/>
  <c r="FD73" i="1"/>
  <c r="EZ73" i="1"/>
  <c r="FL73" i="1"/>
  <c r="GG73" i="1"/>
  <c r="ET73" i="1"/>
  <c r="FF73" i="1"/>
  <c r="FR73" i="1"/>
  <c r="FX73" i="1"/>
  <c r="EU73" i="1"/>
  <c r="FG73" i="1"/>
  <c r="EX73" i="1"/>
  <c r="FJ73" i="1"/>
  <c r="FA73" i="1"/>
  <c r="FM73" i="1"/>
  <c r="FB73" i="1"/>
  <c r="FN73" i="1"/>
  <c r="GH73" i="1"/>
  <c r="GT73" i="1"/>
  <c r="GE73" i="1"/>
  <c r="GQ73" i="1"/>
  <c r="EV73" i="1"/>
  <c r="GI73" i="1"/>
  <c r="GU73" i="1"/>
  <c r="GC73" i="1"/>
  <c r="GO73" i="1"/>
  <c r="GM73" i="1"/>
  <c r="GY73" i="1"/>
  <c r="GK73" i="1"/>
  <c r="GW73" i="1"/>
  <c r="GJ73" i="1"/>
  <c r="GV73" i="1"/>
  <c r="EW73" i="1"/>
  <c r="FI73" i="1"/>
  <c r="ES73" i="1"/>
  <c r="FE73" i="1"/>
  <c r="GF73" i="1"/>
  <c r="GR73" i="1"/>
  <c r="EY73" i="1"/>
  <c r="FK73" i="1"/>
  <c r="GD73" i="1"/>
  <c r="GP73" i="1"/>
  <c r="EL62" i="1"/>
  <c r="EM62" i="1"/>
  <c r="EI61" i="1"/>
  <c r="EJ61" i="1"/>
  <c r="EK61" i="1"/>
  <c r="EL71" i="1"/>
  <c r="EM71" i="1"/>
  <c r="EM58" i="1"/>
  <c r="EL58" i="1"/>
  <c r="FS110" i="1"/>
  <c r="FY110" i="1"/>
  <c r="EI111" i="1"/>
  <c r="EJ111" i="1"/>
  <c r="EK111" i="1"/>
  <c r="EI52" i="1"/>
  <c r="EJ52" i="1"/>
  <c r="EK52" i="1"/>
  <c r="EM42" i="1"/>
  <c r="EL42" i="1"/>
  <c r="EK67" i="1"/>
  <c r="EI67" i="1"/>
  <c r="EJ67" i="1"/>
  <c r="EI33" i="1"/>
  <c r="EJ33" i="1"/>
  <c r="EK33" i="1"/>
  <c r="EM77" i="1"/>
  <c r="EL77" i="1"/>
  <c r="EI98" i="1"/>
  <c r="EJ98" i="1"/>
  <c r="EK98" i="1"/>
  <c r="EI92" i="1"/>
  <c r="EJ92" i="1"/>
  <c r="EK92" i="1"/>
  <c r="EM84" i="1"/>
  <c r="EL84" i="1"/>
  <c r="GU84" i="1"/>
  <c r="FJ84" i="1"/>
  <c r="EI70" i="1"/>
  <c r="EJ70" i="1"/>
  <c r="EK70" i="1"/>
  <c r="EI88" i="1"/>
  <c r="EJ88" i="1"/>
  <c r="EK88" i="1"/>
  <c r="EI93" i="1"/>
  <c r="EJ93" i="1"/>
  <c r="EK93" i="1"/>
  <c r="EM36" i="1"/>
  <c r="EL36" i="1"/>
  <c r="FT110" i="1"/>
  <c r="FZ110" i="1"/>
  <c r="EK29" i="1"/>
  <c r="EI29" i="1"/>
  <c r="EJ29" i="1"/>
  <c r="EL83" i="1"/>
  <c r="EM83" i="1"/>
  <c r="EI105" i="1"/>
  <c r="EJ105" i="1"/>
  <c r="EK105" i="1"/>
  <c r="EL48" i="1"/>
  <c r="EM48" i="1"/>
  <c r="EI74" i="1"/>
  <c r="EJ74" i="1"/>
  <c r="EK74" i="1"/>
  <c r="EI69" i="1"/>
  <c r="EJ69" i="1"/>
  <c r="EK69" i="1"/>
  <c r="EL68" i="1"/>
  <c r="EM68" i="1"/>
  <c r="EI90" i="1"/>
  <c r="EJ90" i="1"/>
  <c r="EM33" i="1"/>
  <c r="EL33" i="1"/>
  <c r="EI77" i="1"/>
  <c r="EJ77" i="1"/>
  <c r="EK77" i="1"/>
  <c r="EL47" i="1"/>
  <c r="EM47" i="1"/>
  <c r="EK117" i="1"/>
  <c r="EI117" i="1"/>
  <c r="EJ117" i="1"/>
  <c r="EI99" i="1"/>
  <c r="EJ99" i="1"/>
  <c r="EI65" i="1"/>
  <c r="EJ65" i="1"/>
  <c r="EK65" i="1"/>
  <c r="EL63" i="1"/>
  <c r="EM63" i="1"/>
  <c r="EL57" i="1"/>
  <c r="EM57" i="1"/>
  <c r="EM39" i="1"/>
  <c r="EL39" i="1"/>
  <c r="EI46" i="1"/>
  <c r="EJ46" i="1"/>
  <c r="EK46" i="1"/>
  <c r="FT84" i="1"/>
  <c r="FZ84" i="1"/>
  <c r="EL29" i="1"/>
  <c r="EM29" i="1"/>
  <c r="EI39" i="1"/>
  <c r="EJ39" i="1"/>
  <c r="EK39" i="1"/>
  <c r="EM90" i="1"/>
  <c r="EL90" i="1"/>
  <c r="EL44" i="1"/>
  <c r="EM44" i="1"/>
  <c r="EI114" i="1"/>
  <c r="EJ114" i="1"/>
  <c r="EK114" i="1"/>
  <c r="EM50" i="1"/>
  <c r="EL50" i="1"/>
  <c r="EI48" i="1"/>
  <c r="EJ48" i="1"/>
  <c r="EK48" i="1"/>
  <c r="EK85" i="1"/>
  <c r="EI85" i="1"/>
  <c r="EJ85" i="1"/>
  <c r="GH55" i="1"/>
  <c r="GT55" i="1"/>
  <c r="GF55" i="1"/>
  <c r="GR55" i="1"/>
  <c r="GL55" i="1"/>
  <c r="GX55" i="1"/>
  <c r="EU55" i="1"/>
  <c r="FG55" i="1"/>
  <c r="ER55" i="1"/>
  <c r="FD55" i="1"/>
  <c r="EV55" i="1"/>
  <c r="EZ55" i="1"/>
  <c r="FL55" i="1"/>
  <c r="GC55" i="1"/>
  <c r="GO55" i="1"/>
  <c r="GG55" i="1"/>
  <c r="GK55" i="1"/>
  <c r="GW55" i="1"/>
  <c r="EY55" i="1"/>
  <c r="FK55" i="1"/>
  <c r="GJ55" i="1"/>
  <c r="GV55" i="1"/>
  <c r="ET55" i="1"/>
  <c r="FF55" i="1"/>
  <c r="FR55" i="1"/>
  <c r="FX55" i="1"/>
  <c r="FB55" i="1"/>
  <c r="FN55" i="1"/>
  <c r="ES55" i="1"/>
  <c r="FE55" i="1"/>
  <c r="GE55" i="1"/>
  <c r="GQ55" i="1"/>
  <c r="GI55" i="1"/>
  <c r="GU55" i="1"/>
  <c r="GM55" i="1"/>
  <c r="GY55" i="1"/>
  <c r="EW55" i="1"/>
  <c r="FI55" i="1"/>
  <c r="FA55" i="1"/>
  <c r="FM55" i="1"/>
  <c r="GD55" i="1"/>
  <c r="GP55" i="1"/>
  <c r="EX55" i="1"/>
  <c r="FJ55" i="1"/>
  <c r="EM99" i="1"/>
  <c r="EL99" i="1"/>
  <c r="EI34" i="1"/>
  <c r="EJ34" i="1"/>
  <c r="EI56" i="1"/>
  <c r="EJ56" i="1"/>
  <c r="EK56" i="1"/>
  <c r="FS54" i="1"/>
  <c r="FY54" i="1"/>
  <c r="EL56" i="1"/>
  <c r="EM56" i="1"/>
  <c r="EM114" i="1"/>
  <c r="EL114" i="1"/>
  <c r="EM106" i="1"/>
  <c r="EL106" i="1"/>
  <c r="EK104" i="1"/>
  <c r="EI104" i="1"/>
  <c r="EJ104" i="1"/>
  <c r="EI82" i="1"/>
  <c r="EJ82" i="1"/>
  <c r="EI103" i="1"/>
  <c r="EJ103" i="1"/>
  <c r="EK103" i="1"/>
  <c r="EI59" i="1"/>
  <c r="EJ59" i="1"/>
  <c r="EK59" i="1"/>
  <c r="EI97" i="1"/>
  <c r="EJ97" i="1"/>
  <c r="EK97" i="1"/>
  <c r="EI28" i="1"/>
  <c r="EJ28" i="1"/>
  <c r="EI47" i="1"/>
  <c r="EJ47" i="1"/>
  <c r="EK47" i="1"/>
  <c r="EX40" i="1"/>
  <c r="FJ40" i="1"/>
  <c r="EZ40" i="1"/>
  <c r="FL40" i="1"/>
  <c r="FB40" i="1"/>
  <c r="FN40" i="1"/>
  <c r="GK40" i="1"/>
  <c r="GW40" i="1"/>
  <c r="GC40" i="1"/>
  <c r="GO40" i="1"/>
  <c r="EV40" i="1"/>
  <c r="GE40" i="1"/>
  <c r="GQ40" i="1"/>
  <c r="FA40" i="1"/>
  <c r="FM40" i="1"/>
  <c r="GI40" i="1"/>
  <c r="GU40" i="1"/>
  <c r="GG40" i="1"/>
  <c r="GM40" i="1"/>
  <c r="GY40" i="1"/>
  <c r="GL40" i="1"/>
  <c r="GX40" i="1"/>
  <c r="ER40" i="1"/>
  <c r="FD40" i="1"/>
  <c r="EW40" i="1"/>
  <c r="FI40" i="1"/>
  <c r="GH40" i="1"/>
  <c r="GT40" i="1"/>
  <c r="ES40" i="1"/>
  <c r="FE40" i="1"/>
  <c r="GD40" i="1"/>
  <c r="GP40" i="1"/>
  <c r="EY40" i="1"/>
  <c r="FK40" i="1"/>
  <c r="GF40" i="1"/>
  <c r="GR40" i="1"/>
  <c r="GJ40" i="1"/>
  <c r="GV40" i="1"/>
  <c r="EU40" i="1"/>
  <c r="FG40" i="1"/>
  <c r="ET40" i="1"/>
  <c r="FF40" i="1"/>
  <c r="FR40" i="1"/>
  <c r="FX40" i="1"/>
  <c r="EI54" i="1"/>
  <c r="EJ54" i="1"/>
  <c r="EI72" i="1"/>
  <c r="EJ72" i="1"/>
  <c r="EK72" i="1"/>
  <c r="FT78" i="1"/>
  <c r="FZ78" i="1"/>
  <c r="EK31" i="1"/>
  <c r="EI31" i="1"/>
  <c r="EJ31" i="1"/>
  <c r="EL112" i="1"/>
  <c r="EM112" i="1"/>
  <c r="FP110" i="1"/>
  <c r="FQ110" i="1"/>
  <c r="FS73" i="1"/>
  <c r="FY73" i="1"/>
  <c r="EM34" i="1"/>
  <c r="EL34" i="1"/>
  <c r="EW90" i="1"/>
  <c r="FI90" i="1"/>
  <c r="GC90" i="1"/>
  <c r="GO90" i="1"/>
  <c r="GH90" i="1"/>
  <c r="GT90" i="1"/>
  <c r="ES90" i="1"/>
  <c r="FE90" i="1"/>
  <c r="EY90" i="1"/>
  <c r="FK90" i="1"/>
  <c r="ET90" i="1"/>
  <c r="FF90" i="1"/>
  <c r="GD90" i="1"/>
  <c r="GP90" i="1"/>
  <c r="EX90" i="1"/>
  <c r="FJ90" i="1"/>
  <c r="GJ90" i="1"/>
  <c r="GV90" i="1"/>
  <c r="FB90" i="1"/>
  <c r="FN90" i="1"/>
  <c r="FS90" i="1"/>
  <c r="FY90" i="1"/>
  <c r="EU90" i="1"/>
  <c r="FG90" i="1"/>
  <c r="GE90" i="1"/>
  <c r="GQ90" i="1"/>
  <c r="EZ90" i="1"/>
  <c r="FL90" i="1"/>
  <c r="GI90" i="1"/>
  <c r="GU90" i="1"/>
  <c r="GF90" i="1"/>
  <c r="GR90" i="1"/>
  <c r="GM90" i="1"/>
  <c r="GY90" i="1"/>
  <c r="GK90" i="1"/>
  <c r="GW90" i="1"/>
  <c r="EV90" i="1"/>
  <c r="FA90" i="1"/>
  <c r="FM90" i="1"/>
  <c r="GG90" i="1"/>
  <c r="GL90" i="1"/>
  <c r="GX90" i="1"/>
  <c r="ER90" i="1"/>
  <c r="FD90" i="1"/>
  <c r="EM60" i="1"/>
  <c r="EL60" i="1"/>
  <c r="FT54" i="1"/>
  <c r="FZ54" i="1"/>
  <c r="EI45" i="1"/>
  <c r="EJ45" i="1"/>
  <c r="EK45" i="1"/>
  <c r="EL82" i="1"/>
  <c r="EM82" i="1"/>
  <c r="FJ82" i="1"/>
  <c r="EL28" i="1"/>
  <c r="EM28" i="1"/>
  <c r="EM70" i="1"/>
  <c r="EL70" i="1"/>
  <c r="EU28" i="1"/>
  <c r="FG28" i="1"/>
  <c r="GG28" i="1"/>
  <c r="EW28" i="1"/>
  <c r="FI28" i="1"/>
  <c r="GL28" i="1"/>
  <c r="GX28" i="1"/>
  <c r="EV28" i="1"/>
  <c r="GD28" i="1"/>
  <c r="GP28" i="1"/>
  <c r="GC28" i="1"/>
  <c r="GO28" i="1"/>
  <c r="ES28" i="1"/>
  <c r="FE28" i="1"/>
  <c r="GM28" i="1"/>
  <c r="GY28" i="1"/>
  <c r="GI28" i="1"/>
  <c r="GU28" i="1"/>
  <c r="EZ28" i="1"/>
  <c r="FL28" i="1"/>
  <c r="GE28" i="1"/>
  <c r="GQ28" i="1"/>
  <c r="FB28" i="1"/>
  <c r="FN28" i="1"/>
  <c r="EX28" i="1"/>
  <c r="FJ28" i="1"/>
  <c r="ET28" i="1"/>
  <c r="FF28" i="1"/>
  <c r="GH28" i="1"/>
  <c r="GT28" i="1"/>
  <c r="GJ28" i="1"/>
  <c r="GV28" i="1"/>
  <c r="GF28" i="1"/>
  <c r="GR28" i="1"/>
  <c r="ER28" i="1"/>
  <c r="FD28" i="1"/>
  <c r="EY28" i="1"/>
  <c r="FK28" i="1"/>
  <c r="FA28" i="1"/>
  <c r="FM28" i="1"/>
  <c r="GK28" i="1"/>
  <c r="GW28" i="1"/>
  <c r="EM40" i="1"/>
  <c r="EL40" i="1"/>
  <c r="EM93" i="1"/>
  <c r="EL93" i="1"/>
  <c r="EM54" i="1"/>
  <c r="EL54" i="1"/>
  <c r="BB21" i="3"/>
  <c r="BP21" i="3"/>
  <c r="BC19" i="3"/>
  <c r="BQ19" i="3"/>
  <c r="BP18" i="3"/>
  <c r="BB19" i="3"/>
  <c r="BP19" i="3"/>
  <c r="BK17" i="3"/>
  <c r="BY17" i="3"/>
  <c r="AW20" i="3"/>
  <c r="AU20" i="3"/>
  <c r="BI20" i="3"/>
  <c r="BW20" i="3"/>
  <c r="BV20" i="3"/>
  <c r="AX20" i="3"/>
  <c r="AV20" i="3"/>
  <c r="BL20" i="3"/>
  <c r="BG23" i="3"/>
  <c r="BS23" i="3"/>
  <c r="AY21" i="3"/>
  <c r="BM21" i="3"/>
  <c r="BK21" i="3"/>
  <c r="BY21" i="3"/>
  <c r="CC21" i="3"/>
  <c r="CC22" i="3"/>
  <c r="BF25" i="3"/>
  <c r="AT25" i="3"/>
  <c r="AX24" i="3"/>
  <c r="AW24" i="3"/>
  <c r="BE24" i="3"/>
  <c r="AV24" i="3"/>
  <c r="BE26" i="3"/>
  <c r="BV24" i="3"/>
  <c r="AU24" i="3"/>
  <c r="AT27" i="3"/>
  <c r="BS22" i="3"/>
  <c r="BG22" i="3"/>
  <c r="BU22" i="3"/>
  <c r="BJ21" i="3"/>
  <c r="BX21" i="3"/>
  <c r="CB21" i="3"/>
  <c r="CB22" i="3"/>
  <c r="AZ21" i="3"/>
  <c r="BN21" i="3"/>
  <c r="AZ22" i="3"/>
  <c r="BN22" i="3"/>
  <c r="BZ21" i="3"/>
  <c r="CD21" i="3"/>
  <c r="CD22" i="3"/>
  <c r="BH22" i="3"/>
  <c r="BV22" i="3"/>
  <c r="BT22" i="3"/>
  <c r="BJ19" i="3"/>
  <c r="BX19" i="3"/>
  <c r="BZ19" i="3"/>
  <c r="BD22" i="3"/>
  <c r="BR22" i="3"/>
  <c r="BL21" i="3"/>
  <c r="BG21" i="3"/>
  <c r="BU21" i="3"/>
  <c r="BU23" i="3"/>
  <c r="BS21" i="3"/>
  <c r="BC21" i="3"/>
  <c r="BQ21" i="3"/>
  <c r="BJ17" i="3"/>
  <c r="BX17" i="3"/>
  <c r="BZ17" i="3"/>
  <c r="BK19" i="3"/>
  <c r="BY19" i="3"/>
  <c r="BA21" i="3"/>
  <c r="AY22" i="3"/>
  <c r="BM22" i="3"/>
  <c r="AV22" i="3"/>
  <c r="BL22" i="3"/>
  <c r="CA22" i="3"/>
  <c r="AU22" i="3"/>
  <c r="BI22" i="3"/>
  <c r="BW22" i="3"/>
  <c r="AT23" i="3"/>
  <c r="AW22" i="3"/>
  <c r="AX22" i="3"/>
  <c r="FJ15" i="1"/>
  <c r="HG18" i="1"/>
  <c r="DK13" i="1"/>
  <c r="EL13" i="1"/>
  <c r="EL4" i="1"/>
  <c r="FQ4" i="1"/>
  <c r="ED11" i="1"/>
  <c r="EM9" i="1"/>
  <c r="EM4" i="1"/>
  <c r="FJ4" i="1"/>
  <c r="EM15" i="1"/>
  <c r="ED10" i="1"/>
  <c r="DS17" i="1"/>
  <c r="EK17" i="1"/>
  <c r="DK17" i="1"/>
  <c r="EL17" i="1"/>
  <c r="EI22" i="1"/>
  <c r="EJ22" i="1"/>
  <c r="EK22" i="1"/>
  <c r="CU9" i="1"/>
  <c r="DS9" i="1"/>
  <c r="ED5" i="1"/>
  <c r="DK5" i="1"/>
  <c r="CU8" i="1"/>
  <c r="DS8" i="1"/>
  <c r="CU11" i="1"/>
  <c r="DS11" i="1"/>
  <c r="EI24" i="1"/>
  <c r="EJ24" i="1"/>
  <c r="EK24" i="1"/>
  <c r="EI23" i="1"/>
  <c r="EJ23" i="1"/>
  <c r="EK23" i="1"/>
  <c r="ED7" i="1"/>
  <c r="EI7" i="1"/>
  <c r="EJ7" i="1"/>
  <c r="DK7" i="1"/>
  <c r="DS10" i="1"/>
  <c r="CU10" i="1"/>
  <c r="EL3" i="1"/>
  <c r="DK8" i="1"/>
  <c r="EL8" i="1"/>
  <c r="DS5" i="1"/>
  <c r="CU5" i="1"/>
  <c r="CU12" i="1"/>
  <c r="DS12" i="1"/>
  <c r="ED12" i="1"/>
  <c r="DK12" i="1"/>
  <c r="EL12" i="1"/>
  <c r="CU13" i="1"/>
  <c r="DS13" i="1"/>
  <c r="ES15" i="1"/>
  <c r="EM13" i="1"/>
  <c r="EW15" i="1"/>
  <c r="FI15" i="1"/>
  <c r="GF15" i="1"/>
  <c r="HB21" i="1"/>
  <c r="HA21" i="1"/>
  <c r="HE21" i="1"/>
  <c r="HK21" i="1"/>
  <c r="HD21" i="1"/>
  <c r="HJ21" i="1"/>
  <c r="HC21" i="1"/>
  <c r="HI21" i="1"/>
  <c r="FT25" i="1"/>
  <c r="FZ25" i="1"/>
  <c r="FS25" i="1"/>
  <c r="FY25" i="1"/>
  <c r="EV15" i="1"/>
  <c r="FB15" i="1"/>
  <c r="HB25" i="1"/>
  <c r="HC25" i="1"/>
  <c r="HI25" i="1"/>
  <c r="HD25" i="1"/>
  <c r="HJ25" i="1"/>
  <c r="HA25" i="1"/>
  <c r="HE25" i="1"/>
  <c r="HK25" i="1"/>
  <c r="GC15" i="1"/>
  <c r="GE15" i="1"/>
  <c r="FS21" i="1"/>
  <c r="FY21" i="1"/>
  <c r="FR21" i="1"/>
  <c r="FX21" i="1"/>
  <c r="FT21" i="1"/>
  <c r="FZ21" i="1"/>
  <c r="GK7" i="1"/>
  <c r="GM7" i="1"/>
  <c r="GY7" i="1"/>
  <c r="HE7" i="1"/>
  <c r="EV7" i="1"/>
  <c r="FA7" i="1"/>
  <c r="EX7" i="1"/>
  <c r="FJ7" i="1"/>
  <c r="GH7" i="1"/>
  <c r="GT7" i="1"/>
  <c r="GD7" i="1"/>
  <c r="GP7" i="1"/>
  <c r="FB7" i="1"/>
  <c r="FN7" i="1"/>
  <c r="GJ7" i="1"/>
  <c r="GV7" i="1"/>
  <c r="EU7" i="1"/>
  <c r="FG7" i="1"/>
  <c r="ES7" i="1"/>
  <c r="FE7" i="1"/>
  <c r="ET7" i="1"/>
  <c r="FF7" i="1"/>
  <c r="GL7" i="1"/>
  <c r="EZ7" i="1"/>
  <c r="EY7" i="1"/>
  <c r="FK7" i="1"/>
  <c r="GC7" i="1"/>
  <c r="GO7" i="1"/>
  <c r="GI7" i="1"/>
  <c r="GF7" i="1"/>
  <c r="GR7" i="1"/>
  <c r="GG7" i="1"/>
  <c r="ER7" i="1"/>
  <c r="FD7" i="1"/>
  <c r="EW7" i="1"/>
  <c r="FI7" i="1"/>
  <c r="GH15" i="1"/>
  <c r="GT15" i="1"/>
  <c r="EY15" i="1"/>
  <c r="GI15" i="1"/>
  <c r="GU15" i="1"/>
  <c r="HA15" i="1"/>
  <c r="GK15" i="1"/>
  <c r="FA15" i="1"/>
  <c r="EU15" i="1"/>
  <c r="GL15" i="1"/>
  <c r="EZ15" i="1"/>
  <c r="GJ15" i="1"/>
  <c r="ER15" i="1"/>
  <c r="GG15" i="1"/>
  <c r="ET15" i="1"/>
  <c r="GM15" i="1"/>
  <c r="GD15" i="1"/>
  <c r="EL11" i="1"/>
  <c r="AG4" i="3"/>
  <c r="AF4" i="3"/>
  <c r="AN4" i="3"/>
  <c r="ET3" i="1"/>
  <c r="FF3" i="1"/>
  <c r="EM10" i="1"/>
  <c r="GI3" i="1"/>
  <c r="GU3" i="1"/>
  <c r="GE3" i="1"/>
  <c r="GQ3" i="1"/>
  <c r="HC3" i="1"/>
  <c r="HI3" i="1"/>
  <c r="EX3" i="1"/>
  <c r="FJ3" i="1"/>
  <c r="GH3" i="1"/>
  <c r="GT3" i="1"/>
  <c r="EU3" i="1"/>
  <c r="FG3" i="1"/>
  <c r="EL10" i="1"/>
  <c r="GG3" i="1"/>
  <c r="GS3" i="1"/>
  <c r="ER3" i="1"/>
  <c r="FD3" i="1"/>
  <c r="EV3" i="1"/>
  <c r="FH3" i="1"/>
  <c r="EY3" i="1"/>
  <c r="FK3" i="1"/>
  <c r="FB3" i="1"/>
  <c r="FN3" i="1"/>
  <c r="GC3" i="1"/>
  <c r="GO3" i="1"/>
  <c r="GM3" i="1"/>
  <c r="GY3" i="1"/>
  <c r="EZ3" i="1"/>
  <c r="GJ3" i="1"/>
  <c r="GV3" i="1"/>
  <c r="FA3" i="1"/>
  <c r="EW3" i="1"/>
  <c r="GK3" i="1"/>
  <c r="ES3" i="1"/>
  <c r="GL3" i="1"/>
  <c r="GF3" i="1"/>
  <c r="GR3" i="1"/>
  <c r="FS4" i="1"/>
  <c r="FY4" i="1"/>
  <c r="HD6" i="1"/>
  <c r="HJ6" i="1"/>
  <c r="HE6" i="1"/>
  <c r="HK6" i="1"/>
  <c r="HC6" i="1"/>
  <c r="HI6" i="1"/>
  <c r="HB6" i="1"/>
  <c r="HA6" i="1"/>
  <c r="FT6" i="1"/>
  <c r="FZ6" i="1"/>
  <c r="FS6" i="1"/>
  <c r="FY6" i="1"/>
  <c r="HB4" i="1"/>
  <c r="HC4" i="1"/>
  <c r="HI4" i="1"/>
  <c r="HE4" i="1"/>
  <c r="HK4" i="1"/>
  <c r="HD4" i="1"/>
  <c r="HJ4" i="1"/>
  <c r="HA4" i="1"/>
  <c r="FT4" i="1"/>
  <c r="FZ4" i="1"/>
  <c r="HC7" i="1"/>
  <c r="HI7" i="1"/>
  <c r="FP14" i="1"/>
  <c r="FQ14" i="1"/>
  <c r="FV6" i="1"/>
  <c r="FW6" i="1"/>
  <c r="ES14" i="1"/>
  <c r="GG14" i="1"/>
  <c r="GC14" i="1"/>
  <c r="GM14" i="1"/>
  <c r="EX14" i="1"/>
  <c r="FJ14" i="1"/>
  <c r="EZ14" i="1"/>
  <c r="EU14" i="1"/>
  <c r="GF14" i="1"/>
  <c r="GE14" i="1"/>
  <c r="GK14" i="1"/>
  <c r="EW14" i="1"/>
  <c r="FI14" i="1"/>
  <c r="GL14" i="1"/>
  <c r="FA14" i="1"/>
  <c r="GH14" i="1"/>
  <c r="GT14" i="1"/>
  <c r="EY14" i="1"/>
  <c r="GD14" i="1"/>
  <c r="ET14" i="1"/>
  <c r="GI14" i="1"/>
  <c r="GU14" i="1"/>
  <c r="FB14" i="1"/>
  <c r="GJ14" i="1"/>
  <c r="EV14" i="1"/>
  <c r="ER14" i="1"/>
  <c r="FP15" i="1"/>
  <c r="FQ15" i="1"/>
  <c r="BB22" i="3"/>
  <c r="BP22" i="3"/>
  <c r="BB24" i="3"/>
  <c r="BP24" i="3"/>
  <c r="FR110" i="1"/>
  <c r="FX110" i="1"/>
  <c r="FS100" i="1"/>
  <c r="FY100" i="1"/>
  <c r="FR100" i="1"/>
  <c r="FX100" i="1"/>
  <c r="HB73" i="1"/>
  <c r="FS32" i="1"/>
  <c r="FY32" i="1"/>
  <c r="FR90" i="1"/>
  <c r="FX90" i="1"/>
  <c r="FT73" i="1"/>
  <c r="FZ73" i="1"/>
  <c r="FQ32" i="1"/>
  <c r="FS38" i="1"/>
  <c r="FY38" i="1"/>
  <c r="FR34" i="1"/>
  <c r="FX34" i="1"/>
  <c r="FR28" i="1"/>
  <c r="FX28" i="1"/>
  <c r="HA32" i="1"/>
  <c r="HE32" i="1"/>
  <c r="HK32" i="1"/>
  <c r="HB32" i="1"/>
  <c r="HC32" i="1"/>
  <c r="HI32" i="1"/>
  <c r="HD32" i="1"/>
  <c r="HJ32" i="1"/>
  <c r="EV47" i="1"/>
  <c r="GJ47" i="1"/>
  <c r="GV47" i="1"/>
  <c r="ER47" i="1"/>
  <c r="FD47" i="1"/>
  <c r="GC47" i="1"/>
  <c r="GO47" i="1"/>
  <c r="GG47" i="1"/>
  <c r="FB47" i="1"/>
  <c r="FN47" i="1"/>
  <c r="GH47" i="1"/>
  <c r="GT47" i="1"/>
  <c r="EX47" i="1"/>
  <c r="FJ47" i="1"/>
  <c r="GD47" i="1"/>
  <c r="GP47" i="1"/>
  <c r="GE47" i="1"/>
  <c r="GQ47" i="1"/>
  <c r="ET47" i="1"/>
  <c r="FF47" i="1"/>
  <c r="EY47" i="1"/>
  <c r="FK47" i="1"/>
  <c r="ES47" i="1"/>
  <c r="FE47" i="1"/>
  <c r="GM47" i="1"/>
  <c r="GY47" i="1"/>
  <c r="EW47" i="1"/>
  <c r="FI47" i="1"/>
  <c r="GK47" i="1"/>
  <c r="GW47" i="1"/>
  <c r="EZ47" i="1"/>
  <c r="FL47" i="1"/>
  <c r="GF47" i="1"/>
  <c r="GR47" i="1"/>
  <c r="FA47" i="1"/>
  <c r="FM47" i="1"/>
  <c r="EU47" i="1"/>
  <c r="FG47" i="1"/>
  <c r="GL47" i="1"/>
  <c r="GX47" i="1"/>
  <c r="GI47" i="1"/>
  <c r="GU47" i="1"/>
  <c r="FA94" i="1"/>
  <c r="FM94" i="1"/>
  <c r="GI94" i="1"/>
  <c r="GU94" i="1"/>
  <c r="EU94" i="1"/>
  <c r="FG94" i="1"/>
  <c r="EV94" i="1"/>
  <c r="EZ94" i="1"/>
  <c r="FL94" i="1"/>
  <c r="EY94" i="1"/>
  <c r="FK94" i="1"/>
  <c r="GD94" i="1"/>
  <c r="GP94" i="1"/>
  <c r="GF94" i="1"/>
  <c r="GR94" i="1"/>
  <c r="EX94" i="1"/>
  <c r="FJ94" i="1"/>
  <c r="GJ94" i="1"/>
  <c r="GV94" i="1"/>
  <c r="GE94" i="1"/>
  <c r="GQ94" i="1"/>
  <c r="ER94" i="1"/>
  <c r="FD94" i="1"/>
  <c r="GK94" i="1"/>
  <c r="GW94" i="1"/>
  <c r="EW94" i="1"/>
  <c r="FI94" i="1"/>
  <c r="GL94" i="1"/>
  <c r="GX94" i="1"/>
  <c r="FB94" i="1"/>
  <c r="FN94" i="1"/>
  <c r="GC94" i="1"/>
  <c r="GO94" i="1"/>
  <c r="GH94" i="1"/>
  <c r="GT94" i="1"/>
  <c r="GM94" i="1"/>
  <c r="GY94" i="1"/>
  <c r="ES94" i="1"/>
  <c r="FE94" i="1"/>
  <c r="GG94" i="1"/>
  <c r="ET94" i="1"/>
  <c r="FF94" i="1"/>
  <c r="FP94" i="1"/>
  <c r="GF66" i="1"/>
  <c r="GR66" i="1"/>
  <c r="GJ66" i="1"/>
  <c r="GV66" i="1"/>
  <c r="ER66" i="1"/>
  <c r="FD66" i="1"/>
  <c r="EZ66" i="1"/>
  <c r="FL66" i="1"/>
  <c r="GC66" i="1"/>
  <c r="GO66" i="1"/>
  <c r="GK66" i="1"/>
  <c r="GW66" i="1"/>
  <c r="GG66" i="1"/>
  <c r="EW66" i="1"/>
  <c r="FI66" i="1"/>
  <c r="ET66" i="1"/>
  <c r="FF66" i="1"/>
  <c r="GH66" i="1"/>
  <c r="GT66" i="1"/>
  <c r="EX66" i="1"/>
  <c r="FJ66" i="1"/>
  <c r="ES66" i="1"/>
  <c r="FE66" i="1"/>
  <c r="FB66" i="1"/>
  <c r="FN66" i="1"/>
  <c r="FA66" i="1"/>
  <c r="FM66" i="1"/>
  <c r="GE66" i="1"/>
  <c r="GQ66" i="1"/>
  <c r="GD66" i="1"/>
  <c r="GP66" i="1"/>
  <c r="GI66" i="1"/>
  <c r="GU66" i="1"/>
  <c r="GL66" i="1"/>
  <c r="GX66" i="1"/>
  <c r="GM66" i="1"/>
  <c r="GY66" i="1"/>
  <c r="EU66" i="1"/>
  <c r="FG66" i="1"/>
  <c r="EY66" i="1"/>
  <c r="FK66" i="1"/>
  <c r="EV66" i="1"/>
  <c r="GC65" i="1"/>
  <c r="GO65" i="1"/>
  <c r="EX65" i="1"/>
  <c r="FJ65" i="1"/>
  <c r="GE65" i="1"/>
  <c r="GQ65" i="1"/>
  <c r="EY65" i="1"/>
  <c r="FK65" i="1"/>
  <c r="EV65" i="1"/>
  <c r="GM65" i="1"/>
  <c r="GY65" i="1"/>
  <c r="EU65" i="1"/>
  <c r="FG65" i="1"/>
  <c r="GK65" i="1"/>
  <c r="GW65" i="1"/>
  <c r="FA65" i="1"/>
  <c r="FM65" i="1"/>
  <c r="GF65" i="1"/>
  <c r="GR65" i="1"/>
  <c r="ER65" i="1"/>
  <c r="FD65" i="1"/>
  <c r="ET65" i="1"/>
  <c r="FF65" i="1"/>
  <c r="FP65" i="1"/>
  <c r="EZ65" i="1"/>
  <c r="FL65" i="1"/>
  <c r="EW65" i="1"/>
  <c r="FI65" i="1"/>
  <c r="GL65" i="1"/>
  <c r="GX65" i="1"/>
  <c r="GI65" i="1"/>
  <c r="GU65" i="1"/>
  <c r="GJ65" i="1"/>
  <c r="GV65" i="1"/>
  <c r="GG65" i="1"/>
  <c r="FB65" i="1"/>
  <c r="FN65" i="1"/>
  <c r="GD65" i="1"/>
  <c r="GP65" i="1"/>
  <c r="ES65" i="1"/>
  <c r="FE65" i="1"/>
  <c r="GH65" i="1"/>
  <c r="GT65" i="1"/>
  <c r="FP84" i="1"/>
  <c r="FQ84" i="1"/>
  <c r="ES67" i="1"/>
  <c r="FE67" i="1"/>
  <c r="FA67" i="1"/>
  <c r="FM67" i="1"/>
  <c r="GI67" i="1"/>
  <c r="GU67" i="1"/>
  <c r="GF67" i="1"/>
  <c r="GR67" i="1"/>
  <c r="EX67" i="1"/>
  <c r="FJ67" i="1"/>
  <c r="FQ67" i="1"/>
  <c r="GC67" i="1"/>
  <c r="GO67" i="1"/>
  <c r="ET67" i="1"/>
  <c r="FF67" i="1"/>
  <c r="EY67" i="1"/>
  <c r="FK67" i="1"/>
  <c r="EU67" i="1"/>
  <c r="FG67" i="1"/>
  <c r="GG67" i="1"/>
  <c r="EZ67" i="1"/>
  <c r="FL67" i="1"/>
  <c r="GJ67" i="1"/>
  <c r="GV67" i="1"/>
  <c r="GK67" i="1"/>
  <c r="GW67" i="1"/>
  <c r="GE67" i="1"/>
  <c r="GQ67" i="1"/>
  <c r="ER67" i="1"/>
  <c r="FD67" i="1"/>
  <c r="EV67" i="1"/>
  <c r="GL67" i="1"/>
  <c r="GX67" i="1"/>
  <c r="FB67" i="1"/>
  <c r="FN67" i="1"/>
  <c r="GM67" i="1"/>
  <c r="GY67" i="1"/>
  <c r="EW67" i="1"/>
  <c r="FI67" i="1"/>
  <c r="GH67" i="1"/>
  <c r="GT67" i="1"/>
  <c r="GD67" i="1"/>
  <c r="GP67" i="1"/>
  <c r="GC61" i="1"/>
  <c r="GO61" i="1"/>
  <c r="GI61" i="1"/>
  <c r="GU61" i="1"/>
  <c r="EY61" i="1"/>
  <c r="FK61" i="1"/>
  <c r="GJ61" i="1"/>
  <c r="GV61" i="1"/>
  <c r="ES61" i="1"/>
  <c r="FE61" i="1"/>
  <c r="ET61" i="1"/>
  <c r="FF61" i="1"/>
  <c r="FQ61" i="1"/>
  <c r="EW61" i="1"/>
  <c r="FI61" i="1"/>
  <c r="EU61" i="1"/>
  <c r="FG61" i="1"/>
  <c r="FA61" i="1"/>
  <c r="FM61" i="1"/>
  <c r="GF61" i="1"/>
  <c r="GR61" i="1"/>
  <c r="GD61" i="1"/>
  <c r="GP61" i="1"/>
  <c r="EZ61" i="1"/>
  <c r="FL61" i="1"/>
  <c r="GH61" i="1"/>
  <c r="GT61" i="1"/>
  <c r="GK61" i="1"/>
  <c r="GW61" i="1"/>
  <c r="GL61" i="1"/>
  <c r="GX61" i="1"/>
  <c r="GE61" i="1"/>
  <c r="GQ61" i="1"/>
  <c r="EV61" i="1"/>
  <c r="FB61" i="1"/>
  <c r="FN61" i="1"/>
  <c r="GG61" i="1"/>
  <c r="GM61" i="1"/>
  <c r="GY61" i="1"/>
  <c r="ER61" i="1"/>
  <c r="FD61" i="1"/>
  <c r="EX61" i="1"/>
  <c r="FJ61" i="1"/>
  <c r="GL112" i="1"/>
  <c r="GX112" i="1"/>
  <c r="ET112" i="1"/>
  <c r="FF112" i="1"/>
  <c r="EX112" i="1"/>
  <c r="FJ112" i="1"/>
  <c r="FB112" i="1"/>
  <c r="FN112" i="1"/>
  <c r="GE112" i="1"/>
  <c r="GQ112" i="1"/>
  <c r="ER112" i="1"/>
  <c r="FD112" i="1"/>
  <c r="GI112" i="1"/>
  <c r="GU112" i="1"/>
  <c r="EV112" i="1"/>
  <c r="GM112" i="1"/>
  <c r="GY112" i="1"/>
  <c r="EZ112" i="1"/>
  <c r="FL112" i="1"/>
  <c r="EY112" i="1"/>
  <c r="FK112" i="1"/>
  <c r="GC112" i="1"/>
  <c r="GO112" i="1"/>
  <c r="GJ112" i="1"/>
  <c r="GV112" i="1"/>
  <c r="GG112" i="1"/>
  <c r="EU112" i="1"/>
  <c r="FG112" i="1"/>
  <c r="GK112" i="1"/>
  <c r="GW112" i="1"/>
  <c r="GF112" i="1"/>
  <c r="GR112" i="1"/>
  <c r="FA112" i="1"/>
  <c r="FM112" i="1"/>
  <c r="ES112" i="1"/>
  <c r="FE112" i="1"/>
  <c r="EW112" i="1"/>
  <c r="FI112" i="1"/>
  <c r="GD112" i="1"/>
  <c r="GP112" i="1"/>
  <c r="GH112" i="1"/>
  <c r="GT112" i="1"/>
  <c r="GH87" i="1"/>
  <c r="GT87" i="1"/>
  <c r="GI87" i="1"/>
  <c r="GU87" i="1"/>
  <c r="GL87" i="1"/>
  <c r="GX87" i="1"/>
  <c r="ES87" i="1"/>
  <c r="FE87" i="1"/>
  <c r="EZ87" i="1"/>
  <c r="FL87" i="1"/>
  <c r="GE87" i="1"/>
  <c r="GQ87" i="1"/>
  <c r="GJ87" i="1"/>
  <c r="GV87" i="1"/>
  <c r="ET87" i="1"/>
  <c r="FF87" i="1"/>
  <c r="FB87" i="1"/>
  <c r="FN87" i="1"/>
  <c r="GF87" i="1"/>
  <c r="GR87" i="1"/>
  <c r="GK87" i="1"/>
  <c r="GW87" i="1"/>
  <c r="EW87" i="1"/>
  <c r="FI87" i="1"/>
  <c r="EV87" i="1"/>
  <c r="EU87" i="1"/>
  <c r="FG87" i="1"/>
  <c r="GG87" i="1"/>
  <c r="EY87" i="1"/>
  <c r="FK87" i="1"/>
  <c r="GM87" i="1"/>
  <c r="GY87" i="1"/>
  <c r="ER87" i="1"/>
  <c r="FD87" i="1"/>
  <c r="GC87" i="1"/>
  <c r="GO87" i="1"/>
  <c r="GD87" i="1"/>
  <c r="GP87" i="1"/>
  <c r="EX87" i="1"/>
  <c r="FJ87" i="1"/>
  <c r="FA87" i="1"/>
  <c r="FM87" i="1"/>
  <c r="HC75" i="1"/>
  <c r="HI75" i="1"/>
  <c r="HE75" i="1"/>
  <c r="HK75" i="1"/>
  <c r="HB75" i="1"/>
  <c r="HD75" i="1"/>
  <c r="HJ75" i="1"/>
  <c r="HA75" i="1"/>
  <c r="FR75" i="1"/>
  <c r="FX75" i="1"/>
  <c r="FR78" i="1"/>
  <c r="FX78" i="1"/>
  <c r="EV106" i="1"/>
  <c r="GG106" i="1"/>
  <c r="EZ106" i="1"/>
  <c r="FL106" i="1"/>
  <c r="GJ106" i="1"/>
  <c r="GV106" i="1"/>
  <c r="GF106" i="1"/>
  <c r="GR106" i="1"/>
  <c r="ER106" i="1"/>
  <c r="FD106" i="1"/>
  <c r="GH106" i="1"/>
  <c r="GT106" i="1"/>
  <c r="GI106" i="1"/>
  <c r="GU106" i="1"/>
  <c r="FA106" i="1"/>
  <c r="FM106" i="1"/>
  <c r="GK106" i="1"/>
  <c r="GW106" i="1"/>
  <c r="EY106" i="1"/>
  <c r="FK106" i="1"/>
  <c r="EX106" i="1"/>
  <c r="FJ106" i="1"/>
  <c r="EU106" i="1"/>
  <c r="FG106" i="1"/>
  <c r="GC106" i="1"/>
  <c r="GO106" i="1"/>
  <c r="GM106" i="1"/>
  <c r="GY106" i="1"/>
  <c r="FB106" i="1"/>
  <c r="FN106" i="1"/>
  <c r="EW106" i="1"/>
  <c r="FI106" i="1"/>
  <c r="GE106" i="1"/>
  <c r="GQ106" i="1"/>
  <c r="GD106" i="1"/>
  <c r="GP106" i="1"/>
  <c r="ET106" i="1"/>
  <c r="FF106" i="1"/>
  <c r="FQ106" i="1"/>
  <c r="ES106" i="1"/>
  <c r="FE106" i="1"/>
  <c r="GL106" i="1"/>
  <c r="GX106" i="1"/>
  <c r="EW89" i="1"/>
  <c r="FI89" i="1"/>
  <c r="GL89" i="1"/>
  <c r="GX89" i="1"/>
  <c r="FB89" i="1"/>
  <c r="FN89" i="1"/>
  <c r="GC89" i="1"/>
  <c r="GO89" i="1"/>
  <c r="GH89" i="1"/>
  <c r="GT89" i="1"/>
  <c r="GM89" i="1"/>
  <c r="GY89" i="1"/>
  <c r="ES89" i="1"/>
  <c r="FE89" i="1"/>
  <c r="EX89" i="1"/>
  <c r="FJ89" i="1"/>
  <c r="GD89" i="1"/>
  <c r="GP89" i="1"/>
  <c r="GI89" i="1"/>
  <c r="GU89" i="1"/>
  <c r="ET89" i="1"/>
  <c r="FF89" i="1"/>
  <c r="EZ89" i="1"/>
  <c r="FL89" i="1"/>
  <c r="EV89" i="1"/>
  <c r="EU89" i="1"/>
  <c r="FG89" i="1"/>
  <c r="GE89" i="1"/>
  <c r="GQ89" i="1"/>
  <c r="EY89" i="1"/>
  <c r="FK89" i="1"/>
  <c r="GK89" i="1"/>
  <c r="GW89" i="1"/>
  <c r="GF89" i="1"/>
  <c r="GR89" i="1"/>
  <c r="GJ89" i="1"/>
  <c r="GV89" i="1"/>
  <c r="ER89" i="1"/>
  <c r="FD89" i="1"/>
  <c r="FA89" i="1"/>
  <c r="FM89" i="1"/>
  <c r="GG89" i="1"/>
  <c r="EX31" i="1"/>
  <c r="FJ31" i="1"/>
  <c r="GJ31" i="1"/>
  <c r="GV31" i="1"/>
  <c r="GC31" i="1"/>
  <c r="GO31" i="1"/>
  <c r="EW31" i="1"/>
  <c r="FI31" i="1"/>
  <c r="GM31" i="1"/>
  <c r="GY31" i="1"/>
  <c r="GF31" i="1"/>
  <c r="GR31" i="1"/>
  <c r="GG31" i="1"/>
  <c r="EZ31" i="1"/>
  <c r="FL31" i="1"/>
  <c r="GL31" i="1"/>
  <c r="GX31" i="1"/>
  <c r="ES31" i="1"/>
  <c r="FE31" i="1"/>
  <c r="GE31" i="1"/>
  <c r="GQ31" i="1"/>
  <c r="GH31" i="1"/>
  <c r="GT31" i="1"/>
  <c r="EU31" i="1"/>
  <c r="FG31" i="1"/>
  <c r="FB31" i="1"/>
  <c r="FN31" i="1"/>
  <c r="ER31" i="1"/>
  <c r="FD31" i="1"/>
  <c r="FA31" i="1"/>
  <c r="FM31" i="1"/>
  <c r="ET31" i="1"/>
  <c r="FF31" i="1"/>
  <c r="GI31" i="1"/>
  <c r="GU31" i="1"/>
  <c r="EY31" i="1"/>
  <c r="FK31" i="1"/>
  <c r="EV31" i="1"/>
  <c r="GK31" i="1"/>
  <c r="GW31" i="1"/>
  <c r="GD31" i="1"/>
  <c r="GP31" i="1"/>
  <c r="GI46" i="1"/>
  <c r="GU46" i="1"/>
  <c r="GF46" i="1"/>
  <c r="GR46" i="1"/>
  <c r="ER46" i="1"/>
  <c r="FD46" i="1"/>
  <c r="FB46" i="1"/>
  <c r="FN46" i="1"/>
  <c r="EV46" i="1"/>
  <c r="GM46" i="1"/>
  <c r="GY46" i="1"/>
  <c r="EZ46" i="1"/>
  <c r="FL46" i="1"/>
  <c r="EY46" i="1"/>
  <c r="FK46" i="1"/>
  <c r="GC46" i="1"/>
  <c r="GO46" i="1"/>
  <c r="GE46" i="1"/>
  <c r="GQ46" i="1"/>
  <c r="GG46" i="1"/>
  <c r="ET46" i="1"/>
  <c r="FF46" i="1"/>
  <c r="ES46" i="1"/>
  <c r="FE46" i="1"/>
  <c r="GK46" i="1"/>
  <c r="GW46" i="1"/>
  <c r="GJ46" i="1"/>
  <c r="GV46" i="1"/>
  <c r="EX46" i="1"/>
  <c r="FJ46" i="1"/>
  <c r="FQ46" i="1"/>
  <c r="EW46" i="1"/>
  <c r="FI46" i="1"/>
  <c r="FA46" i="1"/>
  <c r="FM46" i="1"/>
  <c r="GD46" i="1"/>
  <c r="GP46" i="1"/>
  <c r="GH46" i="1"/>
  <c r="GT46" i="1"/>
  <c r="GL46" i="1"/>
  <c r="GX46" i="1"/>
  <c r="EU46" i="1"/>
  <c r="FG46" i="1"/>
  <c r="FT38" i="1"/>
  <c r="FZ38" i="1"/>
  <c r="HE73" i="1"/>
  <c r="HK73" i="1"/>
  <c r="HC73" i="1"/>
  <c r="HI73" i="1"/>
  <c r="HD73" i="1"/>
  <c r="HJ73" i="1"/>
  <c r="HA73" i="1"/>
  <c r="FT40" i="1"/>
  <c r="FZ40" i="1"/>
  <c r="HC82" i="1"/>
  <c r="HI82" i="1"/>
  <c r="GG43" i="1"/>
  <c r="EU43" i="1"/>
  <c r="FG43" i="1"/>
  <c r="GK43" i="1"/>
  <c r="GW43" i="1"/>
  <c r="ER43" i="1"/>
  <c r="FD43" i="1"/>
  <c r="GF43" i="1"/>
  <c r="GR43" i="1"/>
  <c r="GH43" i="1"/>
  <c r="GT43" i="1"/>
  <c r="GL43" i="1"/>
  <c r="GX43" i="1"/>
  <c r="GD43" i="1"/>
  <c r="GP43" i="1"/>
  <c r="GJ43" i="1"/>
  <c r="GV43" i="1"/>
  <c r="EW43" i="1"/>
  <c r="FI43" i="1"/>
  <c r="EV43" i="1"/>
  <c r="EX43" i="1"/>
  <c r="FJ43" i="1"/>
  <c r="FA43" i="1"/>
  <c r="FM43" i="1"/>
  <c r="EZ43" i="1"/>
  <c r="FL43" i="1"/>
  <c r="FB43" i="1"/>
  <c r="FN43" i="1"/>
  <c r="ES43" i="1"/>
  <c r="FE43" i="1"/>
  <c r="ET43" i="1"/>
  <c r="FF43" i="1"/>
  <c r="FQ43" i="1"/>
  <c r="GC43" i="1"/>
  <c r="GO43" i="1"/>
  <c r="GE43" i="1"/>
  <c r="GQ43" i="1"/>
  <c r="EY43" i="1"/>
  <c r="FK43" i="1"/>
  <c r="GM43" i="1"/>
  <c r="GY43" i="1"/>
  <c r="GI43" i="1"/>
  <c r="GU43" i="1"/>
  <c r="EU118" i="1"/>
  <c r="FG118" i="1"/>
  <c r="GG118" i="1"/>
  <c r="GC118" i="1"/>
  <c r="GO118" i="1"/>
  <c r="ER118" i="1"/>
  <c r="FD118" i="1"/>
  <c r="EV118" i="1"/>
  <c r="GE118" i="1"/>
  <c r="GQ118" i="1"/>
  <c r="GI118" i="1"/>
  <c r="GU118" i="1"/>
  <c r="FB118" i="1"/>
  <c r="FN118" i="1"/>
  <c r="ET118" i="1"/>
  <c r="FF118" i="1"/>
  <c r="FP118" i="1"/>
  <c r="GD118" i="1"/>
  <c r="GP118" i="1"/>
  <c r="GF118" i="1"/>
  <c r="GR118" i="1"/>
  <c r="GJ118" i="1"/>
  <c r="GV118" i="1"/>
  <c r="GL118" i="1"/>
  <c r="GX118" i="1"/>
  <c r="GH118" i="1"/>
  <c r="GT118" i="1"/>
  <c r="EW118" i="1"/>
  <c r="FI118" i="1"/>
  <c r="ES118" i="1"/>
  <c r="FE118" i="1"/>
  <c r="EY118" i="1"/>
  <c r="FK118" i="1"/>
  <c r="EZ118" i="1"/>
  <c r="FL118" i="1"/>
  <c r="GK118" i="1"/>
  <c r="GW118" i="1"/>
  <c r="GM118" i="1"/>
  <c r="GY118" i="1"/>
  <c r="FA118" i="1"/>
  <c r="FM118" i="1"/>
  <c r="EX118" i="1"/>
  <c r="FJ118" i="1"/>
  <c r="EX26" i="1"/>
  <c r="FB26" i="1"/>
  <c r="FN26" i="1"/>
  <c r="GF26" i="1"/>
  <c r="GR26" i="1"/>
  <c r="GJ26" i="1"/>
  <c r="GV26" i="1"/>
  <c r="ER26" i="1"/>
  <c r="FD26" i="1"/>
  <c r="EZ26" i="1"/>
  <c r="GH26" i="1"/>
  <c r="GT26" i="1"/>
  <c r="EU26" i="1"/>
  <c r="FG26" i="1"/>
  <c r="GC26" i="1"/>
  <c r="GO26" i="1"/>
  <c r="ES26" i="1"/>
  <c r="GK26" i="1"/>
  <c r="EW26" i="1"/>
  <c r="FI26" i="1"/>
  <c r="EV26" i="1"/>
  <c r="FH26" i="1"/>
  <c r="FA26" i="1"/>
  <c r="GD26" i="1"/>
  <c r="GM26" i="1"/>
  <c r="GY26" i="1"/>
  <c r="GE26" i="1"/>
  <c r="GQ26" i="1"/>
  <c r="GL26" i="1"/>
  <c r="ET26" i="1"/>
  <c r="FF26" i="1"/>
  <c r="GI26" i="1"/>
  <c r="EY26" i="1"/>
  <c r="FK26" i="1"/>
  <c r="GG26" i="1"/>
  <c r="GS26" i="1"/>
  <c r="ET58" i="1"/>
  <c r="FF58" i="1"/>
  <c r="EY58" i="1"/>
  <c r="FK58" i="1"/>
  <c r="GE58" i="1"/>
  <c r="GQ58" i="1"/>
  <c r="GJ58" i="1"/>
  <c r="GV58" i="1"/>
  <c r="EX58" i="1"/>
  <c r="FJ58" i="1"/>
  <c r="FQ58" i="1"/>
  <c r="GI58" i="1"/>
  <c r="GU58" i="1"/>
  <c r="ES58" i="1"/>
  <c r="FE58" i="1"/>
  <c r="FB58" i="1"/>
  <c r="FN58" i="1"/>
  <c r="EW58" i="1"/>
  <c r="FI58" i="1"/>
  <c r="GM58" i="1"/>
  <c r="GY58" i="1"/>
  <c r="FA58" i="1"/>
  <c r="FM58" i="1"/>
  <c r="ER58" i="1"/>
  <c r="FD58" i="1"/>
  <c r="GD58" i="1"/>
  <c r="GP58" i="1"/>
  <c r="GC58" i="1"/>
  <c r="GO58" i="1"/>
  <c r="GH58" i="1"/>
  <c r="GT58" i="1"/>
  <c r="EV58" i="1"/>
  <c r="GL58" i="1"/>
  <c r="GX58" i="1"/>
  <c r="GG58" i="1"/>
  <c r="EU58" i="1"/>
  <c r="FG58" i="1"/>
  <c r="EZ58" i="1"/>
  <c r="FL58" i="1"/>
  <c r="GF58" i="1"/>
  <c r="GR58" i="1"/>
  <c r="GK58" i="1"/>
  <c r="GW58" i="1"/>
  <c r="GD53" i="1"/>
  <c r="GP53" i="1"/>
  <c r="GH53" i="1"/>
  <c r="GT53" i="1"/>
  <c r="GL53" i="1"/>
  <c r="GX53" i="1"/>
  <c r="EV53" i="1"/>
  <c r="GG53" i="1"/>
  <c r="EU53" i="1"/>
  <c r="FG53" i="1"/>
  <c r="GF53" i="1"/>
  <c r="GR53" i="1"/>
  <c r="ET53" i="1"/>
  <c r="FF53" i="1"/>
  <c r="ER53" i="1"/>
  <c r="FD53" i="1"/>
  <c r="EX53" i="1"/>
  <c r="FJ53" i="1"/>
  <c r="GC53" i="1"/>
  <c r="GO53" i="1"/>
  <c r="FB53" i="1"/>
  <c r="FN53" i="1"/>
  <c r="EZ53" i="1"/>
  <c r="FL53" i="1"/>
  <c r="GE53" i="1"/>
  <c r="GQ53" i="1"/>
  <c r="GK53" i="1"/>
  <c r="GW53" i="1"/>
  <c r="GI53" i="1"/>
  <c r="GU53" i="1"/>
  <c r="EY53" i="1"/>
  <c r="FK53" i="1"/>
  <c r="GM53" i="1"/>
  <c r="GY53" i="1"/>
  <c r="GJ53" i="1"/>
  <c r="GV53" i="1"/>
  <c r="EW53" i="1"/>
  <c r="FI53" i="1"/>
  <c r="FA53" i="1"/>
  <c r="FM53" i="1"/>
  <c r="ES53" i="1"/>
  <c r="FE53" i="1"/>
  <c r="FP40" i="1"/>
  <c r="FQ40" i="1"/>
  <c r="EX92" i="1"/>
  <c r="FJ92" i="1"/>
  <c r="GD92" i="1"/>
  <c r="GP92" i="1"/>
  <c r="GI92" i="1"/>
  <c r="GU92" i="1"/>
  <c r="EW92" i="1"/>
  <c r="FI92" i="1"/>
  <c r="GE92" i="1"/>
  <c r="GQ92" i="1"/>
  <c r="GL92" i="1"/>
  <c r="GX92" i="1"/>
  <c r="EU92" i="1"/>
  <c r="FG92" i="1"/>
  <c r="GM92" i="1"/>
  <c r="GY92" i="1"/>
  <c r="EY92" i="1"/>
  <c r="FK92" i="1"/>
  <c r="ER92" i="1"/>
  <c r="FD92" i="1"/>
  <c r="GF92" i="1"/>
  <c r="GR92" i="1"/>
  <c r="EV92" i="1"/>
  <c r="FB92" i="1"/>
  <c r="FN92" i="1"/>
  <c r="EZ92" i="1"/>
  <c r="FL92" i="1"/>
  <c r="GH92" i="1"/>
  <c r="GT92" i="1"/>
  <c r="GG92" i="1"/>
  <c r="GC92" i="1"/>
  <c r="GO92" i="1"/>
  <c r="ET92" i="1"/>
  <c r="FF92" i="1"/>
  <c r="GJ92" i="1"/>
  <c r="GV92" i="1"/>
  <c r="GK92" i="1"/>
  <c r="GW92" i="1"/>
  <c r="ES92" i="1"/>
  <c r="FE92" i="1"/>
  <c r="FA92" i="1"/>
  <c r="FM92" i="1"/>
  <c r="FQ55" i="1"/>
  <c r="FP55" i="1"/>
  <c r="FT90" i="1"/>
  <c r="FZ90" i="1"/>
  <c r="GG76" i="1"/>
  <c r="GM76" i="1"/>
  <c r="GY76" i="1"/>
  <c r="ER76" i="1"/>
  <c r="FD76" i="1"/>
  <c r="EX76" i="1"/>
  <c r="FJ76" i="1"/>
  <c r="EU76" i="1"/>
  <c r="FG76" i="1"/>
  <c r="GC76" i="1"/>
  <c r="GO76" i="1"/>
  <c r="EY76" i="1"/>
  <c r="FK76" i="1"/>
  <c r="GI76" i="1"/>
  <c r="GU76" i="1"/>
  <c r="EV76" i="1"/>
  <c r="GJ76" i="1"/>
  <c r="GV76" i="1"/>
  <c r="FA76" i="1"/>
  <c r="FM76" i="1"/>
  <c r="ES76" i="1"/>
  <c r="FE76" i="1"/>
  <c r="GD76" i="1"/>
  <c r="GP76" i="1"/>
  <c r="GE76" i="1"/>
  <c r="GQ76" i="1"/>
  <c r="GH76" i="1"/>
  <c r="GT76" i="1"/>
  <c r="EZ76" i="1"/>
  <c r="FL76" i="1"/>
  <c r="GL76" i="1"/>
  <c r="GX76" i="1"/>
  <c r="ET76" i="1"/>
  <c r="FF76" i="1"/>
  <c r="FB76" i="1"/>
  <c r="FN76" i="1"/>
  <c r="GF76" i="1"/>
  <c r="GR76" i="1"/>
  <c r="EW76" i="1"/>
  <c r="FI76" i="1"/>
  <c r="GK76" i="1"/>
  <c r="GW76" i="1"/>
  <c r="ES42" i="1"/>
  <c r="FE42" i="1"/>
  <c r="EX42" i="1"/>
  <c r="FJ42" i="1"/>
  <c r="GD42" i="1"/>
  <c r="GP42" i="1"/>
  <c r="GI42" i="1"/>
  <c r="GU42" i="1"/>
  <c r="ET42" i="1"/>
  <c r="FF42" i="1"/>
  <c r="FP42" i="1"/>
  <c r="EY42" i="1"/>
  <c r="FK42" i="1"/>
  <c r="GE42" i="1"/>
  <c r="GQ42" i="1"/>
  <c r="GJ42" i="1"/>
  <c r="GV42" i="1"/>
  <c r="FA42" i="1"/>
  <c r="FM42" i="1"/>
  <c r="GL42" i="1"/>
  <c r="GX42" i="1"/>
  <c r="ER42" i="1"/>
  <c r="FD42" i="1"/>
  <c r="FB42" i="1"/>
  <c r="FN42" i="1"/>
  <c r="EV42" i="1"/>
  <c r="GM42" i="1"/>
  <c r="GY42" i="1"/>
  <c r="EZ42" i="1"/>
  <c r="FL42" i="1"/>
  <c r="GF42" i="1"/>
  <c r="GR42" i="1"/>
  <c r="EU42" i="1"/>
  <c r="FG42" i="1"/>
  <c r="GC42" i="1"/>
  <c r="GO42" i="1"/>
  <c r="GH42" i="1"/>
  <c r="GT42" i="1"/>
  <c r="EW42" i="1"/>
  <c r="FI42" i="1"/>
  <c r="GK42" i="1"/>
  <c r="GW42" i="1"/>
  <c r="GG42" i="1"/>
  <c r="HC54" i="1"/>
  <c r="HI54" i="1"/>
  <c r="HA54" i="1"/>
  <c r="HE54" i="1"/>
  <c r="HK54" i="1"/>
  <c r="HD54" i="1"/>
  <c r="HJ54" i="1"/>
  <c r="HB54" i="1"/>
  <c r="HE99" i="1"/>
  <c r="HK99" i="1"/>
  <c r="HA99" i="1"/>
  <c r="HC99" i="1"/>
  <c r="HI99" i="1"/>
  <c r="HB99" i="1"/>
  <c r="HD99" i="1"/>
  <c r="HJ99" i="1"/>
  <c r="FS40" i="1"/>
  <c r="FY40" i="1"/>
  <c r="FP31" i="1"/>
  <c r="FQ31" i="1"/>
  <c r="HB28" i="1"/>
  <c r="FB80" i="1"/>
  <c r="FN80" i="1"/>
  <c r="GH80" i="1"/>
  <c r="GT80" i="1"/>
  <c r="GM80" i="1"/>
  <c r="GY80" i="1"/>
  <c r="ET80" i="1"/>
  <c r="FF80" i="1"/>
  <c r="GD80" i="1"/>
  <c r="GP80" i="1"/>
  <c r="ER80" i="1"/>
  <c r="FD80" i="1"/>
  <c r="EX80" i="1"/>
  <c r="FJ80" i="1"/>
  <c r="EV80" i="1"/>
  <c r="GE80" i="1"/>
  <c r="GQ80" i="1"/>
  <c r="GF80" i="1"/>
  <c r="GR80" i="1"/>
  <c r="EZ80" i="1"/>
  <c r="FL80" i="1"/>
  <c r="EY80" i="1"/>
  <c r="FK80" i="1"/>
  <c r="GC80" i="1"/>
  <c r="GO80" i="1"/>
  <c r="GI80" i="1"/>
  <c r="GU80" i="1"/>
  <c r="GG80" i="1"/>
  <c r="ES80" i="1"/>
  <c r="FE80" i="1"/>
  <c r="GK80" i="1"/>
  <c r="GW80" i="1"/>
  <c r="GJ80" i="1"/>
  <c r="GV80" i="1"/>
  <c r="EU80" i="1"/>
  <c r="FG80" i="1"/>
  <c r="FA80" i="1"/>
  <c r="FM80" i="1"/>
  <c r="GL80" i="1"/>
  <c r="GX80" i="1"/>
  <c r="EW80" i="1"/>
  <c r="FI80" i="1"/>
  <c r="GU7" i="1"/>
  <c r="HA7" i="1"/>
  <c r="FB72" i="1"/>
  <c r="FN72" i="1"/>
  <c r="EV72" i="1"/>
  <c r="ES72" i="1"/>
  <c r="FE72" i="1"/>
  <c r="GD72" i="1"/>
  <c r="GP72" i="1"/>
  <c r="GJ72" i="1"/>
  <c r="GV72" i="1"/>
  <c r="GE72" i="1"/>
  <c r="GQ72" i="1"/>
  <c r="FA72" i="1"/>
  <c r="FM72" i="1"/>
  <c r="EZ72" i="1"/>
  <c r="FL72" i="1"/>
  <c r="EX72" i="1"/>
  <c r="FJ72" i="1"/>
  <c r="FP72" i="1"/>
  <c r="EY72" i="1"/>
  <c r="FK72" i="1"/>
  <c r="GM72" i="1"/>
  <c r="GY72" i="1"/>
  <c r="GC72" i="1"/>
  <c r="GO72" i="1"/>
  <c r="GL72" i="1"/>
  <c r="GX72" i="1"/>
  <c r="ET72" i="1"/>
  <c r="FF72" i="1"/>
  <c r="GK72" i="1"/>
  <c r="GW72" i="1"/>
  <c r="EW72" i="1"/>
  <c r="FI72" i="1"/>
  <c r="GI72" i="1"/>
  <c r="GU72" i="1"/>
  <c r="ER72" i="1"/>
  <c r="FD72" i="1"/>
  <c r="GH72" i="1"/>
  <c r="GT72" i="1"/>
  <c r="EU72" i="1"/>
  <c r="FG72" i="1"/>
  <c r="GG72" i="1"/>
  <c r="GF72" i="1"/>
  <c r="GR72" i="1"/>
  <c r="FQ99" i="1"/>
  <c r="FP99" i="1"/>
  <c r="ER105" i="1"/>
  <c r="FD105" i="1"/>
  <c r="EX105" i="1"/>
  <c r="FJ105" i="1"/>
  <c r="ET105" i="1"/>
  <c r="FF105" i="1"/>
  <c r="FQ105" i="1"/>
  <c r="EY105" i="1"/>
  <c r="FK105" i="1"/>
  <c r="GE105" i="1"/>
  <c r="GQ105" i="1"/>
  <c r="GJ105" i="1"/>
  <c r="GV105" i="1"/>
  <c r="EU105" i="1"/>
  <c r="FG105" i="1"/>
  <c r="EZ105" i="1"/>
  <c r="FL105" i="1"/>
  <c r="GF105" i="1"/>
  <c r="GR105" i="1"/>
  <c r="GK105" i="1"/>
  <c r="GW105" i="1"/>
  <c r="ES105" i="1"/>
  <c r="FE105" i="1"/>
  <c r="EV105" i="1"/>
  <c r="GD105" i="1"/>
  <c r="GP105" i="1"/>
  <c r="EW105" i="1"/>
  <c r="FI105" i="1"/>
  <c r="FB105" i="1"/>
  <c r="FN105" i="1"/>
  <c r="GM105" i="1"/>
  <c r="GY105" i="1"/>
  <c r="FA105" i="1"/>
  <c r="FM105" i="1"/>
  <c r="GG105" i="1"/>
  <c r="GL105" i="1"/>
  <c r="GX105" i="1"/>
  <c r="GC105" i="1"/>
  <c r="GO105" i="1"/>
  <c r="GI105" i="1"/>
  <c r="GU105" i="1"/>
  <c r="GH105" i="1"/>
  <c r="GT105" i="1"/>
  <c r="ET52" i="1"/>
  <c r="FF52" i="1"/>
  <c r="GK52" i="1"/>
  <c r="GW52" i="1"/>
  <c r="EX52" i="1"/>
  <c r="FJ52" i="1"/>
  <c r="EZ52" i="1"/>
  <c r="FL52" i="1"/>
  <c r="FB52" i="1"/>
  <c r="FN52" i="1"/>
  <c r="GE52" i="1"/>
  <c r="GQ52" i="1"/>
  <c r="GI52" i="1"/>
  <c r="GU52" i="1"/>
  <c r="GM52" i="1"/>
  <c r="GY52" i="1"/>
  <c r="EV52" i="1"/>
  <c r="GG52" i="1"/>
  <c r="ES52" i="1"/>
  <c r="FE52" i="1"/>
  <c r="FA52" i="1"/>
  <c r="FM52" i="1"/>
  <c r="GD52" i="1"/>
  <c r="GP52" i="1"/>
  <c r="GL52" i="1"/>
  <c r="GX52" i="1"/>
  <c r="EU52" i="1"/>
  <c r="FG52" i="1"/>
  <c r="ER52" i="1"/>
  <c r="FD52" i="1"/>
  <c r="EY52" i="1"/>
  <c r="FK52" i="1"/>
  <c r="GF52" i="1"/>
  <c r="GR52" i="1"/>
  <c r="GJ52" i="1"/>
  <c r="GV52" i="1"/>
  <c r="GC52" i="1"/>
  <c r="GO52" i="1"/>
  <c r="EW52" i="1"/>
  <c r="FI52" i="1"/>
  <c r="GH52" i="1"/>
  <c r="GT52" i="1"/>
  <c r="HB110" i="1"/>
  <c r="HC110" i="1"/>
  <c r="HI110" i="1"/>
  <c r="HD110" i="1"/>
  <c r="HJ110" i="1"/>
  <c r="HA110" i="1"/>
  <c r="HE110" i="1"/>
  <c r="HK110" i="1"/>
  <c r="FR38" i="1"/>
  <c r="FX38" i="1"/>
  <c r="FQ73" i="1"/>
  <c r="FP73" i="1"/>
  <c r="EU50" i="1"/>
  <c r="FG50" i="1"/>
  <c r="GK50" i="1"/>
  <c r="GW50" i="1"/>
  <c r="EX50" i="1"/>
  <c r="FJ50" i="1"/>
  <c r="ER50" i="1"/>
  <c r="FD50" i="1"/>
  <c r="GD50" i="1"/>
  <c r="GP50" i="1"/>
  <c r="ET50" i="1"/>
  <c r="FF50" i="1"/>
  <c r="FP50" i="1"/>
  <c r="GI50" i="1"/>
  <c r="GU50" i="1"/>
  <c r="EV50" i="1"/>
  <c r="GH50" i="1"/>
  <c r="GT50" i="1"/>
  <c r="FB50" i="1"/>
  <c r="FN50" i="1"/>
  <c r="GM50" i="1"/>
  <c r="GY50" i="1"/>
  <c r="GJ50" i="1"/>
  <c r="GV50" i="1"/>
  <c r="EZ50" i="1"/>
  <c r="FL50" i="1"/>
  <c r="FA50" i="1"/>
  <c r="FM50" i="1"/>
  <c r="EY50" i="1"/>
  <c r="FK50" i="1"/>
  <c r="ES50" i="1"/>
  <c r="FE50" i="1"/>
  <c r="GC50" i="1"/>
  <c r="GO50" i="1"/>
  <c r="GE50" i="1"/>
  <c r="GQ50" i="1"/>
  <c r="GL50" i="1"/>
  <c r="GX50" i="1"/>
  <c r="GG50" i="1"/>
  <c r="GF50" i="1"/>
  <c r="GR50" i="1"/>
  <c r="EW50" i="1"/>
  <c r="FI50" i="1"/>
  <c r="FQ72" i="1"/>
  <c r="HA116" i="1"/>
  <c r="HE116" i="1"/>
  <c r="HK116" i="1"/>
  <c r="HD116" i="1"/>
  <c r="HJ116" i="1"/>
  <c r="HB116" i="1"/>
  <c r="HC116" i="1"/>
  <c r="HI116" i="1"/>
  <c r="FS82" i="1"/>
  <c r="FY82" i="1"/>
  <c r="FT55" i="1"/>
  <c r="FZ55" i="1"/>
  <c r="HD38" i="1"/>
  <c r="HJ38" i="1"/>
  <c r="HB38" i="1"/>
  <c r="HA38" i="1"/>
  <c r="HE38" i="1"/>
  <c r="HK38" i="1"/>
  <c r="HC38" i="1"/>
  <c r="HI38" i="1"/>
  <c r="FA108" i="1"/>
  <c r="FM108" i="1"/>
  <c r="GG108" i="1"/>
  <c r="GL108" i="1"/>
  <c r="GX108" i="1"/>
  <c r="EU108" i="1"/>
  <c r="FG108" i="1"/>
  <c r="ER108" i="1"/>
  <c r="FD108" i="1"/>
  <c r="EW108" i="1"/>
  <c r="FI108" i="1"/>
  <c r="GC108" i="1"/>
  <c r="GO108" i="1"/>
  <c r="GH108" i="1"/>
  <c r="GT108" i="1"/>
  <c r="ES108" i="1"/>
  <c r="FE108" i="1"/>
  <c r="EY108" i="1"/>
  <c r="FK108" i="1"/>
  <c r="ET108" i="1"/>
  <c r="FF108" i="1"/>
  <c r="GD108" i="1"/>
  <c r="GP108" i="1"/>
  <c r="EX108" i="1"/>
  <c r="FJ108" i="1"/>
  <c r="GJ108" i="1"/>
  <c r="GV108" i="1"/>
  <c r="FB108" i="1"/>
  <c r="FN108" i="1"/>
  <c r="EZ108" i="1"/>
  <c r="FL108" i="1"/>
  <c r="GE108" i="1"/>
  <c r="GQ108" i="1"/>
  <c r="GK108" i="1"/>
  <c r="GW108" i="1"/>
  <c r="GI108" i="1"/>
  <c r="GU108" i="1"/>
  <c r="GM108" i="1"/>
  <c r="GY108" i="1"/>
  <c r="EV108" i="1"/>
  <c r="GF108" i="1"/>
  <c r="GR108" i="1"/>
  <c r="ER102" i="1"/>
  <c r="FD102" i="1"/>
  <c r="EX102" i="1"/>
  <c r="FJ102" i="1"/>
  <c r="GC102" i="1"/>
  <c r="GO102" i="1"/>
  <c r="GI102" i="1"/>
  <c r="GU102" i="1"/>
  <c r="EZ102" i="1"/>
  <c r="FL102" i="1"/>
  <c r="ET102" i="1"/>
  <c r="FF102" i="1"/>
  <c r="ES102" i="1"/>
  <c r="FE102" i="1"/>
  <c r="GE102" i="1"/>
  <c r="GQ102" i="1"/>
  <c r="EW102" i="1"/>
  <c r="FI102" i="1"/>
  <c r="EU102" i="1"/>
  <c r="FG102" i="1"/>
  <c r="FA102" i="1"/>
  <c r="FM102" i="1"/>
  <c r="GF102" i="1"/>
  <c r="GR102" i="1"/>
  <c r="GD102" i="1"/>
  <c r="GP102" i="1"/>
  <c r="EY102" i="1"/>
  <c r="FK102" i="1"/>
  <c r="GH102" i="1"/>
  <c r="GT102" i="1"/>
  <c r="GJ102" i="1"/>
  <c r="GV102" i="1"/>
  <c r="GL102" i="1"/>
  <c r="GX102" i="1"/>
  <c r="GK102" i="1"/>
  <c r="GW102" i="1"/>
  <c r="EV102" i="1"/>
  <c r="FB102" i="1"/>
  <c r="FN102" i="1"/>
  <c r="GG102" i="1"/>
  <c r="GM102" i="1"/>
  <c r="GY102" i="1"/>
  <c r="FP100" i="1"/>
  <c r="FQ100" i="1"/>
  <c r="FQ82" i="1"/>
  <c r="FP82" i="1"/>
  <c r="EU97" i="1"/>
  <c r="FG97" i="1"/>
  <c r="ER97" i="1"/>
  <c r="FD97" i="1"/>
  <c r="GF97" i="1"/>
  <c r="GR97" i="1"/>
  <c r="EV97" i="1"/>
  <c r="EW97" i="1"/>
  <c r="FI97" i="1"/>
  <c r="EZ97" i="1"/>
  <c r="FL97" i="1"/>
  <c r="GJ97" i="1"/>
  <c r="GV97" i="1"/>
  <c r="ET97" i="1"/>
  <c r="FF97" i="1"/>
  <c r="FB97" i="1"/>
  <c r="FN97" i="1"/>
  <c r="EY97" i="1"/>
  <c r="FK97" i="1"/>
  <c r="GK97" i="1"/>
  <c r="GW97" i="1"/>
  <c r="GE97" i="1"/>
  <c r="GQ97" i="1"/>
  <c r="GD97" i="1"/>
  <c r="GP97" i="1"/>
  <c r="GI97" i="1"/>
  <c r="GU97" i="1"/>
  <c r="GM97" i="1"/>
  <c r="GY97" i="1"/>
  <c r="EX97" i="1"/>
  <c r="FJ97" i="1"/>
  <c r="GG97" i="1"/>
  <c r="GL97" i="1"/>
  <c r="GX97" i="1"/>
  <c r="FA97" i="1"/>
  <c r="FM97" i="1"/>
  <c r="ES97" i="1"/>
  <c r="FE97" i="1"/>
  <c r="GC97" i="1"/>
  <c r="GO97" i="1"/>
  <c r="GH97" i="1"/>
  <c r="GT97" i="1"/>
  <c r="GH98" i="1"/>
  <c r="GT98" i="1"/>
  <c r="GF98" i="1"/>
  <c r="GR98" i="1"/>
  <c r="GG98" i="1"/>
  <c r="ET98" i="1"/>
  <c r="FF98" i="1"/>
  <c r="EY98" i="1"/>
  <c r="FK98" i="1"/>
  <c r="EW98" i="1"/>
  <c r="FI98" i="1"/>
  <c r="GL98" i="1"/>
  <c r="GX98" i="1"/>
  <c r="GK98" i="1"/>
  <c r="GW98" i="1"/>
  <c r="GM98" i="1"/>
  <c r="GY98" i="1"/>
  <c r="GE98" i="1"/>
  <c r="GQ98" i="1"/>
  <c r="GD98" i="1"/>
  <c r="GP98" i="1"/>
  <c r="GJ98" i="1"/>
  <c r="GV98" i="1"/>
  <c r="EZ98" i="1"/>
  <c r="FL98" i="1"/>
  <c r="FA98" i="1"/>
  <c r="FM98" i="1"/>
  <c r="GC98" i="1"/>
  <c r="GO98" i="1"/>
  <c r="FB98" i="1"/>
  <c r="FN98" i="1"/>
  <c r="EU98" i="1"/>
  <c r="FG98" i="1"/>
  <c r="EV98" i="1"/>
  <c r="GI98" i="1"/>
  <c r="GU98" i="1"/>
  <c r="ES98" i="1"/>
  <c r="FE98" i="1"/>
  <c r="ER98" i="1"/>
  <c r="FD98" i="1"/>
  <c r="EX98" i="1"/>
  <c r="FJ98" i="1"/>
  <c r="ER109" i="1"/>
  <c r="FD109" i="1"/>
  <c r="GJ109" i="1"/>
  <c r="GV109" i="1"/>
  <c r="GD109" i="1"/>
  <c r="GP109" i="1"/>
  <c r="EZ109" i="1"/>
  <c r="FL109" i="1"/>
  <c r="FB109" i="1"/>
  <c r="FN109" i="1"/>
  <c r="EW109" i="1"/>
  <c r="FI109" i="1"/>
  <c r="EX109" i="1"/>
  <c r="FJ109" i="1"/>
  <c r="GL109" i="1"/>
  <c r="GX109" i="1"/>
  <c r="EY109" i="1"/>
  <c r="FK109" i="1"/>
  <c r="GK109" i="1"/>
  <c r="GW109" i="1"/>
  <c r="ES109" i="1"/>
  <c r="FE109" i="1"/>
  <c r="GM109" i="1"/>
  <c r="GY109" i="1"/>
  <c r="GF109" i="1"/>
  <c r="GR109" i="1"/>
  <c r="GI109" i="1"/>
  <c r="GU109" i="1"/>
  <c r="GG109" i="1"/>
  <c r="GE109" i="1"/>
  <c r="GQ109" i="1"/>
  <c r="ET109" i="1"/>
  <c r="FF109" i="1"/>
  <c r="GH109" i="1"/>
  <c r="GT109" i="1"/>
  <c r="FA109" i="1"/>
  <c r="FM109" i="1"/>
  <c r="GC109" i="1"/>
  <c r="GO109" i="1"/>
  <c r="EU109" i="1"/>
  <c r="FG109" i="1"/>
  <c r="EV109" i="1"/>
  <c r="FR99" i="1"/>
  <c r="FX99" i="1"/>
  <c r="FQ118" i="1"/>
  <c r="FA35" i="1"/>
  <c r="FM35" i="1"/>
  <c r="ER35" i="1"/>
  <c r="FD35" i="1"/>
  <c r="EW35" i="1"/>
  <c r="FI35" i="1"/>
  <c r="EZ35" i="1"/>
  <c r="FL35" i="1"/>
  <c r="GD35" i="1"/>
  <c r="GP35" i="1"/>
  <c r="GH35" i="1"/>
  <c r="GT35" i="1"/>
  <c r="GC35" i="1"/>
  <c r="GO35" i="1"/>
  <c r="GJ35" i="1"/>
  <c r="GV35" i="1"/>
  <c r="EY35" i="1"/>
  <c r="FK35" i="1"/>
  <c r="GL35" i="1"/>
  <c r="GX35" i="1"/>
  <c r="GM35" i="1"/>
  <c r="GY35" i="1"/>
  <c r="EX35" i="1"/>
  <c r="FJ35" i="1"/>
  <c r="FB35" i="1"/>
  <c r="FN35" i="1"/>
  <c r="GF35" i="1"/>
  <c r="GR35" i="1"/>
  <c r="GI35" i="1"/>
  <c r="GU35" i="1"/>
  <c r="EU35" i="1"/>
  <c r="FG35" i="1"/>
  <c r="ES35" i="1"/>
  <c r="FE35" i="1"/>
  <c r="GK35" i="1"/>
  <c r="GW35" i="1"/>
  <c r="EV35" i="1"/>
  <c r="GG35" i="1"/>
  <c r="ET35" i="1"/>
  <c r="FF35" i="1"/>
  <c r="GE35" i="1"/>
  <c r="GQ35" i="1"/>
  <c r="FR116" i="1"/>
  <c r="FX116" i="1"/>
  <c r="FT116" i="1"/>
  <c r="FZ116" i="1"/>
  <c r="HA40" i="1"/>
  <c r="HE40" i="1"/>
  <c r="HK40" i="1"/>
  <c r="HC40" i="1"/>
  <c r="HI40" i="1"/>
  <c r="HD40" i="1"/>
  <c r="HJ40" i="1"/>
  <c r="HB40" i="1"/>
  <c r="FA114" i="1"/>
  <c r="FM114" i="1"/>
  <c r="GG114" i="1"/>
  <c r="GL114" i="1"/>
  <c r="GX114" i="1"/>
  <c r="EU114" i="1"/>
  <c r="FG114" i="1"/>
  <c r="FB114" i="1"/>
  <c r="FN114" i="1"/>
  <c r="EY114" i="1"/>
  <c r="FK114" i="1"/>
  <c r="GC114" i="1"/>
  <c r="GO114" i="1"/>
  <c r="GF114" i="1"/>
  <c r="GR114" i="1"/>
  <c r="GH114" i="1"/>
  <c r="GT114" i="1"/>
  <c r="GJ114" i="1"/>
  <c r="GV114" i="1"/>
  <c r="ER114" i="1"/>
  <c r="FD114" i="1"/>
  <c r="ES114" i="1"/>
  <c r="FE114" i="1"/>
  <c r="GM114" i="1"/>
  <c r="GY114" i="1"/>
  <c r="EX114" i="1"/>
  <c r="FJ114" i="1"/>
  <c r="EW114" i="1"/>
  <c r="FI114" i="1"/>
  <c r="GD114" i="1"/>
  <c r="GP114" i="1"/>
  <c r="GI114" i="1"/>
  <c r="GU114" i="1"/>
  <c r="ET114" i="1"/>
  <c r="FF114" i="1"/>
  <c r="EZ114" i="1"/>
  <c r="FL114" i="1"/>
  <c r="GE114" i="1"/>
  <c r="GQ114" i="1"/>
  <c r="EV114" i="1"/>
  <c r="GK114" i="1"/>
  <c r="GW114" i="1"/>
  <c r="EX117" i="1"/>
  <c r="FJ117" i="1"/>
  <c r="ES117" i="1"/>
  <c r="FE117" i="1"/>
  <c r="GC117" i="1"/>
  <c r="GO117" i="1"/>
  <c r="EY117" i="1"/>
  <c r="FK117" i="1"/>
  <c r="FA117" i="1"/>
  <c r="FM117" i="1"/>
  <c r="GH117" i="1"/>
  <c r="GT117" i="1"/>
  <c r="FB117" i="1"/>
  <c r="FN117" i="1"/>
  <c r="GL117" i="1"/>
  <c r="GX117" i="1"/>
  <c r="GM117" i="1"/>
  <c r="GY117" i="1"/>
  <c r="ET117" i="1"/>
  <c r="FF117" i="1"/>
  <c r="GF117" i="1"/>
  <c r="GR117" i="1"/>
  <c r="EU117" i="1"/>
  <c r="FG117" i="1"/>
  <c r="GI117" i="1"/>
  <c r="GU117" i="1"/>
  <c r="GK117" i="1"/>
  <c r="GW117" i="1"/>
  <c r="GE117" i="1"/>
  <c r="GQ117" i="1"/>
  <c r="ER117" i="1"/>
  <c r="FD117" i="1"/>
  <c r="GJ117" i="1"/>
  <c r="GV117" i="1"/>
  <c r="GD117" i="1"/>
  <c r="GP117" i="1"/>
  <c r="EV117" i="1"/>
  <c r="EZ117" i="1"/>
  <c r="FL117" i="1"/>
  <c r="GG117" i="1"/>
  <c r="EW117" i="1"/>
  <c r="FI117" i="1"/>
  <c r="GL93" i="1"/>
  <c r="GX93" i="1"/>
  <c r="ES93" i="1"/>
  <c r="FE93" i="1"/>
  <c r="FA93" i="1"/>
  <c r="FM93" i="1"/>
  <c r="GI93" i="1"/>
  <c r="GU93" i="1"/>
  <c r="EU93" i="1"/>
  <c r="FG93" i="1"/>
  <c r="ET93" i="1"/>
  <c r="FF93" i="1"/>
  <c r="EY93" i="1"/>
  <c r="FK93" i="1"/>
  <c r="GK93" i="1"/>
  <c r="GW93" i="1"/>
  <c r="GF93" i="1"/>
  <c r="GR93" i="1"/>
  <c r="GD93" i="1"/>
  <c r="GP93" i="1"/>
  <c r="GJ93" i="1"/>
  <c r="GV93" i="1"/>
  <c r="GG93" i="1"/>
  <c r="GM93" i="1"/>
  <c r="GY93" i="1"/>
  <c r="ER93" i="1"/>
  <c r="FD93" i="1"/>
  <c r="EV93" i="1"/>
  <c r="EW93" i="1"/>
  <c r="FI93" i="1"/>
  <c r="EZ93" i="1"/>
  <c r="FL93" i="1"/>
  <c r="FB93" i="1"/>
  <c r="FN93" i="1"/>
  <c r="GC93" i="1"/>
  <c r="GO93" i="1"/>
  <c r="GH93" i="1"/>
  <c r="GT93" i="1"/>
  <c r="EX93" i="1"/>
  <c r="FJ93" i="1"/>
  <c r="GE93" i="1"/>
  <c r="GQ93" i="1"/>
  <c r="ET111" i="1"/>
  <c r="FF111" i="1"/>
  <c r="EU111" i="1"/>
  <c r="FG111" i="1"/>
  <c r="GK111" i="1"/>
  <c r="GW111" i="1"/>
  <c r="EV111" i="1"/>
  <c r="GG111" i="1"/>
  <c r="GE111" i="1"/>
  <c r="GQ111" i="1"/>
  <c r="GJ111" i="1"/>
  <c r="GV111" i="1"/>
  <c r="FA111" i="1"/>
  <c r="FM111" i="1"/>
  <c r="GD111" i="1"/>
  <c r="GP111" i="1"/>
  <c r="ER111" i="1"/>
  <c r="FD111" i="1"/>
  <c r="EW111" i="1"/>
  <c r="FI111" i="1"/>
  <c r="FB111" i="1"/>
  <c r="FN111" i="1"/>
  <c r="ES111" i="1"/>
  <c r="FE111" i="1"/>
  <c r="EZ111" i="1"/>
  <c r="FL111" i="1"/>
  <c r="GL111" i="1"/>
  <c r="GX111" i="1"/>
  <c r="GH111" i="1"/>
  <c r="GT111" i="1"/>
  <c r="GF111" i="1"/>
  <c r="GR111" i="1"/>
  <c r="GC111" i="1"/>
  <c r="GO111" i="1"/>
  <c r="GI111" i="1"/>
  <c r="GU111" i="1"/>
  <c r="EY111" i="1"/>
  <c r="FK111" i="1"/>
  <c r="EX111" i="1"/>
  <c r="FJ111" i="1"/>
  <c r="GM111" i="1"/>
  <c r="GY111" i="1"/>
  <c r="HE111" i="1"/>
  <c r="FQ92" i="1"/>
  <c r="FR54" i="1"/>
  <c r="FX54" i="1"/>
  <c r="EW101" i="1"/>
  <c r="FI101" i="1"/>
  <c r="FA101" i="1"/>
  <c r="FM101" i="1"/>
  <c r="ER101" i="1"/>
  <c r="FD101" i="1"/>
  <c r="GL101" i="1"/>
  <c r="GX101" i="1"/>
  <c r="GK101" i="1"/>
  <c r="GW101" i="1"/>
  <c r="GH101" i="1"/>
  <c r="GT101" i="1"/>
  <c r="ES101" i="1"/>
  <c r="FE101" i="1"/>
  <c r="GM101" i="1"/>
  <c r="GY101" i="1"/>
  <c r="EX101" i="1"/>
  <c r="FJ101" i="1"/>
  <c r="EY101" i="1"/>
  <c r="FK101" i="1"/>
  <c r="EZ101" i="1"/>
  <c r="FL101" i="1"/>
  <c r="EV101" i="1"/>
  <c r="FB101" i="1"/>
  <c r="FN101" i="1"/>
  <c r="GF101" i="1"/>
  <c r="GR101" i="1"/>
  <c r="EU101" i="1"/>
  <c r="FG101" i="1"/>
  <c r="GJ101" i="1"/>
  <c r="GV101" i="1"/>
  <c r="GC101" i="1"/>
  <c r="GO101" i="1"/>
  <c r="GI101" i="1"/>
  <c r="GU101" i="1"/>
  <c r="GG101" i="1"/>
  <c r="ET101" i="1"/>
  <c r="FF101" i="1"/>
  <c r="GE101" i="1"/>
  <c r="GQ101" i="1"/>
  <c r="GD101" i="1"/>
  <c r="GP101" i="1"/>
  <c r="GJ81" i="1"/>
  <c r="GV81" i="1"/>
  <c r="GD81" i="1"/>
  <c r="GP81" i="1"/>
  <c r="ET81" i="1"/>
  <c r="FF81" i="1"/>
  <c r="FP81" i="1"/>
  <c r="EW81" i="1"/>
  <c r="FI81" i="1"/>
  <c r="EZ81" i="1"/>
  <c r="FL81" i="1"/>
  <c r="GH81" i="1"/>
  <c r="GT81" i="1"/>
  <c r="GE81" i="1"/>
  <c r="GQ81" i="1"/>
  <c r="GK81" i="1"/>
  <c r="GW81" i="1"/>
  <c r="EV81" i="1"/>
  <c r="FA81" i="1"/>
  <c r="FM81" i="1"/>
  <c r="GG81" i="1"/>
  <c r="GL81" i="1"/>
  <c r="GX81" i="1"/>
  <c r="EX81" i="1"/>
  <c r="FJ81" i="1"/>
  <c r="GI81" i="1"/>
  <c r="GU81" i="1"/>
  <c r="ER81" i="1"/>
  <c r="FD81" i="1"/>
  <c r="EU81" i="1"/>
  <c r="FG81" i="1"/>
  <c r="FB81" i="1"/>
  <c r="FN81" i="1"/>
  <c r="GM81" i="1"/>
  <c r="GY81" i="1"/>
  <c r="ES81" i="1"/>
  <c r="FE81" i="1"/>
  <c r="GC81" i="1"/>
  <c r="GO81" i="1"/>
  <c r="GF81" i="1"/>
  <c r="GR81" i="1"/>
  <c r="EY81" i="1"/>
  <c r="FK81" i="1"/>
  <c r="FP34" i="1"/>
  <c r="FQ34" i="1"/>
  <c r="GF69" i="1"/>
  <c r="GR69" i="1"/>
  <c r="FB69" i="1"/>
  <c r="FN69" i="1"/>
  <c r="EV69" i="1"/>
  <c r="GK69" i="1"/>
  <c r="GW69" i="1"/>
  <c r="GI69" i="1"/>
  <c r="GU69" i="1"/>
  <c r="GL69" i="1"/>
  <c r="GX69" i="1"/>
  <c r="GM69" i="1"/>
  <c r="GY69" i="1"/>
  <c r="EY69" i="1"/>
  <c r="FK69" i="1"/>
  <c r="EW69" i="1"/>
  <c r="FI69" i="1"/>
  <c r="GE69" i="1"/>
  <c r="GQ69" i="1"/>
  <c r="EZ69" i="1"/>
  <c r="FL69" i="1"/>
  <c r="GH69" i="1"/>
  <c r="GT69" i="1"/>
  <c r="EX69" i="1"/>
  <c r="FJ69" i="1"/>
  <c r="EU69" i="1"/>
  <c r="FG69" i="1"/>
  <c r="ER69" i="1"/>
  <c r="FD69" i="1"/>
  <c r="ET69" i="1"/>
  <c r="FF69" i="1"/>
  <c r="GD69" i="1"/>
  <c r="GP69" i="1"/>
  <c r="GG69" i="1"/>
  <c r="ES69" i="1"/>
  <c r="FE69" i="1"/>
  <c r="GJ69" i="1"/>
  <c r="GV69" i="1"/>
  <c r="FA69" i="1"/>
  <c r="FM69" i="1"/>
  <c r="GC69" i="1"/>
  <c r="GO69" i="1"/>
  <c r="FP32" i="1"/>
  <c r="GE79" i="1"/>
  <c r="GQ79" i="1"/>
  <c r="GI79" i="1"/>
  <c r="GU79" i="1"/>
  <c r="ES79" i="1"/>
  <c r="FE79" i="1"/>
  <c r="EW79" i="1"/>
  <c r="FI79" i="1"/>
  <c r="GC79" i="1"/>
  <c r="GO79" i="1"/>
  <c r="ER79" i="1"/>
  <c r="FD79" i="1"/>
  <c r="FB79" i="1"/>
  <c r="FN79" i="1"/>
  <c r="GG79" i="1"/>
  <c r="EZ79" i="1"/>
  <c r="FL79" i="1"/>
  <c r="GD79" i="1"/>
  <c r="GP79" i="1"/>
  <c r="ET79" i="1"/>
  <c r="FF79" i="1"/>
  <c r="GK79" i="1"/>
  <c r="GW79" i="1"/>
  <c r="GF79" i="1"/>
  <c r="GR79" i="1"/>
  <c r="GJ79" i="1"/>
  <c r="GV79" i="1"/>
  <c r="EU79" i="1"/>
  <c r="FG79" i="1"/>
  <c r="GH79" i="1"/>
  <c r="GT79" i="1"/>
  <c r="GM79" i="1"/>
  <c r="GY79" i="1"/>
  <c r="HD79" i="1"/>
  <c r="EX79" i="1"/>
  <c r="FJ79" i="1"/>
  <c r="EV79" i="1"/>
  <c r="FA79" i="1"/>
  <c r="FM79" i="1"/>
  <c r="GL79" i="1"/>
  <c r="GX79" i="1"/>
  <c r="EY79" i="1"/>
  <c r="FK79" i="1"/>
  <c r="EY57" i="1"/>
  <c r="FK57" i="1"/>
  <c r="GD57" i="1"/>
  <c r="GP57" i="1"/>
  <c r="EV57" i="1"/>
  <c r="ER57" i="1"/>
  <c r="FD57" i="1"/>
  <c r="GI57" i="1"/>
  <c r="GU57" i="1"/>
  <c r="ES57" i="1"/>
  <c r="FE57" i="1"/>
  <c r="FB57" i="1"/>
  <c r="FN57" i="1"/>
  <c r="GH57" i="1"/>
  <c r="GT57" i="1"/>
  <c r="GE57" i="1"/>
  <c r="GQ57" i="1"/>
  <c r="GG57" i="1"/>
  <c r="GF57" i="1"/>
  <c r="GR57" i="1"/>
  <c r="GK57" i="1"/>
  <c r="GW57" i="1"/>
  <c r="FA57" i="1"/>
  <c r="FM57" i="1"/>
  <c r="GL57" i="1"/>
  <c r="GX57" i="1"/>
  <c r="EU57" i="1"/>
  <c r="FG57" i="1"/>
  <c r="GJ57" i="1"/>
  <c r="GV57" i="1"/>
  <c r="GM57" i="1"/>
  <c r="GY57" i="1"/>
  <c r="GC57" i="1"/>
  <c r="GO57" i="1"/>
  <c r="EZ57" i="1"/>
  <c r="FL57" i="1"/>
  <c r="EX57" i="1"/>
  <c r="FJ57" i="1"/>
  <c r="FP57" i="1"/>
  <c r="EW57" i="1"/>
  <c r="FI57" i="1"/>
  <c r="ET57" i="1"/>
  <c r="FF57" i="1"/>
  <c r="HE82" i="1"/>
  <c r="HK82" i="1"/>
  <c r="FP87" i="1"/>
  <c r="FQ87" i="1"/>
  <c r="FQ38" i="1"/>
  <c r="GL48" i="1"/>
  <c r="GX48" i="1"/>
  <c r="EY48" i="1"/>
  <c r="FK48" i="1"/>
  <c r="GJ48" i="1"/>
  <c r="GV48" i="1"/>
  <c r="EX48" i="1"/>
  <c r="FJ48" i="1"/>
  <c r="GI48" i="1"/>
  <c r="GU48" i="1"/>
  <c r="ER48" i="1"/>
  <c r="FD48" i="1"/>
  <c r="FB48" i="1"/>
  <c r="FN48" i="1"/>
  <c r="EV48" i="1"/>
  <c r="GF48" i="1"/>
  <c r="GR48" i="1"/>
  <c r="EZ48" i="1"/>
  <c r="FL48" i="1"/>
  <c r="EU48" i="1"/>
  <c r="FG48" i="1"/>
  <c r="GC48" i="1"/>
  <c r="GO48" i="1"/>
  <c r="GE48" i="1"/>
  <c r="GQ48" i="1"/>
  <c r="GG48" i="1"/>
  <c r="GM48" i="1"/>
  <c r="GY48" i="1"/>
  <c r="GK48" i="1"/>
  <c r="GW48" i="1"/>
  <c r="ET48" i="1"/>
  <c r="FF48" i="1"/>
  <c r="ES48" i="1"/>
  <c r="FE48" i="1"/>
  <c r="EW48" i="1"/>
  <c r="FI48" i="1"/>
  <c r="FA48" i="1"/>
  <c r="FM48" i="1"/>
  <c r="GD48" i="1"/>
  <c r="GP48" i="1"/>
  <c r="GH48" i="1"/>
  <c r="GT48" i="1"/>
  <c r="EV59" i="1"/>
  <c r="GH59" i="1"/>
  <c r="GT59" i="1"/>
  <c r="EZ59" i="1"/>
  <c r="FL59" i="1"/>
  <c r="GL59" i="1"/>
  <c r="GX59" i="1"/>
  <c r="GC59" i="1"/>
  <c r="GO59" i="1"/>
  <c r="EX59" i="1"/>
  <c r="FJ59" i="1"/>
  <c r="GG59" i="1"/>
  <c r="GF59" i="1"/>
  <c r="GR59" i="1"/>
  <c r="ET59" i="1"/>
  <c r="FF59" i="1"/>
  <c r="FA59" i="1"/>
  <c r="FM59" i="1"/>
  <c r="EY59" i="1"/>
  <c r="FK59" i="1"/>
  <c r="GE59" i="1"/>
  <c r="GQ59" i="1"/>
  <c r="GJ59" i="1"/>
  <c r="GV59" i="1"/>
  <c r="EU59" i="1"/>
  <c r="FG59" i="1"/>
  <c r="FB59" i="1"/>
  <c r="FN59" i="1"/>
  <c r="GI59" i="1"/>
  <c r="GU59" i="1"/>
  <c r="EW59" i="1"/>
  <c r="FI59" i="1"/>
  <c r="GD59" i="1"/>
  <c r="GP59" i="1"/>
  <c r="ES59" i="1"/>
  <c r="FE59" i="1"/>
  <c r="GM59" i="1"/>
  <c r="GY59" i="1"/>
  <c r="ER59" i="1"/>
  <c r="FD59" i="1"/>
  <c r="GK59" i="1"/>
  <c r="GW59" i="1"/>
  <c r="FS28" i="1"/>
  <c r="FY28" i="1"/>
  <c r="FP76" i="1"/>
  <c r="FQ76" i="1"/>
  <c r="FT75" i="1"/>
  <c r="FZ75" i="1"/>
  <c r="ES68" i="1"/>
  <c r="FE68" i="1"/>
  <c r="EW68" i="1"/>
  <c r="FI68" i="1"/>
  <c r="FA68" i="1"/>
  <c r="FM68" i="1"/>
  <c r="GD68" i="1"/>
  <c r="GP68" i="1"/>
  <c r="GH68" i="1"/>
  <c r="GT68" i="1"/>
  <c r="GL68" i="1"/>
  <c r="GX68" i="1"/>
  <c r="EY68" i="1"/>
  <c r="FK68" i="1"/>
  <c r="GJ68" i="1"/>
  <c r="GV68" i="1"/>
  <c r="EX68" i="1"/>
  <c r="FJ68" i="1"/>
  <c r="GI68" i="1"/>
  <c r="GU68" i="1"/>
  <c r="ER68" i="1"/>
  <c r="FD68" i="1"/>
  <c r="ET68" i="1"/>
  <c r="FF68" i="1"/>
  <c r="FP68" i="1"/>
  <c r="EV68" i="1"/>
  <c r="FB68" i="1"/>
  <c r="FN68" i="1"/>
  <c r="EZ68" i="1"/>
  <c r="FL68" i="1"/>
  <c r="GE68" i="1"/>
  <c r="GQ68" i="1"/>
  <c r="EU68" i="1"/>
  <c r="FG68" i="1"/>
  <c r="GF68" i="1"/>
  <c r="GR68" i="1"/>
  <c r="GC68" i="1"/>
  <c r="GO68" i="1"/>
  <c r="GM68" i="1"/>
  <c r="GY68" i="1"/>
  <c r="GK68" i="1"/>
  <c r="GW68" i="1"/>
  <c r="GG68" i="1"/>
  <c r="FP38" i="1"/>
  <c r="FQ109" i="1"/>
  <c r="GK56" i="1"/>
  <c r="GW56" i="1"/>
  <c r="ES56" i="1"/>
  <c r="FE56" i="1"/>
  <c r="EU56" i="1"/>
  <c r="FG56" i="1"/>
  <c r="EY56" i="1"/>
  <c r="FK56" i="1"/>
  <c r="GF56" i="1"/>
  <c r="GR56" i="1"/>
  <c r="GJ56" i="1"/>
  <c r="GV56" i="1"/>
  <c r="EW56" i="1"/>
  <c r="FI56" i="1"/>
  <c r="GH56" i="1"/>
  <c r="GT56" i="1"/>
  <c r="EX56" i="1"/>
  <c r="FJ56" i="1"/>
  <c r="GI56" i="1"/>
  <c r="GU56" i="1"/>
  <c r="ET56" i="1"/>
  <c r="FF56" i="1"/>
  <c r="FB56" i="1"/>
  <c r="FN56" i="1"/>
  <c r="ER56" i="1"/>
  <c r="FD56" i="1"/>
  <c r="GE56" i="1"/>
  <c r="GQ56" i="1"/>
  <c r="EV56" i="1"/>
  <c r="GM56" i="1"/>
  <c r="GY56" i="1"/>
  <c r="GC56" i="1"/>
  <c r="GO56" i="1"/>
  <c r="EZ56" i="1"/>
  <c r="FL56" i="1"/>
  <c r="GG56" i="1"/>
  <c r="FA56" i="1"/>
  <c r="FM56" i="1"/>
  <c r="GL56" i="1"/>
  <c r="GX56" i="1"/>
  <c r="GD56" i="1"/>
  <c r="GP56" i="1"/>
  <c r="EV88" i="1"/>
  <c r="GG88" i="1"/>
  <c r="EX88" i="1"/>
  <c r="FJ88" i="1"/>
  <c r="EU88" i="1"/>
  <c r="FG88" i="1"/>
  <c r="EW88" i="1"/>
  <c r="FI88" i="1"/>
  <c r="GF88" i="1"/>
  <c r="GR88" i="1"/>
  <c r="FA88" i="1"/>
  <c r="FM88" i="1"/>
  <c r="EY88" i="1"/>
  <c r="FK88" i="1"/>
  <c r="GM88" i="1"/>
  <c r="GY88" i="1"/>
  <c r="GD88" i="1"/>
  <c r="GP88" i="1"/>
  <c r="ES88" i="1"/>
  <c r="FE88" i="1"/>
  <c r="GL88" i="1"/>
  <c r="GX88" i="1"/>
  <c r="EZ88" i="1"/>
  <c r="FL88" i="1"/>
  <c r="ER88" i="1"/>
  <c r="FD88" i="1"/>
  <c r="GJ88" i="1"/>
  <c r="GV88" i="1"/>
  <c r="GI88" i="1"/>
  <c r="GU88" i="1"/>
  <c r="GK88" i="1"/>
  <c r="GW88" i="1"/>
  <c r="GH88" i="1"/>
  <c r="GT88" i="1"/>
  <c r="FB88" i="1"/>
  <c r="FN88" i="1"/>
  <c r="ET88" i="1"/>
  <c r="FF88" i="1"/>
  <c r="FQ88" i="1"/>
  <c r="GE88" i="1"/>
  <c r="GQ88" i="1"/>
  <c r="GC88" i="1"/>
  <c r="GO88" i="1"/>
  <c r="FR84" i="1"/>
  <c r="FX84" i="1"/>
  <c r="FT51" i="1"/>
  <c r="FZ51" i="1"/>
  <c r="GK86" i="1"/>
  <c r="GW86" i="1"/>
  <c r="GI86" i="1"/>
  <c r="GU86" i="1"/>
  <c r="EW86" i="1"/>
  <c r="FI86" i="1"/>
  <c r="FB86" i="1"/>
  <c r="FN86" i="1"/>
  <c r="GF86" i="1"/>
  <c r="GR86" i="1"/>
  <c r="GH86" i="1"/>
  <c r="GT86" i="1"/>
  <c r="GM86" i="1"/>
  <c r="GY86" i="1"/>
  <c r="EU86" i="1"/>
  <c r="FG86" i="1"/>
  <c r="GD86" i="1"/>
  <c r="GP86" i="1"/>
  <c r="GJ86" i="1"/>
  <c r="GV86" i="1"/>
  <c r="EX86" i="1"/>
  <c r="FJ86" i="1"/>
  <c r="GE86" i="1"/>
  <c r="GQ86" i="1"/>
  <c r="GL86" i="1"/>
  <c r="GX86" i="1"/>
  <c r="ER86" i="1"/>
  <c r="FD86" i="1"/>
  <c r="ES86" i="1"/>
  <c r="FE86" i="1"/>
  <c r="EZ86" i="1"/>
  <c r="FL86" i="1"/>
  <c r="EV86" i="1"/>
  <c r="EY86" i="1"/>
  <c r="FK86" i="1"/>
  <c r="ET86" i="1"/>
  <c r="FF86" i="1"/>
  <c r="FA86" i="1"/>
  <c r="FM86" i="1"/>
  <c r="GC86" i="1"/>
  <c r="GO86" i="1"/>
  <c r="GG86" i="1"/>
  <c r="GM49" i="1"/>
  <c r="GY49" i="1"/>
  <c r="EU49" i="1"/>
  <c r="FG49" i="1"/>
  <c r="FA49" i="1"/>
  <c r="FM49" i="1"/>
  <c r="EY49" i="1"/>
  <c r="FK49" i="1"/>
  <c r="GL49" i="1"/>
  <c r="GX49" i="1"/>
  <c r="GF49" i="1"/>
  <c r="GR49" i="1"/>
  <c r="ET49" i="1"/>
  <c r="FF49" i="1"/>
  <c r="GJ49" i="1"/>
  <c r="GV49" i="1"/>
  <c r="GD49" i="1"/>
  <c r="GP49" i="1"/>
  <c r="ER49" i="1"/>
  <c r="FD49" i="1"/>
  <c r="ES49" i="1"/>
  <c r="FE49" i="1"/>
  <c r="EV49" i="1"/>
  <c r="GE49" i="1"/>
  <c r="GQ49" i="1"/>
  <c r="EZ49" i="1"/>
  <c r="FL49" i="1"/>
  <c r="GC49" i="1"/>
  <c r="GO49" i="1"/>
  <c r="GG49" i="1"/>
  <c r="GK49" i="1"/>
  <c r="GW49" i="1"/>
  <c r="EW49" i="1"/>
  <c r="FI49" i="1"/>
  <c r="EX49" i="1"/>
  <c r="FJ49" i="1"/>
  <c r="GI49" i="1"/>
  <c r="GU49" i="1"/>
  <c r="GH49" i="1"/>
  <c r="GT49" i="1"/>
  <c r="FB49" i="1"/>
  <c r="FN49" i="1"/>
  <c r="ET36" i="1"/>
  <c r="FF36" i="1"/>
  <c r="FP36" i="1"/>
  <c r="GE36" i="1"/>
  <c r="GQ36" i="1"/>
  <c r="GK36" i="1"/>
  <c r="GW36" i="1"/>
  <c r="EX36" i="1"/>
  <c r="FJ36" i="1"/>
  <c r="GI36" i="1"/>
  <c r="GU36" i="1"/>
  <c r="FB36" i="1"/>
  <c r="FN36" i="1"/>
  <c r="GM36" i="1"/>
  <c r="GY36" i="1"/>
  <c r="EU36" i="1"/>
  <c r="FG36" i="1"/>
  <c r="GF36" i="1"/>
  <c r="GR36" i="1"/>
  <c r="ER36" i="1"/>
  <c r="FD36" i="1"/>
  <c r="EZ36" i="1"/>
  <c r="FL36" i="1"/>
  <c r="GC36" i="1"/>
  <c r="GO36" i="1"/>
  <c r="GJ36" i="1"/>
  <c r="GV36" i="1"/>
  <c r="GG36" i="1"/>
  <c r="EV36" i="1"/>
  <c r="EY36" i="1"/>
  <c r="FK36" i="1"/>
  <c r="FA36" i="1"/>
  <c r="FM36" i="1"/>
  <c r="GL36" i="1"/>
  <c r="GX36" i="1"/>
  <c r="GD36" i="1"/>
  <c r="GP36" i="1"/>
  <c r="GH36" i="1"/>
  <c r="GT36" i="1"/>
  <c r="ES36" i="1"/>
  <c r="FE36" i="1"/>
  <c r="EW36" i="1"/>
  <c r="FI36" i="1"/>
  <c r="GD37" i="1"/>
  <c r="GP37" i="1"/>
  <c r="EW37" i="1"/>
  <c r="FI37" i="1"/>
  <c r="GL37" i="1"/>
  <c r="GX37" i="1"/>
  <c r="ES37" i="1"/>
  <c r="FE37" i="1"/>
  <c r="EU37" i="1"/>
  <c r="FG37" i="1"/>
  <c r="FA37" i="1"/>
  <c r="FM37" i="1"/>
  <c r="EZ37" i="1"/>
  <c r="FL37" i="1"/>
  <c r="EX37" i="1"/>
  <c r="FJ37" i="1"/>
  <c r="FB37" i="1"/>
  <c r="FN37" i="1"/>
  <c r="ET37" i="1"/>
  <c r="FF37" i="1"/>
  <c r="FP37" i="1"/>
  <c r="EY37" i="1"/>
  <c r="FK37" i="1"/>
  <c r="GF37" i="1"/>
  <c r="GR37" i="1"/>
  <c r="GC37" i="1"/>
  <c r="GO37" i="1"/>
  <c r="GI37" i="1"/>
  <c r="GU37" i="1"/>
  <c r="GM37" i="1"/>
  <c r="GY37" i="1"/>
  <c r="GE37" i="1"/>
  <c r="GQ37" i="1"/>
  <c r="GG37" i="1"/>
  <c r="GH37" i="1"/>
  <c r="GT37" i="1"/>
  <c r="GJ37" i="1"/>
  <c r="GV37" i="1"/>
  <c r="ER37" i="1"/>
  <c r="FD37" i="1"/>
  <c r="EV37" i="1"/>
  <c r="GK37" i="1"/>
  <c r="GW37" i="1"/>
  <c r="HA28" i="1"/>
  <c r="HD28" i="1"/>
  <c r="HJ28" i="1"/>
  <c r="HC28" i="1"/>
  <c r="HI28" i="1"/>
  <c r="HE28" i="1"/>
  <c r="HK28" i="1"/>
  <c r="FB45" i="1"/>
  <c r="FN45" i="1"/>
  <c r="GF45" i="1"/>
  <c r="GR45" i="1"/>
  <c r="GE45" i="1"/>
  <c r="GQ45" i="1"/>
  <c r="GD45" i="1"/>
  <c r="GP45" i="1"/>
  <c r="GI45" i="1"/>
  <c r="GU45" i="1"/>
  <c r="EU45" i="1"/>
  <c r="FG45" i="1"/>
  <c r="GM45" i="1"/>
  <c r="GY45" i="1"/>
  <c r="ES45" i="1"/>
  <c r="FE45" i="1"/>
  <c r="EV45" i="1"/>
  <c r="FA45" i="1"/>
  <c r="FM45" i="1"/>
  <c r="GG45" i="1"/>
  <c r="GL45" i="1"/>
  <c r="GX45" i="1"/>
  <c r="ER45" i="1"/>
  <c r="FD45" i="1"/>
  <c r="EW45" i="1"/>
  <c r="FI45" i="1"/>
  <c r="GC45" i="1"/>
  <c r="GO45" i="1"/>
  <c r="GH45" i="1"/>
  <c r="GT45" i="1"/>
  <c r="EY45" i="1"/>
  <c r="FK45" i="1"/>
  <c r="EX45" i="1"/>
  <c r="FJ45" i="1"/>
  <c r="GJ45" i="1"/>
  <c r="GV45" i="1"/>
  <c r="ET45" i="1"/>
  <c r="FF45" i="1"/>
  <c r="EZ45" i="1"/>
  <c r="FL45" i="1"/>
  <c r="GK45" i="1"/>
  <c r="GW45" i="1"/>
  <c r="EV103" i="1"/>
  <c r="ER103" i="1"/>
  <c r="FD103" i="1"/>
  <c r="GF103" i="1"/>
  <c r="GR103" i="1"/>
  <c r="GD103" i="1"/>
  <c r="GP103" i="1"/>
  <c r="GI103" i="1"/>
  <c r="GU103" i="1"/>
  <c r="EZ103" i="1"/>
  <c r="FL103" i="1"/>
  <c r="EY103" i="1"/>
  <c r="FK103" i="1"/>
  <c r="ET103" i="1"/>
  <c r="FF103" i="1"/>
  <c r="FB103" i="1"/>
  <c r="FN103" i="1"/>
  <c r="FA103" i="1"/>
  <c r="FM103" i="1"/>
  <c r="ES103" i="1"/>
  <c r="FE103" i="1"/>
  <c r="GG103" i="1"/>
  <c r="GC103" i="1"/>
  <c r="GO103" i="1"/>
  <c r="EX103" i="1"/>
  <c r="FJ103" i="1"/>
  <c r="GJ103" i="1"/>
  <c r="GV103" i="1"/>
  <c r="GM103" i="1"/>
  <c r="GY103" i="1"/>
  <c r="GH103" i="1"/>
  <c r="GT103" i="1"/>
  <c r="GL103" i="1"/>
  <c r="GX103" i="1"/>
  <c r="GK103" i="1"/>
  <c r="GW103" i="1"/>
  <c r="GE103" i="1"/>
  <c r="GQ103" i="1"/>
  <c r="EW103" i="1"/>
  <c r="FI103" i="1"/>
  <c r="EU103" i="1"/>
  <c r="FG103" i="1"/>
  <c r="FQ90" i="1"/>
  <c r="FP90" i="1"/>
  <c r="FQ47" i="1"/>
  <c r="FP47" i="1"/>
  <c r="FP58" i="1"/>
  <c r="FA62" i="1"/>
  <c r="FM62" i="1"/>
  <c r="GF62" i="1"/>
  <c r="GR62" i="1"/>
  <c r="GL62" i="1"/>
  <c r="GX62" i="1"/>
  <c r="EW62" i="1"/>
  <c r="FI62" i="1"/>
  <c r="FB62" i="1"/>
  <c r="FN62" i="1"/>
  <c r="GH62" i="1"/>
  <c r="GT62" i="1"/>
  <c r="GM62" i="1"/>
  <c r="GY62" i="1"/>
  <c r="EY62" i="1"/>
  <c r="FK62" i="1"/>
  <c r="GI62" i="1"/>
  <c r="GU62" i="1"/>
  <c r="ER62" i="1"/>
  <c r="FD62" i="1"/>
  <c r="ET62" i="1"/>
  <c r="FF62" i="1"/>
  <c r="EV62" i="1"/>
  <c r="GD62" i="1"/>
  <c r="GP62" i="1"/>
  <c r="EZ62" i="1"/>
  <c r="FL62" i="1"/>
  <c r="EX62" i="1"/>
  <c r="FJ62" i="1"/>
  <c r="GC62" i="1"/>
  <c r="GO62" i="1"/>
  <c r="GE62" i="1"/>
  <c r="GQ62" i="1"/>
  <c r="GG62" i="1"/>
  <c r="GK62" i="1"/>
  <c r="GW62" i="1"/>
  <c r="EU62" i="1"/>
  <c r="FG62" i="1"/>
  <c r="ES62" i="1"/>
  <c r="FE62" i="1"/>
  <c r="GJ62" i="1"/>
  <c r="GV62" i="1"/>
  <c r="FQ117" i="1"/>
  <c r="GJ113" i="1"/>
  <c r="GV113" i="1"/>
  <c r="GE113" i="1"/>
  <c r="GQ113" i="1"/>
  <c r="ER113" i="1"/>
  <c r="FD113" i="1"/>
  <c r="EX113" i="1"/>
  <c r="FJ113" i="1"/>
  <c r="EV113" i="1"/>
  <c r="GI113" i="1"/>
  <c r="GU113" i="1"/>
  <c r="EZ113" i="1"/>
  <c r="FL113" i="1"/>
  <c r="GC113" i="1"/>
  <c r="GO113" i="1"/>
  <c r="FB113" i="1"/>
  <c r="FN113" i="1"/>
  <c r="GG113" i="1"/>
  <c r="GK113" i="1"/>
  <c r="GW113" i="1"/>
  <c r="ES113" i="1"/>
  <c r="FE113" i="1"/>
  <c r="EW113" i="1"/>
  <c r="FI113" i="1"/>
  <c r="FA113" i="1"/>
  <c r="FM113" i="1"/>
  <c r="GD113" i="1"/>
  <c r="GP113" i="1"/>
  <c r="GH113" i="1"/>
  <c r="GT113" i="1"/>
  <c r="GL113" i="1"/>
  <c r="GX113" i="1"/>
  <c r="ET113" i="1"/>
  <c r="FF113" i="1"/>
  <c r="GF113" i="1"/>
  <c r="GR113" i="1"/>
  <c r="EU113" i="1"/>
  <c r="FG113" i="1"/>
  <c r="EY113" i="1"/>
  <c r="FK113" i="1"/>
  <c r="GM113" i="1"/>
  <c r="GY113" i="1"/>
  <c r="FP113" i="1"/>
  <c r="FQ113" i="1"/>
  <c r="EV60" i="1"/>
  <c r="GG60" i="1"/>
  <c r="ET60" i="1"/>
  <c r="FF60" i="1"/>
  <c r="EZ60" i="1"/>
  <c r="FL60" i="1"/>
  <c r="EX60" i="1"/>
  <c r="FJ60" i="1"/>
  <c r="GK60" i="1"/>
  <c r="GW60" i="1"/>
  <c r="EY60" i="1"/>
  <c r="FK60" i="1"/>
  <c r="FB60" i="1"/>
  <c r="FN60" i="1"/>
  <c r="FA60" i="1"/>
  <c r="FM60" i="1"/>
  <c r="GE60" i="1"/>
  <c r="GQ60" i="1"/>
  <c r="GL60" i="1"/>
  <c r="GX60" i="1"/>
  <c r="GJ60" i="1"/>
  <c r="GV60" i="1"/>
  <c r="GI60" i="1"/>
  <c r="GU60" i="1"/>
  <c r="EU60" i="1"/>
  <c r="FG60" i="1"/>
  <c r="GM60" i="1"/>
  <c r="GY60" i="1"/>
  <c r="GF60" i="1"/>
  <c r="GR60" i="1"/>
  <c r="GD60" i="1"/>
  <c r="GP60" i="1"/>
  <c r="ER60" i="1"/>
  <c r="FD60" i="1"/>
  <c r="EW60" i="1"/>
  <c r="FI60" i="1"/>
  <c r="GC60" i="1"/>
  <c r="GO60" i="1"/>
  <c r="GH60" i="1"/>
  <c r="GT60" i="1"/>
  <c r="ES60" i="1"/>
  <c r="FE60" i="1"/>
  <c r="FQ28" i="1"/>
  <c r="FP28" i="1"/>
  <c r="HA90" i="1"/>
  <c r="HE90" i="1"/>
  <c r="HK90" i="1"/>
  <c r="HD90" i="1"/>
  <c r="HJ90" i="1"/>
  <c r="HB90" i="1"/>
  <c r="HC90" i="1"/>
  <c r="HI90" i="1"/>
  <c r="EY74" i="1"/>
  <c r="FK74" i="1"/>
  <c r="GC74" i="1"/>
  <c r="GO74" i="1"/>
  <c r="EZ74" i="1"/>
  <c r="FL74" i="1"/>
  <c r="ET74" i="1"/>
  <c r="FF74" i="1"/>
  <c r="FB74" i="1"/>
  <c r="FN74" i="1"/>
  <c r="GJ74" i="1"/>
  <c r="GV74" i="1"/>
  <c r="GD74" i="1"/>
  <c r="GP74" i="1"/>
  <c r="GM74" i="1"/>
  <c r="GY74" i="1"/>
  <c r="ES74" i="1"/>
  <c r="FE74" i="1"/>
  <c r="GH74" i="1"/>
  <c r="GT74" i="1"/>
  <c r="GK74" i="1"/>
  <c r="GW74" i="1"/>
  <c r="FA74" i="1"/>
  <c r="FM74" i="1"/>
  <c r="ER74" i="1"/>
  <c r="FD74" i="1"/>
  <c r="EV74" i="1"/>
  <c r="EW74" i="1"/>
  <c r="FI74" i="1"/>
  <c r="GF74" i="1"/>
  <c r="GR74" i="1"/>
  <c r="EX74" i="1"/>
  <c r="FJ74" i="1"/>
  <c r="GG74" i="1"/>
  <c r="GL74" i="1"/>
  <c r="GX74" i="1"/>
  <c r="GI74" i="1"/>
  <c r="GU74" i="1"/>
  <c r="GE74" i="1"/>
  <c r="GQ74" i="1"/>
  <c r="EU74" i="1"/>
  <c r="FG74" i="1"/>
  <c r="ES29" i="1"/>
  <c r="FE29" i="1"/>
  <c r="EV29" i="1"/>
  <c r="EY29" i="1"/>
  <c r="FK29" i="1"/>
  <c r="GG29" i="1"/>
  <c r="FA29" i="1"/>
  <c r="FM29" i="1"/>
  <c r="GI29" i="1"/>
  <c r="GU29" i="1"/>
  <c r="GE29" i="1"/>
  <c r="GQ29" i="1"/>
  <c r="ER29" i="1"/>
  <c r="FD29" i="1"/>
  <c r="GC29" i="1"/>
  <c r="GO29" i="1"/>
  <c r="EW29" i="1"/>
  <c r="FI29" i="1"/>
  <c r="GK29" i="1"/>
  <c r="GW29" i="1"/>
  <c r="FB29" i="1"/>
  <c r="FN29" i="1"/>
  <c r="EU29" i="1"/>
  <c r="FG29" i="1"/>
  <c r="GM29" i="1"/>
  <c r="GY29" i="1"/>
  <c r="EX29" i="1"/>
  <c r="FJ29" i="1"/>
  <c r="GF29" i="1"/>
  <c r="GR29" i="1"/>
  <c r="EZ29" i="1"/>
  <c r="FL29" i="1"/>
  <c r="GH29" i="1"/>
  <c r="GT29" i="1"/>
  <c r="GL29" i="1"/>
  <c r="GX29" i="1"/>
  <c r="GJ29" i="1"/>
  <c r="GV29" i="1"/>
  <c r="GD29" i="1"/>
  <c r="GP29" i="1"/>
  <c r="ET29" i="1"/>
  <c r="FF29" i="1"/>
  <c r="ET70" i="1"/>
  <c r="FF70" i="1"/>
  <c r="ES70" i="1"/>
  <c r="FE70" i="1"/>
  <c r="FA70" i="1"/>
  <c r="FM70" i="1"/>
  <c r="ER70" i="1"/>
  <c r="FD70" i="1"/>
  <c r="GK70" i="1"/>
  <c r="GW70" i="1"/>
  <c r="EW70" i="1"/>
  <c r="FI70" i="1"/>
  <c r="GH70" i="1"/>
  <c r="GT70" i="1"/>
  <c r="FB70" i="1"/>
  <c r="FN70" i="1"/>
  <c r="GE70" i="1"/>
  <c r="GQ70" i="1"/>
  <c r="EU70" i="1"/>
  <c r="FG70" i="1"/>
  <c r="EY70" i="1"/>
  <c r="FK70" i="1"/>
  <c r="EZ70" i="1"/>
  <c r="FL70" i="1"/>
  <c r="GC70" i="1"/>
  <c r="GO70" i="1"/>
  <c r="EV70" i="1"/>
  <c r="GG70" i="1"/>
  <c r="GD70" i="1"/>
  <c r="GP70" i="1"/>
  <c r="GL70" i="1"/>
  <c r="GX70" i="1"/>
  <c r="GF70" i="1"/>
  <c r="GR70" i="1"/>
  <c r="GJ70" i="1"/>
  <c r="GV70" i="1"/>
  <c r="GI70" i="1"/>
  <c r="GU70" i="1"/>
  <c r="GM70" i="1"/>
  <c r="GY70" i="1"/>
  <c r="EX70" i="1"/>
  <c r="FJ70" i="1"/>
  <c r="GE96" i="1"/>
  <c r="GQ96" i="1"/>
  <c r="FB96" i="1"/>
  <c r="FN96" i="1"/>
  <c r="ES96" i="1"/>
  <c r="FE96" i="1"/>
  <c r="GF96" i="1"/>
  <c r="GR96" i="1"/>
  <c r="ET96" i="1"/>
  <c r="FF96" i="1"/>
  <c r="FP96" i="1"/>
  <c r="GC96" i="1"/>
  <c r="GO96" i="1"/>
  <c r="FA96" i="1"/>
  <c r="FM96" i="1"/>
  <c r="EU96" i="1"/>
  <c r="FG96" i="1"/>
  <c r="GJ96" i="1"/>
  <c r="GV96" i="1"/>
  <c r="EX96" i="1"/>
  <c r="FJ96" i="1"/>
  <c r="EW96" i="1"/>
  <c r="FI96" i="1"/>
  <c r="EY96" i="1"/>
  <c r="FK96" i="1"/>
  <c r="GL96" i="1"/>
  <c r="GX96" i="1"/>
  <c r="EV96" i="1"/>
  <c r="GK96" i="1"/>
  <c r="GW96" i="1"/>
  <c r="GD96" i="1"/>
  <c r="GP96" i="1"/>
  <c r="ER96" i="1"/>
  <c r="FD96" i="1"/>
  <c r="GG96" i="1"/>
  <c r="GH96" i="1"/>
  <c r="GT96" i="1"/>
  <c r="GI96" i="1"/>
  <c r="GU96" i="1"/>
  <c r="EZ96" i="1"/>
  <c r="FL96" i="1"/>
  <c r="GM96" i="1"/>
  <c r="GY96" i="1"/>
  <c r="FQ52" i="1"/>
  <c r="FP52" i="1"/>
  <c r="FR82" i="1"/>
  <c r="FX82" i="1"/>
  <c r="EW71" i="1"/>
  <c r="FI71" i="1"/>
  <c r="ES71" i="1"/>
  <c r="FE71" i="1"/>
  <c r="GM71" i="1"/>
  <c r="GY71" i="1"/>
  <c r="GL71" i="1"/>
  <c r="GX71" i="1"/>
  <c r="EZ71" i="1"/>
  <c r="FL71" i="1"/>
  <c r="EU71" i="1"/>
  <c r="FG71" i="1"/>
  <c r="EV71" i="1"/>
  <c r="GH71" i="1"/>
  <c r="GT71" i="1"/>
  <c r="EX71" i="1"/>
  <c r="FJ71" i="1"/>
  <c r="GK71" i="1"/>
  <c r="GW71" i="1"/>
  <c r="GJ71" i="1"/>
  <c r="GV71" i="1"/>
  <c r="ER71" i="1"/>
  <c r="FD71" i="1"/>
  <c r="GI71" i="1"/>
  <c r="GU71" i="1"/>
  <c r="GE71" i="1"/>
  <c r="GQ71" i="1"/>
  <c r="GF71" i="1"/>
  <c r="GR71" i="1"/>
  <c r="FB71" i="1"/>
  <c r="FN71" i="1"/>
  <c r="ET71" i="1"/>
  <c r="FF71" i="1"/>
  <c r="GG71" i="1"/>
  <c r="GD71" i="1"/>
  <c r="GP71" i="1"/>
  <c r="GC71" i="1"/>
  <c r="GO71" i="1"/>
  <c r="EY71" i="1"/>
  <c r="FK71" i="1"/>
  <c r="FA71" i="1"/>
  <c r="FM71" i="1"/>
  <c r="GE64" i="1"/>
  <c r="GQ64" i="1"/>
  <c r="GM64" i="1"/>
  <c r="GY64" i="1"/>
  <c r="ES64" i="1"/>
  <c r="FE64" i="1"/>
  <c r="GK64" i="1"/>
  <c r="GW64" i="1"/>
  <c r="ER64" i="1"/>
  <c r="FD64" i="1"/>
  <c r="GG64" i="1"/>
  <c r="EV64" i="1"/>
  <c r="EW64" i="1"/>
  <c r="FI64" i="1"/>
  <c r="GF64" i="1"/>
  <c r="GR64" i="1"/>
  <c r="GD64" i="1"/>
  <c r="GP64" i="1"/>
  <c r="GI64" i="1"/>
  <c r="GU64" i="1"/>
  <c r="GL64" i="1"/>
  <c r="GX64" i="1"/>
  <c r="ET64" i="1"/>
  <c r="FF64" i="1"/>
  <c r="FP64" i="1"/>
  <c r="GC64" i="1"/>
  <c r="GO64" i="1"/>
  <c r="EZ64" i="1"/>
  <c r="FL64" i="1"/>
  <c r="GH64" i="1"/>
  <c r="GT64" i="1"/>
  <c r="EY64" i="1"/>
  <c r="FK64" i="1"/>
  <c r="GJ64" i="1"/>
  <c r="GV64" i="1"/>
  <c r="FA64" i="1"/>
  <c r="FM64" i="1"/>
  <c r="EX64" i="1"/>
  <c r="FJ64" i="1"/>
  <c r="EU64" i="1"/>
  <c r="FG64" i="1"/>
  <c r="FB64" i="1"/>
  <c r="FN64" i="1"/>
  <c r="ET95" i="1"/>
  <c r="FF95" i="1"/>
  <c r="GE95" i="1"/>
  <c r="GQ95" i="1"/>
  <c r="EY95" i="1"/>
  <c r="FK95" i="1"/>
  <c r="GJ95" i="1"/>
  <c r="GV95" i="1"/>
  <c r="GL95" i="1"/>
  <c r="GX95" i="1"/>
  <c r="HC95" i="1"/>
  <c r="HI95" i="1"/>
  <c r="FB95" i="1"/>
  <c r="FN95" i="1"/>
  <c r="FT95" i="1"/>
  <c r="FZ95" i="1"/>
  <c r="EU95" i="1"/>
  <c r="FG95" i="1"/>
  <c r="EW95" i="1"/>
  <c r="FI95" i="1"/>
  <c r="GC95" i="1"/>
  <c r="GO95" i="1"/>
  <c r="GF95" i="1"/>
  <c r="GR95" i="1"/>
  <c r="GK95" i="1"/>
  <c r="GW95" i="1"/>
  <c r="GH95" i="1"/>
  <c r="GT95" i="1"/>
  <c r="GG95" i="1"/>
  <c r="ES95" i="1"/>
  <c r="FE95" i="1"/>
  <c r="ER95" i="1"/>
  <c r="FD95" i="1"/>
  <c r="GI95" i="1"/>
  <c r="GU95" i="1"/>
  <c r="EZ95" i="1"/>
  <c r="FL95" i="1"/>
  <c r="EV95" i="1"/>
  <c r="GM95" i="1"/>
  <c r="GY95" i="1"/>
  <c r="EX95" i="1"/>
  <c r="FJ95" i="1"/>
  <c r="FP95" i="1"/>
  <c r="FA95" i="1"/>
  <c r="FM95" i="1"/>
  <c r="GD95" i="1"/>
  <c r="GP95" i="1"/>
  <c r="FW110" i="1"/>
  <c r="FV110" i="1"/>
  <c r="HE55" i="1"/>
  <c r="HK55" i="1"/>
  <c r="HA55" i="1"/>
  <c r="HD55" i="1"/>
  <c r="HJ55" i="1"/>
  <c r="HC55" i="1"/>
  <c r="HI55" i="1"/>
  <c r="HB55" i="1"/>
  <c r="FQ57" i="1"/>
  <c r="GK33" i="1"/>
  <c r="GW33" i="1"/>
  <c r="GM33" i="1"/>
  <c r="GY33" i="1"/>
  <c r="ES33" i="1"/>
  <c r="FE33" i="1"/>
  <c r="EW33" i="1"/>
  <c r="FI33" i="1"/>
  <c r="FA33" i="1"/>
  <c r="FM33" i="1"/>
  <c r="GD33" i="1"/>
  <c r="GP33" i="1"/>
  <c r="GH33" i="1"/>
  <c r="GT33" i="1"/>
  <c r="GL33" i="1"/>
  <c r="GX33" i="1"/>
  <c r="GF33" i="1"/>
  <c r="GR33" i="1"/>
  <c r="EU33" i="1"/>
  <c r="FG33" i="1"/>
  <c r="EX33" i="1"/>
  <c r="FJ33" i="1"/>
  <c r="GI33" i="1"/>
  <c r="GU33" i="1"/>
  <c r="ER33" i="1"/>
  <c r="FD33" i="1"/>
  <c r="ET33" i="1"/>
  <c r="FF33" i="1"/>
  <c r="EV33" i="1"/>
  <c r="GE33" i="1"/>
  <c r="GQ33" i="1"/>
  <c r="EZ33" i="1"/>
  <c r="FL33" i="1"/>
  <c r="GC33" i="1"/>
  <c r="GO33" i="1"/>
  <c r="GG33" i="1"/>
  <c r="GJ33" i="1"/>
  <c r="GV33" i="1"/>
  <c r="FB33" i="1"/>
  <c r="FN33" i="1"/>
  <c r="EY33" i="1"/>
  <c r="FK33" i="1"/>
  <c r="FS55" i="1"/>
  <c r="FY55" i="1"/>
  <c r="FP51" i="1"/>
  <c r="FQ51" i="1"/>
  <c r="HD82" i="1"/>
  <c r="HJ82" i="1"/>
  <c r="HA82" i="1"/>
  <c r="HB82" i="1"/>
  <c r="ET83" i="1"/>
  <c r="FF83" i="1"/>
  <c r="FQ83" i="1"/>
  <c r="FA83" i="1"/>
  <c r="FM83" i="1"/>
  <c r="ES83" i="1"/>
  <c r="FE83" i="1"/>
  <c r="EZ83" i="1"/>
  <c r="FL83" i="1"/>
  <c r="GC83" i="1"/>
  <c r="GO83" i="1"/>
  <c r="GJ83" i="1"/>
  <c r="GV83" i="1"/>
  <c r="EW83" i="1"/>
  <c r="FI83" i="1"/>
  <c r="GD83" i="1"/>
  <c r="GP83" i="1"/>
  <c r="FB83" i="1"/>
  <c r="FN83" i="1"/>
  <c r="GE83" i="1"/>
  <c r="GQ83" i="1"/>
  <c r="EV83" i="1"/>
  <c r="EY83" i="1"/>
  <c r="FK83" i="1"/>
  <c r="GF83" i="1"/>
  <c r="GR83" i="1"/>
  <c r="GK83" i="1"/>
  <c r="GW83" i="1"/>
  <c r="ER83" i="1"/>
  <c r="FD83" i="1"/>
  <c r="GH83" i="1"/>
  <c r="GT83" i="1"/>
  <c r="EU83" i="1"/>
  <c r="FG83" i="1"/>
  <c r="GG83" i="1"/>
  <c r="GL83" i="1"/>
  <c r="GX83" i="1"/>
  <c r="GI83" i="1"/>
  <c r="GU83" i="1"/>
  <c r="GM83" i="1"/>
  <c r="GY83" i="1"/>
  <c r="EX83" i="1"/>
  <c r="FJ83" i="1"/>
  <c r="HD34" i="1"/>
  <c r="HJ34" i="1"/>
  <c r="HA34" i="1"/>
  <c r="HE34" i="1"/>
  <c r="HK34" i="1"/>
  <c r="HC34" i="1"/>
  <c r="HI34" i="1"/>
  <c r="HB34" i="1"/>
  <c r="ES63" i="1"/>
  <c r="FE63" i="1"/>
  <c r="GD63" i="1"/>
  <c r="GP63" i="1"/>
  <c r="GM63" i="1"/>
  <c r="GY63" i="1"/>
  <c r="EW63" i="1"/>
  <c r="FI63" i="1"/>
  <c r="EU63" i="1"/>
  <c r="FG63" i="1"/>
  <c r="GH63" i="1"/>
  <c r="GT63" i="1"/>
  <c r="EY63" i="1"/>
  <c r="FK63" i="1"/>
  <c r="EX63" i="1"/>
  <c r="FJ63" i="1"/>
  <c r="GF63" i="1"/>
  <c r="GR63" i="1"/>
  <c r="GI63" i="1"/>
  <c r="GU63" i="1"/>
  <c r="GJ63" i="1"/>
  <c r="GV63" i="1"/>
  <c r="ER63" i="1"/>
  <c r="FD63" i="1"/>
  <c r="ET63" i="1"/>
  <c r="FF63" i="1"/>
  <c r="FP63" i="1"/>
  <c r="FB63" i="1"/>
  <c r="FN63" i="1"/>
  <c r="EZ63" i="1"/>
  <c r="FL63" i="1"/>
  <c r="GC63" i="1"/>
  <c r="GO63" i="1"/>
  <c r="GE63" i="1"/>
  <c r="GQ63" i="1"/>
  <c r="GK63" i="1"/>
  <c r="GW63" i="1"/>
  <c r="EV63" i="1"/>
  <c r="GL63" i="1"/>
  <c r="GX63" i="1"/>
  <c r="FA63" i="1"/>
  <c r="FM63" i="1"/>
  <c r="GG63" i="1"/>
  <c r="HA78" i="1"/>
  <c r="HC78" i="1"/>
  <c r="HI78" i="1"/>
  <c r="HD78" i="1"/>
  <c r="HJ78" i="1"/>
  <c r="HE78" i="1"/>
  <c r="HK78" i="1"/>
  <c r="HB78" i="1"/>
  <c r="EY44" i="1"/>
  <c r="FK44" i="1"/>
  <c r="GD44" i="1"/>
  <c r="GP44" i="1"/>
  <c r="GF44" i="1"/>
  <c r="GR44" i="1"/>
  <c r="EX44" i="1"/>
  <c r="FJ44" i="1"/>
  <c r="GJ44" i="1"/>
  <c r="GV44" i="1"/>
  <c r="GI44" i="1"/>
  <c r="GU44" i="1"/>
  <c r="ER44" i="1"/>
  <c r="FD44" i="1"/>
  <c r="GL44" i="1"/>
  <c r="GX44" i="1"/>
  <c r="EV44" i="1"/>
  <c r="FA44" i="1"/>
  <c r="FM44" i="1"/>
  <c r="EZ44" i="1"/>
  <c r="FL44" i="1"/>
  <c r="GC44" i="1"/>
  <c r="GO44" i="1"/>
  <c r="GG44" i="1"/>
  <c r="GK44" i="1"/>
  <c r="GW44" i="1"/>
  <c r="ET44" i="1"/>
  <c r="FF44" i="1"/>
  <c r="FB44" i="1"/>
  <c r="FN44" i="1"/>
  <c r="GE44" i="1"/>
  <c r="GQ44" i="1"/>
  <c r="GM44" i="1"/>
  <c r="GY44" i="1"/>
  <c r="EW44" i="1"/>
  <c r="FI44" i="1"/>
  <c r="GH44" i="1"/>
  <c r="GT44" i="1"/>
  <c r="EU44" i="1"/>
  <c r="FG44" i="1"/>
  <c r="ES44" i="1"/>
  <c r="FE44" i="1"/>
  <c r="FP54" i="1"/>
  <c r="FQ54" i="1"/>
  <c r="EU39" i="1"/>
  <c r="FG39" i="1"/>
  <c r="FA39" i="1"/>
  <c r="FM39" i="1"/>
  <c r="FB39" i="1"/>
  <c r="FN39" i="1"/>
  <c r="EW39" i="1"/>
  <c r="FI39" i="1"/>
  <c r="GM39" i="1"/>
  <c r="GY39" i="1"/>
  <c r="EX39" i="1"/>
  <c r="FJ39" i="1"/>
  <c r="GI39" i="1"/>
  <c r="GU39" i="1"/>
  <c r="ES39" i="1"/>
  <c r="FE39" i="1"/>
  <c r="GD39" i="1"/>
  <c r="GP39" i="1"/>
  <c r="ER39" i="1"/>
  <c r="FD39" i="1"/>
  <c r="GH39" i="1"/>
  <c r="GT39" i="1"/>
  <c r="EV39" i="1"/>
  <c r="GL39" i="1"/>
  <c r="GX39" i="1"/>
  <c r="EZ39" i="1"/>
  <c r="FL39" i="1"/>
  <c r="GG39" i="1"/>
  <c r="ET39" i="1"/>
  <c r="FF39" i="1"/>
  <c r="FQ39" i="1"/>
  <c r="GK39" i="1"/>
  <c r="GW39" i="1"/>
  <c r="GF39" i="1"/>
  <c r="GR39" i="1"/>
  <c r="GJ39" i="1"/>
  <c r="GV39" i="1"/>
  <c r="GC39" i="1"/>
  <c r="GO39" i="1"/>
  <c r="EY39" i="1"/>
  <c r="FK39" i="1"/>
  <c r="GE39" i="1"/>
  <c r="GQ39" i="1"/>
  <c r="EZ77" i="1"/>
  <c r="FL77" i="1"/>
  <c r="EX77" i="1"/>
  <c r="FJ77" i="1"/>
  <c r="GC77" i="1"/>
  <c r="GO77" i="1"/>
  <c r="GD77" i="1"/>
  <c r="GP77" i="1"/>
  <c r="GG77" i="1"/>
  <c r="ES77" i="1"/>
  <c r="FE77" i="1"/>
  <c r="GK77" i="1"/>
  <c r="GW77" i="1"/>
  <c r="GI77" i="1"/>
  <c r="GU77" i="1"/>
  <c r="ET77" i="1"/>
  <c r="FF77" i="1"/>
  <c r="FQ77" i="1"/>
  <c r="EY77" i="1"/>
  <c r="FK77" i="1"/>
  <c r="GE77" i="1"/>
  <c r="GQ77" i="1"/>
  <c r="GJ77" i="1"/>
  <c r="GV77" i="1"/>
  <c r="EU77" i="1"/>
  <c r="FG77" i="1"/>
  <c r="FA77" i="1"/>
  <c r="FM77" i="1"/>
  <c r="GF77" i="1"/>
  <c r="GR77" i="1"/>
  <c r="GL77" i="1"/>
  <c r="GX77" i="1"/>
  <c r="EW77" i="1"/>
  <c r="FI77" i="1"/>
  <c r="FB77" i="1"/>
  <c r="FN77" i="1"/>
  <c r="ER77" i="1"/>
  <c r="FD77" i="1"/>
  <c r="EV77" i="1"/>
  <c r="GH77" i="1"/>
  <c r="GT77" i="1"/>
  <c r="GM77" i="1"/>
  <c r="GY77" i="1"/>
  <c r="FS34" i="1"/>
  <c r="FY34" i="1"/>
  <c r="FT28" i="1"/>
  <c r="FZ28" i="1"/>
  <c r="FT34" i="1"/>
  <c r="FZ34" i="1"/>
  <c r="FR32" i="1"/>
  <c r="FX32" i="1"/>
  <c r="GC115" i="1"/>
  <c r="GO115" i="1"/>
  <c r="GG115" i="1"/>
  <c r="GK115" i="1"/>
  <c r="GW115" i="1"/>
  <c r="ES115" i="1"/>
  <c r="FE115" i="1"/>
  <c r="EW115" i="1"/>
  <c r="FI115" i="1"/>
  <c r="FA115" i="1"/>
  <c r="FM115" i="1"/>
  <c r="GD115" i="1"/>
  <c r="GP115" i="1"/>
  <c r="GH115" i="1"/>
  <c r="GT115" i="1"/>
  <c r="GL115" i="1"/>
  <c r="GX115" i="1"/>
  <c r="EU115" i="1"/>
  <c r="FG115" i="1"/>
  <c r="FB115" i="1"/>
  <c r="FN115" i="1"/>
  <c r="EY115" i="1"/>
  <c r="FK115" i="1"/>
  <c r="GM115" i="1"/>
  <c r="GY115" i="1"/>
  <c r="GF115" i="1"/>
  <c r="GR115" i="1"/>
  <c r="EX115" i="1"/>
  <c r="FJ115" i="1"/>
  <c r="ER115" i="1"/>
  <c r="FD115" i="1"/>
  <c r="GJ115" i="1"/>
  <c r="GV115" i="1"/>
  <c r="GI115" i="1"/>
  <c r="GU115" i="1"/>
  <c r="EV115" i="1"/>
  <c r="EZ115" i="1"/>
  <c r="FL115" i="1"/>
  <c r="ET115" i="1"/>
  <c r="FF115" i="1"/>
  <c r="GE115" i="1"/>
  <c r="GQ115" i="1"/>
  <c r="FB91" i="1"/>
  <c r="FN91" i="1"/>
  <c r="EX91" i="1"/>
  <c r="FJ91" i="1"/>
  <c r="EW91" i="1"/>
  <c r="FI91" i="1"/>
  <c r="GL91" i="1"/>
  <c r="GX91" i="1"/>
  <c r="GK91" i="1"/>
  <c r="GW91" i="1"/>
  <c r="GM91" i="1"/>
  <c r="GY91" i="1"/>
  <c r="GI91" i="1"/>
  <c r="GU91" i="1"/>
  <c r="ES91" i="1"/>
  <c r="FE91" i="1"/>
  <c r="GJ91" i="1"/>
  <c r="GV91" i="1"/>
  <c r="GH91" i="1"/>
  <c r="GT91" i="1"/>
  <c r="FA91" i="1"/>
  <c r="FM91" i="1"/>
  <c r="GF91" i="1"/>
  <c r="GR91" i="1"/>
  <c r="EV91" i="1"/>
  <c r="GG91" i="1"/>
  <c r="ER91" i="1"/>
  <c r="FD91" i="1"/>
  <c r="GC91" i="1"/>
  <c r="GO91" i="1"/>
  <c r="GD91" i="1"/>
  <c r="GP91" i="1"/>
  <c r="EU91" i="1"/>
  <c r="FG91" i="1"/>
  <c r="GE91" i="1"/>
  <c r="GQ91" i="1"/>
  <c r="EY91" i="1"/>
  <c r="FK91" i="1"/>
  <c r="ET91" i="1"/>
  <c r="FF91" i="1"/>
  <c r="EZ91" i="1"/>
  <c r="FL91" i="1"/>
  <c r="HE84" i="1"/>
  <c r="HK84" i="1"/>
  <c r="HC84" i="1"/>
  <c r="HI84" i="1"/>
  <c r="HD84" i="1"/>
  <c r="HJ84" i="1"/>
  <c r="HB84" i="1"/>
  <c r="HA84" i="1"/>
  <c r="GE41" i="1"/>
  <c r="GQ41" i="1"/>
  <c r="GI41" i="1"/>
  <c r="GU41" i="1"/>
  <c r="GM41" i="1"/>
  <c r="GY41" i="1"/>
  <c r="ER41" i="1"/>
  <c r="FD41" i="1"/>
  <c r="EV41" i="1"/>
  <c r="GK41" i="1"/>
  <c r="GW41" i="1"/>
  <c r="EZ41" i="1"/>
  <c r="FL41" i="1"/>
  <c r="GC41" i="1"/>
  <c r="GO41" i="1"/>
  <c r="GG41" i="1"/>
  <c r="EU41" i="1"/>
  <c r="FG41" i="1"/>
  <c r="ES41" i="1"/>
  <c r="FE41" i="1"/>
  <c r="EY41" i="1"/>
  <c r="FK41" i="1"/>
  <c r="EW41" i="1"/>
  <c r="FI41" i="1"/>
  <c r="GF41" i="1"/>
  <c r="GR41" i="1"/>
  <c r="FA41" i="1"/>
  <c r="FM41" i="1"/>
  <c r="GJ41" i="1"/>
  <c r="GV41" i="1"/>
  <c r="GD41" i="1"/>
  <c r="GP41" i="1"/>
  <c r="GH41" i="1"/>
  <c r="GT41" i="1"/>
  <c r="ET41" i="1"/>
  <c r="FF41" i="1"/>
  <c r="EX41" i="1"/>
  <c r="FJ41" i="1"/>
  <c r="FB41" i="1"/>
  <c r="FN41" i="1"/>
  <c r="GL41" i="1"/>
  <c r="GX41" i="1"/>
  <c r="FQ89" i="1"/>
  <c r="FP89" i="1"/>
  <c r="FP66" i="1"/>
  <c r="FQ66" i="1"/>
  <c r="HB100" i="1"/>
  <c r="HA100" i="1"/>
  <c r="HC100" i="1"/>
  <c r="HI100" i="1"/>
  <c r="HD100" i="1"/>
  <c r="HJ100" i="1"/>
  <c r="HE100" i="1"/>
  <c r="HK100" i="1"/>
  <c r="FQ75" i="1"/>
  <c r="FP75" i="1"/>
  <c r="FP60" i="1"/>
  <c r="FQ60" i="1"/>
  <c r="GG104" i="1"/>
  <c r="EW104" i="1"/>
  <c r="FI104" i="1"/>
  <c r="GH104" i="1"/>
  <c r="GT104" i="1"/>
  <c r="ET104" i="1"/>
  <c r="FF104" i="1"/>
  <c r="ER104" i="1"/>
  <c r="FD104" i="1"/>
  <c r="EX104" i="1"/>
  <c r="FJ104" i="1"/>
  <c r="EZ104" i="1"/>
  <c r="FL104" i="1"/>
  <c r="FB104" i="1"/>
  <c r="FN104" i="1"/>
  <c r="GC104" i="1"/>
  <c r="GO104" i="1"/>
  <c r="GE104" i="1"/>
  <c r="GQ104" i="1"/>
  <c r="GK104" i="1"/>
  <c r="GW104" i="1"/>
  <c r="ES104" i="1"/>
  <c r="FE104" i="1"/>
  <c r="GI104" i="1"/>
  <c r="GU104" i="1"/>
  <c r="FA104" i="1"/>
  <c r="FM104" i="1"/>
  <c r="GM104" i="1"/>
  <c r="GY104" i="1"/>
  <c r="GD104" i="1"/>
  <c r="GP104" i="1"/>
  <c r="EU104" i="1"/>
  <c r="FG104" i="1"/>
  <c r="EY104" i="1"/>
  <c r="FK104" i="1"/>
  <c r="GF104" i="1"/>
  <c r="GR104" i="1"/>
  <c r="GJ104" i="1"/>
  <c r="GV104" i="1"/>
  <c r="EV104" i="1"/>
  <c r="GL104" i="1"/>
  <c r="GX104" i="1"/>
  <c r="GI85" i="1"/>
  <c r="GU85" i="1"/>
  <c r="GJ85" i="1"/>
  <c r="GV85" i="1"/>
  <c r="GF85" i="1"/>
  <c r="GR85" i="1"/>
  <c r="ES85" i="1"/>
  <c r="FE85" i="1"/>
  <c r="GK85" i="1"/>
  <c r="GW85" i="1"/>
  <c r="GG85" i="1"/>
  <c r="GH85" i="1"/>
  <c r="GT85" i="1"/>
  <c r="ET85" i="1"/>
  <c r="FF85" i="1"/>
  <c r="FP85" i="1"/>
  <c r="GC85" i="1"/>
  <c r="GO85" i="1"/>
  <c r="EV85" i="1"/>
  <c r="GE85" i="1"/>
  <c r="GQ85" i="1"/>
  <c r="EX85" i="1"/>
  <c r="FJ85" i="1"/>
  <c r="EU85" i="1"/>
  <c r="FG85" i="1"/>
  <c r="EY85" i="1"/>
  <c r="FK85" i="1"/>
  <c r="EZ85" i="1"/>
  <c r="FL85" i="1"/>
  <c r="GM85" i="1"/>
  <c r="GY85" i="1"/>
  <c r="FA85" i="1"/>
  <c r="FM85" i="1"/>
  <c r="ER85" i="1"/>
  <c r="FD85" i="1"/>
  <c r="FB85" i="1"/>
  <c r="FN85" i="1"/>
  <c r="GD85" i="1"/>
  <c r="GP85" i="1"/>
  <c r="EW85" i="1"/>
  <c r="FI85" i="1"/>
  <c r="GL85" i="1"/>
  <c r="GX85" i="1"/>
  <c r="FQ35" i="1"/>
  <c r="FP35" i="1"/>
  <c r="FP116" i="1"/>
  <c r="FQ116" i="1"/>
  <c r="GF107" i="1"/>
  <c r="GR107" i="1"/>
  <c r="EV107" i="1"/>
  <c r="GJ107" i="1"/>
  <c r="GV107" i="1"/>
  <c r="GL107" i="1"/>
  <c r="GX107" i="1"/>
  <c r="ER107" i="1"/>
  <c r="FD107" i="1"/>
  <c r="FA107" i="1"/>
  <c r="FM107" i="1"/>
  <c r="EW107" i="1"/>
  <c r="FI107" i="1"/>
  <c r="GG107" i="1"/>
  <c r="EZ107" i="1"/>
  <c r="FL107" i="1"/>
  <c r="FB107" i="1"/>
  <c r="FN107" i="1"/>
  <c r="GC107" i="1"/>
  <c r="GO107" i="1"/>
  <c r="GH107" i="1"/>
  <c r="GT107" i="1"/>
  <c r="GM107" i="1"/>
  <c r="GY107" i="1"/>
  <c r="ES107" i="1"/>
  <c r="FE107" i="1"/>
  <c r="EX107" i="1"/>
  <c r="FJ107" i="1"/>
  <c r="GD107" i="1"/>
  <c r="GP107" i="1"/>
  <c r="GI107" i="1"/>
  <c r="GU107" i="1"/>
  <c r="ET107" i="1"/>
  <c r="FF107" i="1"/>
  <c r="FP107" i="1"/>
  <c r="GE107" i="1"/>
  <c r="GQ107" i="1"/>
  <c r="GK107" i="1"/>
  <c r="GW107" i="1"/>
  <c r="EY107" i="1"/>
  <c r="FK107" i="1"/>
  <c r="EU107" i="1"/>
  <c r="FG107" i="1"/>
  <c r="HC51" i="1"/>
  <c r="HI51" i="1"/>
  <c r="HB51" i="1"/>
  <c r="HA51" i="1"/>
  <c r="HE51" i="1"/>
  <c r="HK51" i="1"/>
  <c r="HD51" i="1"/>
  <c r="HJ51" i="1"/>
  <c r="FP78" i="1"/>
  <c r="FQ78" i="1"/>
  <c r="FP80" i="1"/>
  <c r="FQ80" i="1"/>
  <c r="BC22" i="3"/>
  <c r="BQ22" i="3"/>
  <c r="BO21" i="3"/>
  <c r="BA22" i="3"/>
  <c r="BO22" i="3"/>
  <c r="BS24" i="3"/>
  <c r="BC24" i="3"/>
  <c r="BQ24" i="3"/>
  <c r="BG24" i="3"/>
  <c r="BU24" i="3"/>
  <c r="BU26" i="3"/>
  <c r="BY24" i="3"/>
  <c r="CC24" i="3"/>
  <c r="CC25" i="3"/>
  <c r="BK24" i="3"/>
  <c r="AY24" i="3"/>
  <c r="BM24" i="3"/>
  <c r="AX23" i="3"/>
  <c r="AU23" i="3"/>
  <c r="BI23" i="3"/>
  <c r="BW23" i="3"/>
  <c r="AV23" i="3"/>
  <c r="BL23" i="3"/>
  <c r="BV23" i="3"/>
  <c r="AW23" i="3"/>
  <c r="AV27" i="3"/>
  <c r="BV27" i="3"/>
  <c r="AT30" i="3"/>
  <c r="BE27" i="3"/>
  <c r="BE28" i="3"/>
  <c r="BE29" i="3"/>
  <c r="AT28" i="3"/>
  <c r="AU27" i="3"/>
  <c r="BI27" i="3"/>
  <c r="BW27" i="3"/>
  <c r="CA27" i="3"/>
  <c r="AX27" i="3"/>
  <c r="AW27" i="3"/>
  <c r="BF28" i="3"/>
  <c r="BE25" i="3"/>
  <c r="BJ24" i="3"/>
  <c r="BX24" i="3"/>
  <c r="CB24" i="3"/>
  <c r="CB25" i="3"/>
  <c r="AZ25" i="3"/>
  <c r="BN25" i="3"/>
  <c r="AZ24" i="3"/>
  <c r="BN24" i="3"/>
  <c r="BZ24" i="3"/>
  <c r="CD24" i="3"/>
  <c r="CD25" i="3"/>
  <c r="AW25" i="3"/>
  <c r="AU25" i="3"/>
  <c r="BI25" i="3"/>
  <c r="BW25" i="3"/>
  <c r="AT26" i="3"/>
  <c r="AV25" i="3"/>
  <c r="BL25" i="3"/>
  <c r="AX25" i="3"/>
  <c r="BJ20" i="3"/>
  <c r="BX20" i="3"/>
  <c r="BZ20" i="3"/>
  <c r="BK20" i="3"/>
  <c r="BY20" i="3"/>
  <c r="BJ22" i="3"/>
  <c r="BX22" i="3"/>
  <c r="BZ22" i="3"/>
  <c r="BS26" i="3"/>
  <c r="BG26" i="3"/>
  <c r="BA24" i="3"/>
  <c r="BH25" i="3"/>
  <c r="BV25" i="3"/>
  <c r="BT25" i="3"/>
  <c r="BY22" i="3"/>
  <c r="BK22" i="3"/>
  <c r="AY25" i="3"/>
  <c r="BM25" i="3"/>
  <c r="BD25" i="3"/>
  <c r="BR25" i="3"/>
  <c r="BL24" i="3"/>
  <c r="BI24" i="3"/>
  <c r="BW24" i="3"/>
  <c r="CA24" i="3"/>
  <c r="CA25" i="3"/>
  <c r="FP4" i="1"/>
  <c r="FV4" i="1"/>
  <c r="EI11" i="1"/>
  <c r="EJ11" i="1"/>
  <c r="EM17" i="1"/>
  <c r="EI10" i="1"/>
  <c r="EJ10" i="1"/>
  <c r="EM12" i="1"/>
  <c r="EM8" i="1"/>
  <c r="EI17" i="1"/>
  <c r="EJ17" i="1"/>
  <c r="HD7" i="1"/>
  <c r="HJ7" i="1"/>
  <c r="EK13" i="1"/>
  <c r="EI13" i="1"/>
  <c r="EJ13" i="1"/>
  <c r="EK12" i="1"/>
  <c r="EI12" i="1"/>
  <c r="EJ12" i="1"/>
  <c r="EL7" i="1"/>
  <c r="FQ7" i="1"/>
  <c r="EM7" i="1"/>
  <c r="GC24" i="1"/>
  <c r="GO24" i="1"/>
  <c r="FA24" i="1"/>
  <c r="EW24" i="1"/>
  <c r="FI24" i="1"/>
  <c r="EY24" i="1"/>
  <c r="FK24" i="1"/>
  <c r="EZ24" i="1"/>
  <c r="ET24" i="1"/>
  <c r="FF24" i="1"/>
  <c r="GG24" i="1"/>
  <c r="GS24" i="1"/>
  <c r="GD24" i="1"/>
  <c r="GE24" i="1"/>
  <c r="GQ24" i="1"/>
  <c r="GM24" i="1"/>
  <c r="GY24" i="1"/>
  <c r="GH24" i="1"/>
  <c r="GT24" i="1"/>
  <c r="FB24" i="1"/>
  <c r="FN24" i="1"/>
  <c r="EV24" i="1"/>
  <c r="FH24" i="1"/>
  <c r="ER24" i="1"/>
  <c r="FD24" i="1"/>
  <c r="ES24" i="1"/>
  <c r="GF24" i="1"/>
  <c r="GR24" i="1"/>
  <c r="EX24" i="1"/>
  <c r="GK24" i="1"/>
  <c r="GI24" i="1"/>
  <c r="GJ24" i="1"/>
  <c r="GV24" i="1"/>
  <c r="EU24" i="1"/>
  <c r="FG24" i="1"/>
  <c r="GL24" i="1"/>
  <c r="EK11" i="1"/>
  <c r="EL5" i="1"/>
  <c r="EM5" i="1"/>
  <c r="GD22" i="1"/>
  <c r="EX22" i="1"/>
  <c r="EY22" i="1"/>
  <c r="FK22" i="1"/>
  <c r="FA22" i="1"/>
  <c r="GI22" i="1"/>
  <c r="ER22" i="1"/>
  <c r="FD22" i="1"/>
  <c r="GH22" i="1"/>
  <c r="GT22" i="1"/>
  <c r="GE22" i="1"/>
  <c r="GQ22" i="1"/>
  <c r="GF22" i="1"/>
  <c r="GR22" i="1"/>
  <c r="GG22" i="1"/>
  <c r="GS22" i="1"/>
  <c r="EW22" i="1"/>
  <c r="FI22" i="1"/>
  <c r="EZ22" i="1"/>
  <c r="ES22" i="1"/>
  <c r="ET22" i="1"/>
  <c r="FF22" i="1"/>
  <c r="EU22" i="1"/>
  <c r="FG22" i="1"/>
  <c r="EV22" i="1"/>
  <c r="FH22" i="1"/>
  <c r="GL22" i="1"/>
  <c r="GJ22" i="1"/>
  <c r="GV22" i="1"/>
  <c r="GK22" i="1"/>
  <c r="GM22" i="1"/>
  <c r="GY22" i="1"/>
  <c r="GC22" i="1"/>
  <c r="GO22" i="1"/>
  <c r="FB22" i="1"/>
  <c r="FN22" i="1"/>
  <c r="GF23" i="1"/>
  <c r="GR23" i="1"/>
  <c r="GG23" i="1"/>
  <c r="GS23" i="1"/>
  <c r="GC23" i="1"/>
  <c r="GO23" i="1"/>
  <c r="EX23" i="1"/>
  <c r="GE23" i="1"/>
  <c r="GQ23" i="1"/>
  <c r="ES23" i="1"/>
  <c r="GJ23" i="1"/>
  <c r="GV23" i="1"/>
  <c r="GL23" i="1"/>
  <c r="GX23" i="1"/>
  <c r="GH23" i="1"/>
  <c r="GT23" i="1"/>
  <c r="GD23" i="1"/>
  <c r="GK23" i="1"/>
  <c r="FA23" i="1"/>
  <c r="FM23" i="1"/>
  <c r="EZ23" i="1"/>
  <c r="FB23" i="1"/>
  <c r="FN23" i="1"/>
  <c r="ER23" i="1"/>
  <c r="FD23" i="1"/>
  <c r="EY23" i="1"/>
  <c r="FK23" i="1"/>
  <c r="EW23" i="1"/>
  <c r="FI23" i="1"/>
  <c r="EU23" i="1"/>
  <c r="FG23" i="1"/>
  <c r="EV23" i="1"/>
  <c r="FH23" i="1"/>
  <c r="GM23" i="1"/>
  <c r="GY23" i="1"/>
  <c r="GI23" i="1"/>
  <c r="ET23" i="1"/>
  <c r="FF23" i="1"/>
  <c r="EK5" i="1"/>
  <c r="EI5" i="1"/>
  <c r="EJ5" i="1"/>
  <c r="R4" i="3"/>
  <c r="EK10" i="1"/>
  <c r="EI8" i="1"/>
  <c r="EJ8" i="1"/>
  <c r="EK8" i="1"/>
  <c r="EK9" i="1"/>
  <c r="EI9" i="1"/>
  <c r="EJ9" i="1"/>
  <c r="HB7" i="1"/>
  <c r="HH21" i="1"/>
  <c r="HG21" i="1"/>
  <c r="HG25" i="1"/>
  <c r="HH25" i="1"/>
  <c r="HK7" i="1"/>
  <c r="FS7" i="1"/>
  <c r="FY7" i="1"/>
  <c r="FT7" i="1"/>
  <c r="FZ7" i="1"/>
  <c r="HB15" i="1"/>
  <c r="AV17" i="3"/>
  <c r="BL17" i="3"/>
  <c r="AK4" i="3"/>
  <c r="FQ3" i="1"/>
  <c r="FI3" i="1"/>
  <c r="FT3" i="1"/>
  <c r="FZ3" i="1"/>
  <c r="HA3" i="1"/>
  <c r="HB3" i="1"/>
  <c r="HE3" i="1"/>
  <c r="HK3" i="1"/>
  <c r="HD3" i="1"/>
  <c r="HJ3" i="1"/>
  <c r="FS3" i="1"/>
  <c r="FY3" i="1"/>
  <c r="HH6" i="1"/>
  <c r="HG6" i="1"/>
  <c r="GG17" i="1"/>
  <c r="GK17" i="1"/>
  <c r="EV17" i="1"/>
  <c r="EX17" i="1"/>
  <c r="FJ17" i="1"/>
  <c r="GD17" i="1"/>
  <c r="GP17" i="1"/>
  <c r="GC17" i="1"/>
  <c r="GO17" i="1"/>
  <c r="EW17" i="1"/>
  <c r="FI17" i="1"/>
  <c r="FB17" i="1"/>
  <c r="FN17" i="1"/>
  <c r="ER17" i="1"/>
  <c r="FD17" i="1"/>
  <c r="GJ17" i="1"/>
  <c r="GV17" i="1"/>
  <c r="ES17" i="1"/>
  <c r="FE17" i="1"/>
  <c r="GL17" i="1"/>
  <c r="GM17" i="1"/>
  <c r="GY17" i="1"/>
  <c r="ET17" i="1"/>
  <c r="FF17" i="1"/>
  <c r="EY17" i="1"/>
  <c r="FK17" i="1"/>
  <c r="EU17" i="1"/>
  <c r="FG17" i="1"/>
  <c r="GH17" i="1"/>
  <c r="GT17" i="1"/>
  <c r="FA17" i="1"/>
  <c r="GE17" i="1"/>
  <c r="GQ17" i="1"/>
  <c r="GI17" i="1"/>
  <c r="GU17" i="1"/>
  <c r="EZ17" i="1"/>
  <c r="GF17" i="1"/>
  <c r="GR17" i="1"/>
  <c r="HH4" i="1"/>
  <c r="HG4" i="1"/>
  <c r="HH15" i="1"/>
  <c r="HG15" i="1"/>
  <c r="FW15" i="1"/>
  <c r="FV15" i="1"/>
  <c r="HB14" i="1"/>
  <c r="HA14" i="1"/>
  <c r="FV14" i="1"/>
  <c r="FW14" i="1"/>
  <c r="HH7" i="1"/>
  <c r="HG7" i="1"/>
  <c r="FP3" i="1"/>
  <c r="BC25" i="3"/>
  <c r="BQ25" i="3"/>
  <c r="BB25" i="3"/>
  <c r="BP25" i="3"/>
  <c r="FT88" i="1"/>
  <c r="FZ88" i="1"/>
  <c r="FP93" i="1"/>
  <c r="FQ65" i="1"/>
  <c r="FP49" i="1"/>
  <c r="FQ104" i="1"/>
  <c r="FQ91" i="1"/>
  <c r="FP88" i="1"/>
  <c r="FW88" i="1"/>
  <c r="FP62" i="1"/>
  <c r="FQ101" i="1"/>
  <c r="FP112" i="1"/>
  <c r="FP83" i="1"/>
  <c r="FV83" i="1"/>
  <c r="HA64" i="1"/>
  <c r="FQ71" i="1"/>
  <c r="FQ96" i="1"/>
  <c r="HB57" i="1"/>
  <c r="FP79" i="1"/>
  <c r="FV79" i="1"/>
  <c r="FP109" i="1"/>
  <c r="FP44" i="1"/>
  <c r="HA47" i="1"/>
  <c r="HH47" i="1"/>
  <c r="FQ107" i="1"/>
  <c r="HD95" i="1"/>
  <c r="HJ95" i="1"/>
  <c r="FQ69" i="1"/>
  <c r="FP39" i="1"/>
  <c r="FQ42" i="1"/>
  <c r="HC47" i="1"/>
  <c r="HI47" i="1"/>
  <c r="FQ37" i="1"/>
  <c r="FQ95" i="1"/>
  <c r="HK111" i="1"/>
  <c r="FR47" i="1"/>
  <c r="FX47" i="1"/>
  <c r="FQ103" i="1"/>
  <c r="FP111" i="1"/>
  <c r="FV111" i="1"/>
  <c r="FQ97" i="1"/>
  <c r="FQ94" i="1"/>
  <c r="FP106" i="1"/>
  <c r="FP61" i="1"/>
  <c r="FQ33" i="1"/>
  <c r="FP45" i="1"/>
  <c r="FP101" i="1"/>
  <c r="FW64" i="1"/>
  <c r="FV64" i="1"/>
  <c r="FW112" i="1"/>
  <c r="FV112" i="1"/>
  <c r="FV109" i="1"/>
  <c r="FW109" i="1"/>
  <c r="FV44" i="1"/>
  <c r="FW44" i="1"/>
  <c r="FW68" i="1"/>
  <c r="FV68" i="1"/>
  <c r="FW72" i="1"/>
  <c r="FV72" i="1"/>
  <c r="FW107" i="1"/>
  <c r="FV107" i="1"/>
  <c r="FV42" i="1"/>
  <c r="FW42" i="1"/>
  <c r="FV96" i="1"/>
  <c r="FW96" i="1"/>
  <c r="FV62" i="1"/>
  <c r="FW62" i="1"/>
  <c r="FV45" i="1"/>
  <c r="FW45" i="1"/>
  <c r="FV36" i="1"/>
  <c r="FW36" i="1"/>
  <c r="FV93" i="1"/>
  <c r="FW93" i="1"/>
  <c r="FV50" i="1"/>
  <c r="FW50" i="1"/>
  <c r="FV49" i="1"/>
  <c r="FW49" i="1"/>
  <c r="FV118" i="1"/>
  <c r="FW118" i="1"/>
  <c r="FW106" i="1"/>
  <c r="FV106" i="1"/>
  <c r="FV80" i="1"/>
  <c r="FW80" i="1"/>
  <c r="FW35" i="1"/>
  <c r="FV35" i="1"/>
  <c r="FQ112" i="1"/>
  <c r="HG82" i="1"/>
  <c r="HH82" i="1"/>
  <c r="FR74" i="1"/>
  <c r="FX74" i="1"/>
  <c r="FT74" i="1"/>
  <c r="FZ74" i="1"/>
  <c r="FS74" i="1"/>
  <c r="FY74" i="1"/>
  <c r="FR60" i="1"/>
  <c r="FX60" i="1"/>
  <c r="FT60" i="1"/>
  <c r="FZ60" i="1"/>
  <c r="FS60" i="1"/>
  <c r="FY60" i="1"/>
  <c r="HA103" i="1"/>
  <c r="HD103" i="1"/>
  <c r="HJ103" i="1"/>
  <c r="HB103" i="1"/>
  <c r="HE103" i="1"/>
  <c r="HK103" i="1"/>
  <c r="HC103" i="1"/>
  <c r="HI103" i="1"/>
  <c r="FR88" i="1"/>
  <c r="FX88" i="1"/>
  <c r="FS88" i="1"/>
  <c r="FY88" i="1"/>
  <c r="FW87" i="1"/>
  <c r="FV87" i="1"/>
  <c r="HJ79" i="1"/>
  <c r="HA79" i="1"/>
  <c r="HB79" i="1"/>
  <c r="HE79" i="1"/>
  <c r="HK79" i="1"/>
  <c r="FQ79" i="1"/>
  <c r="FQ62" i="1"/>
  <c r="HA109" i="1"/>
  <c r="HD109" i="1"/>
  <c r="HJ109" i="1"/>
  <c r="HB109" i="1"/>
  <c r="HC109" i="1"/>
  <c r="HI109" i="1"/>
  <c r="HE109" i="1"/>
  <c r="HK109" i="1"/>
  <c r="FQ64" i="1"/>
  <c r="HD98" i="1"/>
  <c r="HJ98" i="1"/>
  <c r="HB98" i="1"/>
  <c r="HC98" i="1"/>
  <c r="HI98" i="1"/>
  <c r="HE98" i="1"/>
  <c r="HK98" i="1"/>
  <c r="HA98" i="1"/>
  <c r="FW82" i="1"/>
  <c r="FV82" i="1"/>
  <c r="HG110" i="1"/>
  <c r="HH110" i="1"/>
  <c r="FR80" i="1"/>
  <c r="FX80" i="1"/>
  <c r="FS80" i="1"/>
  <c r="FY80" i="1"/>
  <c r="FT80" i="1"/>
  <c r="FZ80" i="1"/>
  <c r="FR76" i="1"/>
  <c r="FX76" i="1"/>
  <c r="FS76" i="1"/>
  <c r="FY76" i="1"/>
  <c r="FT76" i="1"/>
  <c r="FZ76" i="1"/>
  <c r="FV40" i="1"/>
  <c r="FW40" i="1"/>
  <c r="HH75" i="1"/>
  <c r="HG75" i="1"/>
  <c r="FR112" i="1"/>
  <c r="FX112" i="1"/>
  <c r="FT112" i="1"/>
  <c r="FZ112" i="1"/>
  <c r="FS112" i="1"/>
  <c r="FY112" i="1"/>
  <c r="HD67" i="1"/>
  <c r="HJ67" i="1"/>
  <c r="HE67" i="1"/>
  <c r="HK67" i="1"/>
  <c r="HC67" i="1"/>
  <c r="HI67" i="1"/>
  <c r="HB67" i="1"/>
  <c r="HA67" i="1"/>
  <c r="FR53" i="1"/>
  <c r="FX53" i="1"/>
  <c r="FT53" i="1"/>
  <c r="FZ53" i="1"/>
  <c r="FS53" i="1"/>
  <c r="FY53" i="1"/>
  <c r="FW84" i="1"/>
  <c r="FV84" i="1"/>
  <c r="HA96" i="1"/>
  <c r="HD96" i="1"/>
  <c r="HJ96" i="1"/>
  <c r="HB96" i="1"/>
  <c r="HC96" i="1"/>
  <c r="HI96" i="1"/>
  <c r="HE96" i="1"/>
  <c r="HK96" i="1"/>
  <c r="FR56" i="1"/>
  <c r="FX56" i="1"/>
  <c r="FS56" i="1"/>
  <c r="FY56" i="1"/>
  <c r="FT56" i="1"/>
  <c r="FZ56" i="1"/>
  <c r="FW38" i="1"/>
  <c r="FV38" i="1"/>
  <c r="HE48" i="1"/>
  <c r="HK48" i="1"/>
  <c r="HA48" i="1"/>
  <c r="HC48" i="1"/>
  <c r="HI48" i="1"/>
  <c r="HD48" i="1"/>
  <c r="HJ48" i="1"/>
  <c r="HB48" i="1"/>
  <c r="FP97" i="1"/>
  <c r="FV32" i="1"/>
  <c r="FW32" i="1"/>
  <c r="HB81" i="1"/>
  <c r="HC81" i="1"/>
  <c r="HI81" i="1"/>
  <c r="HD81" i="1"/>
  <c r="HJ81" i="1"/>
  <c r="HA81" i="1"/>
  <c r="HE81" i="1"/>
  <c r="HK81" i="1"/>
  <c r="HD35" i="1"/>
  <c r="HJ35" i="1"/>
  <c r="HE35" i="1"/>
  <c r="HK35" i="1"/>
  <c r="HB35" i="1"/>
  <c r="HA35" i="1"/>
  <c r="HC35" i="1"/>
  <c r="HI35" i="1"/>
  <c r="HG116" i="1"/>
  <c r="HH116" i="1"/>
  <c r="HG100" i="1"/>
  <c r="HH100" i="1"/>
  <c r="FR59" i="1"/>
  <c r="FX59" i="1"/>
  <c r="FS59" i="1"/>
  <c r="FY59" i="1"/>
  <c r="FT59" i="1"/>
  <c r="FZ59" i="1"/>
  <c r="FR109" i="1"/>
  <c r="FX109" i="1"/>
  <c r="FS109" i="1"/>
  <c r="FY109" i="1"/>
  <c r="FT109" i="1"/>
  <c r="FZ109" i="1"/>
  <c r="FV78" i="1"/>
  <c r="FW78" i="1"/>
  <c r="FQ45" i="1"/>
  <c r="FW66" i="1"/>
  <c r="FV66" i="1"/>
  <c r="HB63" i="1"/>
  <c r="HC63" i="1"/>
  <c r="HI63" i="1"/>
  <c r="HD63" i="1"/>
  <c r="HJ63" i="1"/>
  <c r="HA63" i="1"/>
  <c r="HE63" i="1"/>
  <c r="HK63" i="1"/>
  <c r="HB64" i="1"/>
  <c r="HD64" i="1"/>
  <c r="HJ64" i="1"/>
  <c r="HE64" i="1"/>
  <c r="HK64" i="1"/>
  <c r="FP53" i="1"/>
  <c r="HC57" i="1"/>
  <c r="HI57" i="1"/>
  <c r="HE57" i="1"/>
  <c r="HK57" i="1"/>
  <c r="HD57" i="1"/>
  <c r="HJ57" i="1"/>
  <c r="HA57" i="1"/>
  <c r="HA111" i="1"/>
  <c r="HC111" i="1"/>
  <c r="HI111" i="1"/>
  <c r="HD111" i="1"/>
  <c r="HJ111" i="1"/>
  <c r="FR35" i="1"/>
  <c r="FX35" i="1"/>
  <c r="FT35" i="1"/>
  <c r="FZ35" i="1"/>
  <c r="FP105" i="1"/>
  <c r="FQ50" i="1"/>
  <c r="FR61" i="1"/>
  <c r="FX61" i="1"/>
  <c r="FT61" i="1"/>
  <c r="FZ61" i="1"/>
  <c r="FS61" i="1"/>
  <c r="FY61" i="1"/>
  <c r="HG47" i="1"/>
  <c r="FW54" i="1"/>
  <c r="FV54" i="1"/>
  <c r="FV63" i="1"/>
  <c r="FW63" i="1"/>
  <c r="HG99" i="1"/>
  <c r="HH99" i="1"/>
  <c r="FV60" i="1"/>
  <c r="FW60" i="1"/>
  <c r="FW89" i="1"/>
  <c r="FV89" i="1"/>
  <c r="HA91" i="1"/>
  <c r="HC91" i="1"/>
  <c r="HI91" i="1"/>
  <c r="HE91" i="1"/>
  <c r="HK91" i="1"/>
  <c r="HD91" i="1"/>
  <c r="HJ91" i="1"/>
  <c r="HB91" i="1"/>
  <c r="FV51" i="1"/>
  <c r="FW51" i="1"/>
  <c r="FW65" i="1"/>
  <c r="FV65" i="1"/>
  <c r="FQ53" i="1"/>
  <c r="FV100" i="1"/>
  <c r="FW100" i="1"/>
  <c r="HA108" i="1"/>
  <c r="HE108" i="1"/>
  <c r="HK108" i="1"/>
  <c r="HD108" i="1"/>
  <c r="HJ108" i="1"/>
  <c r="HB108" i="1"/>
  <c r="HC108" i="1"/>
  <c r="HI108" i="1"/>
  <c r="FW55" i="1"/>
  <c r="FV55" i="1"/>
  <c r="HA31" i="1"/>
  <c r="HB31" i="1"/>
  <c r="HE31" i="1"/>
  <c r="HK31" i="1"/>
  <c r="HC31" i="1"/>
  <c r="HI31" i="1"/>
  <c r="HD31" i="1"/>
  <c r="HJ31" i="1"/>
  <c r="FR87" i="1"/>
  <c r="FX87" i="1"/>
  <c r="FT87" i="1"/>
  <c r="FZ87" i="1"/>
  <c r="FS87" i="1"/>
  <c r="FY87" i="1"/>
  <c r="HC65" i="1"/>
  <c r="HI65" i="1"/>
  <c r="HB65" i="1"/>
  <c r="HA65" i="1"/>
  <c r="HE65" i="1"/>
  <c r="HK65" i="1"/>
  <c r="HD65" i="1"/>
  <c r="HJ65" i="1"/>
  <c r="FR66" i="1"/>
  <c r="FX66" i="1"/>
  <c r="FS66" i="1"/>
  <c r="FY66" i="1"/>
  <c r="FT66" i="1"/>
  <c r="FZ66" i="1"/>
  <c r="HB74" i="1"/>
  <c r="HD74" i="1"/>
  <c r="HJ74" i="1"/>
  <c r="HA74" i="1"/>
  <c r="HC74" i="1"/>
  <c r="HI74" i="1"/>
  <c r="HE74" i="1"/>
  <c r="HK74" i="1"/>
  <c r="HE85" i="1"/>
  <c r="HK85" i="1"/>
  <c r="HD85" i="1"/>
  <c r="HJ85" i="1"/>
  <c r="HA85" i="1"/>
  <c r="HB85" i="1"/>
  <c r="HC85" i="1"/>
  <c r="HI85" i="1"/>
  <c r="FP71" i="1"/>
  <c r="HD83" i="1"/>
  <c r="HJ83" i="1"/>
  <c r="HA83" i="1"/>
  <c r="FV113" i="1"/>
  <c r="FW113" i="1"/>
  <c r="HC37" i="1"/>
  <c r="HI37" i="1"/>
  <c r="HD37" i="1"/>
  <c r="HJ37" i="1"/>
  <c r="HA37" i="1"/>
  <c r="HE37" i="1"/>
  <c r="HK37" i="1"/>
  <c r="HB37" i="1"/>
  <c r="HA88" i="1"/>
  <c r="FQ44" i="1"/>
  <c r="FP98" i="1"/>
  <c r="HD97" i="1"/>
  <c r="HJ97" i="1"/>
  <c r="HC97" i="1"/>
  <c r="HI97" i="1"/>
  <c r="HB97" i="1"/>
  <c r="HA97" i="1"/>
  <c r="HE97" i="1"/>
  <c r="HK97" i="1"/>
  <c r="FP46" i="1"/>
  <c r="HC102" i="1"/>
  <c r="HI102" i="1"/>
  <c r="HE102" i="1"/>
  <c r="HK102" i="1"/>
  <c r="HD102" i="1"/>
  <c r="HJ102" i="1"/>
  <c r="HA102" i="1"/>
  <c r="HB102" i="1"/>
  <c r="FR50" i="1"/>
  <c r="FX50" i="1"/>
  <c r="FS50" i="1"/>
  <c r="FY50" i="1"/>
  <c r="FT50" i="1"/>
  <c r="FZ50" i="1"/>
  <c r="HC52" i="1"/>
  <c r="HI52" i="1"/>
  <c r="HB52" i="1"/>
  <c r="HA52" i="1"/>
  <c r="HE52" i="1"/>
  <c r="HK52" i="1"/>
  <c r="HD52" i="1"/>
  <c r="HJ52" i="1"/>
  <c r="FW99" i="1"/>
  <c r="FV99" i="1"/>
  <c r="HH54" i="1"/>
  <c r="HG54" i="1"/>
  <c r="HA76" i="1"/>
  <c r="HB76" i="1"/>
  <c r="HE76" i="1"/>
  <c r="HK76" i="1"/>
  <c r="HD76" i="1"/>
  <c r="HJ76" i="1"/>
  <c r="HC76" i="1"/>
  <c r="HI76" i="1"/>
  <c r="FS26" i="1"/>
  <c r="FY26" i="1"/>
  <c r="FT26" i="1"/>
  <c r="FZ26" i="1"/>
  <c r="HD43" i="1"/>
  <c r="HJ43" i="1"/>
  <c r="HE43" i="1"/>
  <c r="HK43" i="1"/>
  <c r="HA43" i="1"/>
  <c r="HC43" i="1"/>
  <c r="HI43" i="1"/>
  <c r="HB43" i="1"/>
  <c r="FP33" i="1"/>
  <c r="HA70" i="1"/>
  <c r="HE70" i="1"/>
  <c r="HK70" i="1"/>
  <c r="HB70" i="1"/>
  <c r="HD70" i="1"/>
  <c r="HJ70" i="1"/>
  <c r="HC88" i="1"/>
  <c r="HI88" i="1"/>
  <c r="HD88" i="1"/>
  <c r="HJ88" i="1"/>
  <c r="HE88" i="1"/>
  <c r="HK88" i="1"/>
  <c r="HB88" i="1"/>
  <c r="FR105" i="1"/>
  <c r="FX105" i="1"/>
  <c r="FS105" i="1"/>
  <c r="FY105" i="1"/>
  <c r="FT105" i="1"/>
  <c r="FZ105" i="1"/>
  <c r="FR91" i="1"/>
  <c r="FX91" i="1"/>
  <c r="FS91" i="1"/>
  <c r="FY91" i="1"/>
  <c r="FT91" i="1"/>
  <c r="FZ91" i="1"/>
  <c r="FW4" i="1"/>
  <c r="FR85" i="1"/>
  <c r="FX85" i="1"/>
  <c r="FT85" i="1"/>
  <c r="FZ85" i="1"/>
  <c r="FS85" i="1"/>
  <c r="FY85" i="1"/>
  <c r="FQ93" i="1"/>
  <c r="HG51" i="1"/>
  <c r="HH51" i="1"/>
  <c r="HC62" i="1"/>
  <c r="HI62" i="1"/>
  <c r="HD62" i="1"/>
  <c r="HJ62" i="1"/>
  <c r="HE62" i="1"/>
  <c r="HK62" i="1"/>
  <c r="HB62" i="1"/>
  <c r="HA62" i="1"/>
  <c r="FP91" i="1"/>
  <c r="FR57" i="1"/>
  <c r="FX57" i="1"/>
  <c r="FT57" i="1"/>
  <c r="FZ57" i="1"/>
  <c r="FS57" i="1"/>
  <c r="FY57" i="1"/>
  <c r="FR81" i="1"/>
  <c r="FX81" i="1"/>
  <c r="FS81" i="1"/>
  <c r="FY81" i="1"/>
  <c r="FT81" i="1"/>
  <c r="FZ81" i="1"/>
  <c r="HB111" i="1"/>
  <c r="HE117" i="1"/>
  <c r="HK117" i="1"/>
  <c r="HD117" i="1"/>
  <c r="HJ117" i="1"/>
  <c r="HB117" i="1"/>
  <c r="HC117" i="1"/>
  <c r="HI117" i="1"/>
  <c r="HA117" i="1"/>
  <c r="HA42" i="1"/>
  <c r="HB42" i="1"/>
  <c r="HD42" i="1"/>
  <c r="HJ42" i="1"/>
  <c r="HE42" i="1"/>
  <c r="HK42" i="1"/>
  <c r="HC42" i="1"/>
  <c r="HI42" i="1"/>
  <c r="HB89" i="1"/>
  <c r="HE89" i="1"/>
  <c r="HK89" i="1"/>
  <c r="HA89" i="1"/>
  <c r="HC89" i="1"/>
  <c r="HI89" i="1"/>
  <c r="HD89" i="1"/>
  <c r="HJ89" i="1"/>
  <c r="HD87" i="1"/>
  <c r="HJ87" i="1"/>
  <c r="HB87" i="1"/>
  <c r="HC87" i="1"/>
  <c r="HI87" i="1"/>
  <c r="HE87" i="1"/>
  <c r="HK87" i="1"/>
  <c r="HA87" i="1"/>
  <c r="HH55" i="1"/>
  <c r="HG55" i="1"/>
  <c r="HC115" i="1"/>
  <c r="HI115" i="1"/>
  <c r="HD115" i="1"/>
  <c r="HJ115" i="1"/>
  <c r="HE115" i="1"/>
  <c r="HK115" i="1"/>
  <c r="HA115" i="1"/>
  <c r="HB115" i="1"/>
  <c r="FR63" i="1"/>
  <c r="FX63" i="1"/>
  <c r="FS63" i="1"/>
  <c r="FY63" i="1"/>
  <c r="FT63" i="1"/>
  <c r="FZ63" i="1"/>
  <c r="HG34" i="1"/>
  <c r="HH34" i="1"/>
  <c r="FT64" i="1"/>
  <c r="FZ64" i="1"/>
  <c r="FR64" i="1"/>
  <c r="FX64" i="1"/>
  <c r="FS64" i="1"/>
  <c r="FY64" i="1"/>
  <c r="FR45" i="1"/>
  <c r="FX45" i="1"/>
  <c r="FT45" i="1"/>
  <c r="FZ45" i="1"/>
  <c r="FS45" i="1"/>
  <c r="FY45" i="1"/>
  <c r="FR79" i="1"/>
  <c r="FX79" i="1"/>
  <c r="FS79" i="1"/>
  <c r="FY79" i="1"/>
  <c r="HB114" i="1"/>
  <c r="HA114" i="1"/>
  <c r="HC114" i="1"/>
  <c r="HI114" i="1"/>
  <c r="HD114" i="1"/>
  <c r="HJ114" i="1"/>
  <c r="HE114" i="1"/>
  <c r="HK114" i="1"/>
  <c r="FR98" i="1"/>
  <c r="FX98" i="1"/>
  <c r="FS98" i="1"/>
  <c r="FY98" i="1"/>
  <c r="FT98" i="1"/>
  <c r="FZ98" i="1"/>
  <c r="FQ102" i="1"/>
  <c r="FR102" i="1"/>
  <c r="FX102" i="1"/>
  <c r="FT102" i="1"/>
  <c r="FZ102" i="1"/>
  <c r="FS102" i="1"/>
  <c r="FY102" i="1"/>
  <c r="HE72" i="1"/>
  <c r="HK72" i="1"/>
  <c r="HB72" i="1"/>
  <c r="HA72" i="1"/>
  <c r="HC72" i="1"/>
  <c r="HI72" i="1"/>
  <c r="HD72" i="1"/>
  <c r="HJ72" i="1"/>
  <c r="FV31" i="1"/>
  <c r="FW31" i="1"/>
  <c r="HD92" i="1"/>
  <c r="HJ92" i="1"/>
  <c r="HE92" i="1"/>
  <c r="HK92" i="1"/>
  <c r="HB92" i="1"/>
  <c r="HA92" i="1"/>
  <c r="HC92" i="1"/>
  <c r="HI92" i="1"/>
  <c r="HE26" i="1"/>
  <c r="HK26" i="1"/>
  <c r="HB26" i="1"/>
  <c r="HD26" i="1"/>
  <c r="HJ26" i="1"/>
  <c r="HA26" i="1"/>
  <c r="HC26" i="1"/>
  <c r="HI26" i="1"/>
  <c r="FR43" i="1"/>
  <c r="FX43" i="1"/>
  <c r="FS43" i="1"/>
  <c r="FY43" i="1"/>
  <c r="FT43" i="1"/>
  <c r="FZ43" i="1"/>
  <c r="FV61" i="1"/>
  <c r="FW61" i="1"/>
  <c r="FV116" i="1"/>
  <c r="FW116" i="1"/>
  <c r="HC39" i="1"/>
  <c r="HI39" i="1"/>
  <c r="HB39" i="1"/>
  <c r="HD39" i="1"/>
  <c r="HJ39" i="1"/>
  <c r="HA39" i="1"/>
  <c r="HE39" i="1"/>
  <c r="HK39" i="1"/>
  <c r="FW37" i="1"/>
  <c r="FV37" i="1"/>
  <c r="FR115" i="1"/>
  <c r="FX115" i="1"/>
  <c r="FS115" i="1"/>
  <c r="FY115" i="1"/>
  <c r="FT115" i="1"/>
  <c r="FZ115" i="1"/>
  <c r="HB44" i="1"/>
  <c r="HC44" i="1"/>
  <c r="HI44" i="1"/>
  <c r="HE44" i="1"/>
  <c r="HK44" i="1"/>
  <c r="HD44" i="1"/>
  <c r="HJ44" i="1"/>
  <c r="HA44" i="1"/>
  <c r="HC64" i="1"/>
  <c r="HI64" i="1"/>
  <c r="HC70" i="1"/>
  <c r="HI70" i="1"/>
  <c r="FR70" i="1"/>
  <c r="FX70" i="1"/>
  <c r="FT70" i="1"/>
  <c r="FZ70" i="1"/>
  <c r="FS70" i="1"/>
  <c r="FY70" i="1"/>
  <c r="HD29" i="1"/>
  <c r="HJ29" i="1"/>
  <c r="HC29" i="1"/>
  <c r="HI29" i="1"/>
  <c r="HB29" i="1"/>
  <c r="HA29" i="1"/>
  <c r="HE29" i="1"/>
  <c r="HK29" i="1"/>
  <c r="HB45" i="1"/>
  <c r="HE45" i="1"/>
  <c r="HK45" i="1"/>
  <c r="HA45" i="1"/>
  <c r="HD45" i="1"/>
  <c r="HJ45" i="1"/>
  <c r="HC45" i="1"/>
  <c r="HI45" i="1"/>
  <c r="HE49" i="1"/>
  <c r="HK49" i="1"/>
  <c r="HD49" i="1"/>
  <c r="HJ49" i="1"/>
  <c r="HC49" i="1"/>
  <c r="HI49" i="1"/>
  <c r="HA49" i="1"/>
  <c r="HB49" i="1"/>
  <c r="FR86" i="1"/>
  <c r="FX86" i="1"/>
  <c r="FS86" i="1"/>
  <c r="FY86" i="1"/>
  <c r="FT86" i="1"/>
  <c r="FZ86" i="1"/>
  <c r="FV57" i="1"/>
  <c r="FW57" i="1"/>
  <c r="FR111" i="1"/>
  <c r="FX111" i="1"/>
  <c r="FS111" i="1"/>
  <c r="FY111" i="1"/>
  <c r="HH38" i="1"/>
  <c r="HG38" i="1"/>
  <c r="FR42" i="1"/>
  <c r="FX42" i="1"/>
  <c r="FS42" i="1"/>
  <c r="FY42" i="1"/>
  <c r="FT42" i="1"/>
  <c r="FZ42" i="1"/>
  <c r="FP43" i="1"/>
  <c r="FP67" i="1"/>
  <c r="FR67" i="1"/>
  <c r="FX67" i="1"/>
  <c r="FS67" i="1"/>
  <c r="FY67" i="1"/>
  <c r="FT67" i="1"/>
  <c r="FZ67" i="1"/>
  <c r="HB94" i="1"/>
  <c r="HE94" i="1"/>
  <c r="HK94" i="1"/>
  <c r="HD94" i="1"/>
  <c r="HJ94" i="1"/>
  <c r="HA94" i="1"/>
  <c r="HC94" i="1"/>
  <c r="HI94" i="1"/>
  <c r="HA104" i="1"/>
  <c r="HE104" i="1"/>
  <c r="HK104" i="1"/>
  <c r="HB104" i="1"/>
  <c r="HC104" i="1"/>
  <c r="HI104" i="1"/>
  <c r="HD104" i="1"/>
  <c r="HJ104" i="1"/>
  <c r="FR97" i="1"/>
  <c r="FX97" i="1"/>
  <c r="FS97" i="1"/>
  <c r="FY97" i="1"/>
  <c r="FT97" i="1"/>
  <c r="FZ97" i="1"/>
  <c r="FR118" i="1"/>
  <c r="FX118" i="1"/>
  <c r="FT118" i="1"/>
  <c r="FZ118" i="1"/>
  <c r="FS118" i="1"/>
  <c r="FY118" i="1"/>
  <c r="FQ85" i="1"/>
  <c r="FR44" i="1"/>
  <c r="FX44" i="1"/>
  <c r="FS44" i="1"/>
  <c r="FY44" i="1"/>
  <c r="FT44" i="1"/>
  <c r="FZ44" i="1"/>
  <c r="HE83" i="1"/>
  <c r="HK83" i="1"/>
  <c r="FW95" i="1"/>
  <c r="FV95" i="1"/>
  <c r="FP104" i="1"/>
  <c r="HA60" i="1"/>
  <c r="HE60" i="1"/>
  <c r="HK60" i="1"/>
  <c r="HB60" i="1"/>
  <c r="HD60" i="1"/>
  <c r="HJ60" i="1"/>
  <c r="HC60" i="1"/>
  <c r="HI60" i="1"/>
  <c r="FR113" i="1"/>
  <c r="FX113" i="1"/>
  <c r="FS113" i="1"/>
  <c r="FY113" i="1"/>
  <c r="FT113" i="1"/>
  <c r="FZ113" i="1"/>
  <c r="HB113" i="1"/>
  <c r="HC113" i="1"/>
  <c r="HI113" i="1"/>
  <c r="HD113" i="1"/>
  <c r="HJ113" i="1"/>
  <c r="HE113" i="1"/>
  <c r="HK113" i="1"/>
  <c r="HA113" i="1"/>
  <c r="HA101" i="1"/>
  <c r="HC101" i="1"/>
  <c r="HI101" i="1"/>
  <c r="HB101" i="1"/>
  <c r="HE101" i="1"/>
  <c r="HK101" i="1"/>
  <c r="HD101" i="1"/>
  <c r="HJ101" i="1"/>
  <c r="FR108" i="1"/>
  <c r="FX108" i="1"/>
  <c r="FT108" i="1"/>
  <c r="FZ108" i="1"/>
  <c r="FS108" i="1"/>
  <c r="FY108" i="1"/>
  <c r="FR52" i="1"/>
  <c r="FX52" i="1"/>
  <c r="FS52" i="1"/>
  <c r="FY52" i="1"/>
  <c r="FT52" i="1"/>
  <c r="FZ52" i="1"/>
  <c r="FQ74" i="1"/>
  <c r="FP92" i="1"/>
  <c r="FR92" i="1"/>
  <c r="FX92" i="1"/>
  <c r="FT92" i="1"/>
  <c r="FZ92" i="1"/>
  <c r="FS92" i="1"/>
  <c r="FY92" i="1"/>
  <c r="HA53" i="1"/>
  <c r="HE53" i="1"/>
  <c r="HK53" i="1"/>
  <c r="HD53" i="1"/>
  <c r="HJ53" i="1"/>
  <c r="HC53" i="1"/>
  <c r="HI53" i="1"/>
  <c r="HB53" i="1"/>
  <c r="FQ108" i="1"/>
  <c r="FQ81" i="1"/>
  <c r="FR89" i="1"/>
  <c r="FX89" i="1"/>
  <c r="FS89" i="1"/>
  <c r="FY89" i="1"/>
  <c r="FT89" i="1"/>
  <c r="FZ89" i="1"/>
  <c r="FW75" i="1"/>
  <c r="FV75" i="1"/>
  <c r="HB41" i="1"/>
  <c r="HA41" i="1"/>
  <c r="HE41" i="1"/>
  <c r="HK41" i="1"/>
  <c r="HC41" i="1"/>
  <c r="HI41" i="1"/>
  <c r="HD41" i="1"/>
  <c r="HJ41" i="1"/>
  <c r="HB83" i="1"/>
  <c r="FV52" i="1"/>
  <c r="FW52" i="1"/>
  <c r="FW47" i="1"/>
  <c r="FV47" i="1"/>
  <c r="FR37" i="1"/>
  <c r="FX37" i="1"/>
  <c r="FT37" i="1"/>
  <c r="FZ37" i="1"/>
  <c r="FS37" i="1"/>
  <c r="FY37" i="1"/>
  <c r="HD36" i="1"/>
  <c r="HJ36" i="1"/>
  <c r="HA36" i="1"/>
  <c r="HE36" i="1"/>
  <c r="HK36" i="1"/>
  <c r="HC36" i="1"/>
  <c r="HI36" i="1"/>
  <c r="HB36" i="1"/>
  <c r="HC68" i="1"/>
  <c r="HI68" i="1"/>
  <c r="HD68" i="1"/>
  <c r="HJ68" i="1"/>
  <c r="HE68" i="1"/>
  <c r="HK68" i="1"/>
  <c r="HB68" i="1"/>
  <c r="HA68" i="1"/>
  <c r="FT79" i="1"/>
  <c r="FZ79" i="1"/>
  <c r="FQ56" i="1"/>
  <c r="FR101" i="1"/>
  <c r="FX101" i="1"/>
  <c r="FT101" i="1"/>
  <c r="FZ101" i="1"/>
  <c r="FS101" i="1"/>
  <c r="FY101" i="1"/>
  <c r="FP117" i="1"/>
  <c r="FR117" i="1"/>
  <c r="FX117" i="1"/>
  <c r="FT117" i="1"/>
  <c r="FZ117" i="1"/>
  <c r="FS35" i="1"/>
  <c r="FY35" i="1"/>
  <c r="FQ86" i="1"/>
  <c r="FP74" i="1"/>
  <c r="HA58" i="1"/>
  <c r="HE58" i="1"/>
  <c r="HK58" i="1"/>
  <c r="HD58" i="1"/>
  <c r="HJ58" i="1"/>
  <c r="HC58" i="1"/>
  <c r="HI58" i="1"/>
  <c r="HB58" i="1"/>
  <c r="FP108" i="1"/>
  <c r="FT106" i="1"/>
  <c r="FZ106" i="1"/>
  <c r="FR106" i="1"/>
  <c r="FX106" i="1"/>
  <c r="FS106" i="1"/>
  <c r="FY106" i="1"/>
  <c r="FR65" i="1"/>
  <c r="FX65" i="1"/>
  <c r="FT65" i="1"/>
  <c r="FZ65" i="1"/>
  <c r="FS65" i="1"/>
  <c r="FY65" i="1"/>
  <c r="FR29" i="1"/>
  <c r="FX29" i="1"/>
  <c r="FS29" i="1"/>
  <c r="FY29" i="1"/>
  <c r="FT29" i="1"/>
  <c r="FZ29" i="1"/>
  <c r="FW39" i="1"/>
  <c r="FV39" i="1"/>
  <c r="FR93" i="1"/>
  <c r="FX93" i="1"/>
  <c r="FT93" i="1"/>
  <c r="FZ93" i="1"/>
  <c r="FS93" i="1"/>
  <c r="FY93" i="1"/>
  <c r="HD61" i="1"/>
  <c r="HJ61" i="1"/>
  <c r="HE61" i="1"/>
  <c r="HK61" i="1"/>
  <c r="HA61" i="1"/>
  <c r="HB61" i="1"/>
  <c r="HC61" i="1"/>
  <c r="HI61" i="1"/>
  <c r="HC77" i="1"/>
  <c r="HI77" i="1"/>
  <c r="HB77" i="1"/>
  <c r="HD77" i="1"/>
  <c r="HJ77" i="1"/>
  <c r="HE77" i="1"/>
  <c r="HK77" i="1"/>
  <c r="HA77" i="1"/>
  <c r="HC83" i="1"/>
  <c r="HI83" i="1"/>
  <c r="HD33" i="1"/>
  <c r="HJ33" i="1"/>
  <c r="HA33" i="1"/>
  <c r="HB33" i="1"/>
  <c r="HE33" i="1"/>
  <c r="HK33" i="1"/>
  <c r="HC33" i="1"/>
  <c r="HI33" i="1"/>
  <c r="HB95" i="1"/>
  <c r="HE95" i="1"/>
  <c r="HK95" i="1"/>
  <c r="HE71" i="1"/>
  <c r="HK71" i="1"/>
  <c r="HC71" i="1"/>
  <c r="HI71" i="1"/>
  <c r="HD71" i="1"/>
  <c r="HJ71" i="1"/>
  <c r="HB71" i="1"/>
  <c r="HA71" i="1"/>
  <c r="FV28" i="1"/>
  <c r="FW28" i="1"/>
  <c r="FR62" i="1"/>
  <c r="FX62" i="1"/>
  <c r="FT62" i="1"/>
  <c r="FZ62" i="1"/>
  <c r="FS62" i="1"/>
  <c r="FY62" i="1"/>
  <c r="FR36" i="1"/>
  <c r="FX36" i="1"/>
  <c r="FS36" i="1"/>
  <c r="FY36" i="1"/>
  <c r="FT36" i="1"/>
  <c r="FZ36" i="1"/>
  <c r="FP59" i="1"/>
  <c r="FP56" i="1"/>
  <c r="FP102" i="1"/>
  <c r="FP86" i="1"/>
  <c r="FQ36" i="1"/>
  <c r="HC80" i="1"/>
  <c r="HI80" i="1"/>
  <c r="HD80" i="1"/>
  <c r="HJ80" i="1"/>
  <c r="HE80" i="1"/>
  <c r="HK80" i="1"/>
  <c r="HA80" i="1"/>
  <c r="HB80" i="1"/>
  <c r="FQ68" i="1"/>
  <c r="HC118" i="1"/>
  <c r="HI118" i="1"/>
  <c r="HA118" i="1"/>
  <c r="HD118" i="1"/>
  <c r="HJ118" i="1"/>
  <c r="HB118" i="1"/>
  <c r="HE118" i="1"/>
  <c r="HK118" i="1"/>
  <c r="HH73" i="1"/>
  <c r="HG73" i="1"/>
  <c r="FQ111" i="1"/>
  <c r="FR41" i="1"/>
  <c r="FX41" i="1"/>
  <c r="FS41" i="1"/>
  <c r="FY41" i="1"/>
  <c r="FT41" i="1"/>
  <c r="FZ41" i="1"/>
  <c r="HH64" i="1"/>
  <c r="HG64" i="1"/>
  <c r="HG90" i="1"/>
  <c r="HH90" i="1"/>
  <c r="FV81" i="1"/>
  <c r="FW81" i="1"/>
  <c r="FV101" i="1"/>
  <c r="FW101" i="1"/>
  <c r="HB107" i="1"/>
  <c r="HE107" i="1"/>
  <c r="HK107" i="1"/>
  <c r="HA107" i="1"/>
  <c r="HC107" i="1"/>
  <c r="HI107" i="1"/>
  <c r="HD107" i="1"/>
  <c r="HJ107" i="1"/>
  <c r="FR107" i="1"/>
  <c r="FX107" i="1"/>
  <c r="FT107" i="1"/>
  <c r="FZ107" i="1"/>
  <c r="FS107" i="1"/>
  <c r="FY107" i="1"/>
  <c r="FR39" i="1"/>
  <c r="FX39" i="1"/>
  <c r="FS39" i="1"/>
  <c r="FY39" i="1"/>
  <c r="FT39" i="1"/>
  <c r="FZ39" i="1"/>
  <c r="FP70" i="1"/>
  <c r="HG78" i="1"/>
  <c r="HH78" i="1"/>
  <c r="FR95" i="1"/>
  <c r="FX95" i="1"/>
  <c r="FS95" i="1"/>
  <c r="FY95" i="1"/>
  <c r="FV90" i="1"/>
  <c r="FW90" i="1"/>
  <c r="FT103" i="1"/>
  <c r="FZ103" i="1"/>
  <c r="FR103" i="1"/>
  <c r="FX103" i="1"/>
  <c r="FS103" i="1"/>
  <c r="FY103" i="1"/>
  <c r="FP29" i="1"/>
  <c r="FQ59" i="1"/>
  <c r="HB59" i="1"/>
  <c r="HA59" i="1"/>
  <c r="HC59" i="1"/>
  <c r="HI59" i="1"/>
  <c r="HD59" i="1"/>
  <c r="HJ59" i="1"/>
  <c r="HE59" i="1"/>
  <c r="HK59" i="1"/>
  <c r="HC79" i="1"/>
  <c r="HI79" i="1"/>
  <c r="FT111" i="1"/>
  <c r="FZ111" i="1"/>
  <c r="FQ41" i="1"/>
  <c r="FV73" i="1"/>
  <c r="FW73" i="1"/>
  <c r="FR58" i="1"/>
  <c r="FX58" i="1"/>
  <c r="FT58" i="1"/>
  <c r="FZ58" i="1"/>
  <c r="FS58" i="1"/>
  <c r="FY58" i="1"/>
  <c r="FR46" i="1"/>
  <c r="FX46" i="1"/>
  <c r="FT46" i="1"/>
  <c r="FZ46" i="1"/>
  <c r="FS46" i="1"/>
  <c r="FY46" i="1"/>
  <c r="HA106" i="1"/>
  <c r="HB106" i="1"/>
  <c r="HE106" i="1"/>
  <c r="HK106" i="1"/>
  <c r="HD106" i="1"/>
  <c r="HJ106" i="1"/>
  <c r="HC106" i="1"/>
  <c r="HI106" i="1"/>
  <c r="FR94" i="1"/>
  <c r="FX94" i="1"/>
  <c r="FT94" i="1"/>
  <c r="FZ94" i="1"/>
  <c r="FS94" i="1"/>
  <c r="FY94" i="1"/>
  <c r="FW85" i="1"/>
  <c r="FV85" i="1"/>
  <c r="FR69" i="1"/>
  <c r="FX69" i="1"/>
  <c r="FT69" i="1"/>
  <c r="FZ69" i="1"/>
  <c r="FS69" i="1"/>
  <c r="FY69" i="1"/>
  <c r="HA93" i="1"/>
  <c r="HE93" i="1"/>
  <c r="HK93" i="1"/>
  <c r="HC93" i="1"/>
  <c r="HI93" i="1"/>
  <c r="HB93" i="1"/>
  <c r="HD93" i="1"/>
  <c r="HJ93" i="1"/>
  <c r="FR114" i="1"/>
  <c r="FX114" i="1"/>
  <c r="FS114" i="1"/>
  <c r="FY114" i="1"/>
  <c r="FT114" i="1"/>
  <c r="FZ114" i="1"/>
  <c r="HE50" i="1"/>
  <c r="HK50" i="1"/>
  <c r="HA50" i="1"/>
  <c r="HD50" i="1"/>
  <c r="HJ50" i="1"/>
  <c r="HB50" i="1"/>
  <c r="HC50" i="1"/>
  <c r="HI50" i="1"/>
  <c r="HG84" i="1"/>
  <c r="HH84" i="1"/>
  <c r="FR77" i="1"/>
  <c r="FX77" i="1"/>
  <c r="FT77" i="1"/>
  <c r="FZ77" i="1"/>
  <c r="FS77" i="1"/>
  <c r="FY77" i="1"/>
  <c r="FQ70" i="1"/>
  <c r="FR83" i="1"/>
  <c r="FX83" i="1"/>
  <c r="FS83" i="1"/>
  <c r="FY83" i="1"/>
  <c r="FT83" i="1"/>
  <c r="FZ83" i="1"/>
  <c r="FR33" i="1"/>
  <c r="FX33" i="1"/>
  <c r="FS33" i="1"/>
  <c r="FY33" i="1"/>
  <c r="FT33" i="1"/>
  <c r="FZ33" i="1"/>
  <c r="HA95" i="1"/>
  <c r="FR96" i="1"/>
  <c r="FX96" i="1"/>
  <c r="FT96" i="1"/>
  <c r="FZ96" i="1"/>
  <c r="FS96" i="1"/>
  <c r="FY96" i="1"/>
  <c r="FQ115" i="1"/>
  <c r="HH28" i="1"/>
  <c r="HG28" i="1"/>
  <c r="FP69" i="1"/>
  <c r="FQ49" i="1"/>
  <c r="FR49" i="1"/>
  <c r="FX49" i="1"/>
  <c r="FT49" i="1"/>
  <c r="FZ49" i="1"/>
  <c r="FS49" i="1"/>
  <c r="FY49" i="1"/>
  <c r="FP77" i="1"/>
  <c r="FQ29" i="1"/>
  <c r="FR48" i="1"/>
  <c r="FX48" i="1"/>
  <c r="FS48" i="1"/>
  <c r="FY48" i="1"/>
  <c r="FT48" i="1"/>
  <c r="FZ48" i="1"/>
  <c r="FW34" i="1"/>
  <c r="FV34" i="1"/>
  <c r="FS117" i="1"/>
  <c r="FY117" i="1"/>
  <c r="FP41" i="1"/>
  <c r="HD105" i="1"/>
  <c r="HJ105" i="1"/>
  <c r="HB105" i="1"/>
  <c r="HC105" i="1"/>
  <c r="HI105" i="1"/>
  <c r="HE105" i="1"/>
  <c r="HK105" i="1"/>
  <c r="HA105" i="1"/>
  <c r="FP103" i="1"/>
  <c r="FP114" i="1"/>
  <c r="FQ48" i="1"/>
  <c r="FR31" i="1"/>
  <c r="FX31" i="1"/>
  <c r="FS31" i="1"/>
  <c r="FY31" i="1"/>
  <c r="FT31" i="1"/>
  <c r="FZ31" i="1"/>
  <c r="HC112" i="1"/>
  <c r="HI112" i="1"/>
  <c r="HD112" i="1"/>
  <c r="HJ112" i="1"/>
  <c r="HB112" i="1"/>
  <c r="HA112" i="1"/>
  <c r="HE112" i="1"/>
  <c r="HK112" i="1"/>
  <c r="HA66" i="1"/>
  <c r="HE66" i="1"/>
  <c r="HK66" i="1"/>
  <c r="HB66" i="1"/>
  <c r="HD66" i="1"/>
  <c r="HJ66" i="1"/>
  <c r="HC66" i="1"/>
  <c r="HI66" i="1"/>
  <c r="FS47" i="1"/>
  <c r="FY47" i="1"/>
  <c r="FT47" i="1"/>
  <c r="FZ47" i="1"/>
  <c r="FR71" i="1"/>
  <c r="FX71" i="1"/>
  <c r="FT71" i="1"/>
  <c r="FZ71" i="1"/>
  <c r="FS71" i="1"/>
  <c r="FY71" i="1"/>
  <c r="FW58" i="1"/>
  <c r="FV58" i="1"/>
  <c r="FV94" i="1"/>
  <c r="FW94" i="1"/>
  <c r="FR104" i="1"/>
  <c r="FX104" i="1"/>
  <c r="FS104" i="1"/>
  <c r="FY104" i="1"/>
  <c r="FT104" i="1"/>
  <c r="FZ104" i="1"/>
  <c r="FP115" i="1"/>
  <c r="HE86" i="1"/>
  <c r="HK86" i="1"/>
  <c r="HA86" i="1"/>
  <c r="HB86" i="1"/>
  <c r="HD86" i="1"/>
  <c r="HJ86" i="1"/>
  <c r="HC86" i="1"/>
  <c r="HI86" i="1"/>
  <c r="HB56" i="1"/>
  <c r="HA56" i="1"/>
  <c r="HE56" i="1"/>
  <c r="HK56" i="1"/>
  <c r="HD56" i="1"/>
  <c r="HJ56" i="1"/>
  <c r="HC56" i="1"/>
  <c r="HI56" i="1"/>
  <c r="FQ98" i="1"/>
  <c r="FR68" i="1"/>
  <c r="FX68" i="1"/>
  <c r="FS68" i="1"/>
  <c r="FY68" i="1"/>
  <c r="FT68" i="1"/>
  <c r="FZ68" i="1"/>
  <c r="FV76" i="1"/>
  <c r="FW76" i="1"/>
  <c r="HE69" i="1"/>
  <c r="HK69" i="1"/>
  <c r="HD69" i="1"/>
  <c r="HJ69" i="1"/>
  <c r="HB69" i="1"/>
  <c r="HA69" i="1"/>
  <c r="HC69" i="1"/>
  <c r="HI69" i="1"/>
  <c r="FQ63" i="1"/>
  <c r="HG40" i="1"/>
  <c r="HH40" i="1"/>
  <c r="FR72" i="1"/>
  <c r="FX72" i="1"/>
  <c r="FS72" i="1"/>
  <c r="FY72" i="1"/>
  <c r="FT72" i="1"/>
  <c r="FZ72" i="1"/>
  <c r="FQ114" i="1"/>
  <c r="FP48" i="1"/>
  <c r="HC46" i="1"/>
  <c r="HI46" i="1"/>
  <c r="HD46" i="1"/>
  <c r="HJ46" i="1"/>
  <c r="HA46" i="1"/>
  <c r="HE46" i="1"/>
  <c r="HK46" i="1"/>
  <c r="HB46" i="1"/>
  <c r="HD47" i="1"/>
  <c r="HJ47" i="1"/>
  <c r="HE47" i="1"/>
  <c r="HK47" i="1"/>
  <c r="HB47" i="1"/>
  <c r="HG32" i="1"/>
  <c r="HH32" i="1"/>
  <c r="BO24" i="3"/>
  <c r="BA25" i="3"/>
  <c r="BO25" i="3"/>
  <c r="BV26" i="3"/>
  <c r="AW26" i="3"/>
  <c r="AU26" i="3"/>
  <c r="BI26" i="3"/>
  <c r="BW26" i="3"/>
  <c r="AX26" i="3"/>
  <c r="AV26" i="3"/>
  <c r="BL26" i="3"/>
  <c r="BS25" i="3"/>
  <c r="BG25" i="3"/>
  <c r="BU25" i="3"/>
  <c r="BS28" i="3"/>
  <c r="BG28" i="3"/>
  <c r="BK23" i="3"/>
  <c r="BY23" i="3"/>
  <c r="BJ23" i="3"/>
  <c r="BX23" i="3"/>
  <c r="BZ23" i="3"/>
  <c r="BT28" i="3"/>
  <c r="BH28" i="3"/>
  <c r="BV28" i="3"/>
  <c r="BK27" i="3"/>
  <c r="BY27" i="3"/>
  <c r="CC27" i="3"/>
  <c r="CC28" i="3"/>
  <c r="AY27" i="3"/>
  <c r="BM27" i="3"/>
  <c r="BF31" i="3"/>
  <c r="AW30" i="3"/>
  <c r="BE32" i="3"/>
  <c r="AX30" i="3"/>
  <c r="BE30" i="3"/>
  <c r="AV30" i="3"/>
  <c r="AT31" i="3"/>
  <c r="AU30" i="3"/>
  <c r="AT33" i="3"/>
  <c r="BV30" i="3"/>
  <c r="BJ25" i="3"/>
  <c r="BX25" i="3"/>
  <c r="BZ25" i="3"/>
  <c r="BY25" i="3"/>
  <c r="BK25" i="3"/>
  <c r="BA27" i="3"/>
  <c r="AZ28" i="3"/>
  <c r="BN28" i="3"/>
  <c r="AZ27" i="3"/>
  <c r="BN27" i="3"/>
  <c r="BJ27" i="3"/>
  <c r="BX27" i="3"/>
  <c r="CB27" i="3"/>
  <c r="CB28" i="3"/>
  <c r="BZ27" i="3"/>
  <c r="CD27" i="3"/>
  <c r="CD28" i="3"/>
  <c r="CA28" i="3"/>
  <c r="AX28" i="3"/>
  <c r="AW28" i="3"/>
  <c r="AU28" i="3"/>
  <c r="BI28" i="3"/>
  <c r="BW28" i="3"/>
  <c r="AV28" i="3"/>
  <c r="BL28" i="3"/>
  <c r="AT29" i="3"/>
  <c r="BB27" i="3"/>
  <c r="AY28" i="3"/>
  <c r="BM28" i="3"/>
  <c r="BG29" i="3"/>
  <c r="BS29" i="3"/>
  <c r="BS27" i="3"/>
  <c r="BG27" i="3"/>
  <c r="BC27" i="3"/>
  <c r="BQ27" i="3"/>
  <c r="BD28" i="3"/>
  <c r="BR28" i="3"/>
  <c r="BL27" i="3"/>
  <c r="FP7" i="1"/>
  <c r="FV7" i="1"/>
  <c r="V4" i="3"/>
  <c r="S4" i="3"/>
  <c r="AH4" i="3"/>
  <c r="HB23" i="1"/>
  <c r="HD23" i="1"/>
  <c r="HJ23" i="1"/>
  <c r="HC23" i="1"/>
  <c r="HI23" i="1"/>
  <c r="HA23" i="1"/>
  <c r="HE23" i="1"/>
  <c r="HK23" i="1"/>
  <c r="HE22" i="1"/>
  <c r="HK22" i="1"/>
  <c r="HB22" i="1"/>
  <c r="HA22" i="1"/>
  <c r="HD22" i="1"/>
  <c r="HJ22" i="1"/>
  <c r="HC22" i="1"/>
  <c r="HI22" i="1"/>
  <c r="FS24" i="1"/>
  <c r="FY24" i="1"/>
  <c r="FT24" i="1"/>
  <c r="FZ24" i="1"/>
  <c r="GH9" i="1"/>
  <c r="GT9" i="1"/>
  <c r="FA9" i="1"/>
  <c r="FM9" i="1"/>
  <c r="GC9" i="1"/>
  <c r="GO9" i="1"/>
  <c r="EW9" i="1"/>
  <c r="FI9" i="1"/>
  <c r="ET9" i="1"/>
  <c r="FF9" i="1"/>
  <c r="GE9" i="1"/>
  <c r="GQ9" i="1"/>
  <c r="FB9" i="1"/>
  <c r="EU9" i="1"/>
  <c r="FG9" i="1"/>
  <c r="ER9" i="1"/>
  <c r="FD9" i="1"/>
  <c r="EY9" i="1"/>
  <c r="FK9" i="1"/>
  <c r="ES9" i="1"/>
  <c r="FE9" i="1"/>
  <c r="GM9" i="1"/>
  <c r="GF9" i="1"/>
  <c r="GR9" i="1"/>
  <c r="GJ9" i="1"/>
  <c r="GV9" i="1"/>
  <c r="EZ9" i="1"/>
  <c r="FL9" i="1"/>
  <c r="EV9" i="1"/>
  <c r="FH9" i="1"/>
  <c r="EX9" i="1"/>
  <c r="FJ9" i="1"/>
  <c r="GL9" i="1"/>
  <c r="GX9" i="1"/>
  <c r="GG9" i="1"/>
  <c r="GS9" i="1"/>
  <c r="GI9" i="1"/>
  <c r="GU9" i="1"/>
  <c r="GD9" i="1"/>
  <c r="GP9" i="1"/>
  <c r="GK9" i="1"/>
  <c r="GW9" i="1"/>
  <c r="HC24" i="1"/>
  <c r="HI24" i="1"/>
  <c r="HA24" i="1"/>
  <c r="HE24" i="1"/>
  <c r="HK24" i="1"/>
  <c r="HB24" i="1"/>
  <c r="HD24" i="1"/>
  <c r="HJ24" i="1"/>
  <c r="FT22" i="1"/>
  <c r="FZ22" i="1"/>
  <c r="FS22" i="1"/>
  <c r="FY22" i="1"/>
  <c r="HG3" i="1"/>
  <c r="GC8" i="1"/>
  <c r="GO8" i="1"/>
  <c r="GM8" i="1"/>
  <c r="GY8" i="1"/>
  <c r="ET8" i="1"/>
  <c r="FF8" i="1"/>
  <c r="EW8" i="1"/>
  <c r="FI8" i="1"/>
  <c r="GE8" i="1"/>
  <c r="GQ8" i="1"/>
  <c r="GF8" i="1"/>
  <c r="GR8" i="1"/>
  <c r="GL8" i="1"/>
  <c r="GJ8" i="1"/>
  <c r="GV8" i="1"/>
  <c r="EX8" i="1"/>
  <c r="FJ8" i="1"/>
  <c r="EV8" i="1"/>
  <c r="EU8" i="1"/>
  <c r="FG8" i="1"/>
  <c r="ER8" i="1"/>
  <c r="FD8" i="1"/>
  <c r="GI8" i="1"/>
  <c r="GU8" i="1"/>
  <c r="FA8" i="1"/>
  <c r="EY8" i="1"/>
  <c r="FK8" i="1"/>
  <c r="GH8" i="1"/>
  <c r="GT8" i="1"/>
  <c r="ES8" i="1"/>
  <c r="FE8" i="1"/>
  <c r="GG8" i="1"/>
  <c r="GK8" i="1"/>
  <c r="GW8" i="1"/>
  <c r="GD8" i="1"/>
  <c r="GP8" i="1"/>
  <c r="FB8" i="1"/>
  <c r="FN8" i="1"/>
  <c r="EZ8" i="1"/>
  <c r="FL8" i="1"/>
  <c r="FA10" i="1"/>
  <c r="FM10" i="1"/>
  <c r="EY10" i="1"/>
  <c r="FK10" i="1"/>
  <c r="GH10" i="1"/>
  <c r="GT10" i="1"/>
  <c r="GK10" i="1"/>
  <c r="GD10" i="1"/>
  <c r="GP10" i="1"/>
  <c r="EV10" i="1"/>
  <c r="FH10" i="1"/>
  <c r="GM10" i="1"/>
  <c r="GY10" i="1"/>
  <c r="ET10" i="1"/>
  <c r="FF10" i="1"/>
  <c r="GL10" i="1"/>
  <c r="GX10" i="1"/>
  <c r="GJ10" i="1"/>
  <c r="GV10" i="1"/>
  <c r="GC10" i="1"/>
  <c r="GO10" i="1"/>
  <c r="FB10" i="1"/>
  <c r="FN10" i="1"/>
  <c r="GE10" i="1"/>
  <c r="GQ10" i="1"/>
  <c r="ES10" i="1"/>
  <c r="FE10" i="1"/>
  <c r="EW10" i="1"/>
  <c r="FI10" i="1"/>
  <c r="EU10" i="1"/>
  <c r="FG10" i="1"/>
  <c r="GF10" i="1"/>
  <c r="GR10" i="1"/>
  <c r="GI10" i="1"/>
  <c r="GU10" i="1"/>
  <c r="EZ10" i="1"/>
  <c r="EX10" i="1"/>
  <c r="FJ10" i="1"/>
  <c r="ER10" i="1"/>
  <c r="FD10" i="1"/>
  <c r="GG10" i="1"/>
  <c r="GS10" i="1"/>
  <c r="GF5" i="1"/>
  <c r="GR5" i="1"/>
  <c r="GJ5" i="1"/>
  <c r="GV5" i="1"/>
  <c r="EY5" i="1"/>
  <c r="FK5" i="1"/>
  <c r="GC5" i="1"/>
  <c r="GO5" i="1"/>
  <c r="EZ5" i="1"/>
  <c r="FL5" i="1"/>
  <c r="EU5" i="1"/>
  <c r="FG5" i="1"/>
  <c r="ET5" i="1"/>
  <c r="FF5" i="1"/>
  <c r="GE5" i="1"/>
  <c r="GQ5" i="1"/>
  <c r="FA5" i="1"/>
  <c r="GI5" i="1"/>
  <c r="GU5" i="1"/>
  <c r="ER5" i="1"/>
  <c r="FD5" i="1"/>
  <c r="EV5" i="1"/>
  <c r="FH5" i="1"/>
  <c r="GG5" i="1"/>
  <c r="GS5" i="1"/>
  <c r="GK5" i="1"/>
  <c r="GW5" i="1"/>
  <c r="ES5" i="1"/>
  <c r="FE5" i="1"/>
  <c r="GH5" i="1"/>
  <c r="GT5" i="1"/>
  <c r="EW5" i="1"/>
  <c r="FI5" i="1"/>
  <c r="EX5" i="1"/>
  <c r="FJ5" i="1"/>
  <c r="GL5" i="1"/>
  <c r="GD5" i="1"/>
  <c r="GP5" i="1"/>
  <c r="FB5" i="1"/>
  <c r="FN5" i="1"/>
  <c r="GM5" i="1"/>
  <c r="GY5" i="1"/>
  <c r="FT23" i="1"/>
  <c r="FZ23" i="1"/>
  <c r="FR23" i="1"/>
  <c r="FX23" i="1"/>
  <c r="FS23" i="1"/>
  <c r="FY23" i="1"/>
  <c r="GK11" i="1"/>
  <c r="GW11" i="1"/>
  <c r="ER11" i="1"/>
  <c r="FD11" i="1"/>
  <c r="EZ11" i="1"/>
  <c r="FL11" i="1"/>
  <c r="EW11" i="1"/>
  <c r="FI11" i="1"/>
  <c r="GC11" i="1"/>
  <c r="GO11" i="1"/>
  <c r="GL11" i="1"/>
  <c r="GX11" i="1"/>
  <c r="EU11" i="1"/>
  <c r="FG11" i="1"/>
  <c r="GH11" i="1"/>
  <c r="GT11" i="1"/>
  <c r="GG11" i="1"/>
  <c r="GS11" i="1"/>
  <c r="FB11" i="1"/>
  <c r="FN11" i="1"/>
  <c r="EX11" i="1"/>
  <c r="FJ11" i="1"/>
  <c r="ES11" i="1"/>
  <c r="GI11" i="1"/>
  <c r="GU11" i="1"/>
  <c r="GM11" i="1"/>
  <c r="GY11" i="1"/>
  <c r="FA11" i="1"/>
  <c r="FM11" i="1"/>
  <c r="EY11" i="1"/>
  <c r="FK11" i="1"/>
  <c r="GJ11" i="1"/>
  <c r="GV11" i="1"/>
  <c r="GE11" i="1"/>
  <c r="GQ11" i="1"/>
  <c r="GF11" i="1"/>
  <c r="GR11" i="1"/>
  <c r="EV11" i="1"/>
  <c r="FH11" i="1"/>
  <c r="GD11" i="1"/>
  <c r="ET11" i="1"/>
  <c r="FF11" i="1"/>
  <c r="GI12" i="1"/>
  <c r="GU12" i="1"/>
  <c r="GH12" i="1"/>
  <c r="GT12" i="1"/>
  <c r="EZ12" i="1"/>
  <c r="FL12" i="1"/>
  <c r="EU12" i="1"/>
  <c r="FG12" i="1"/>
  <c r="GK12" i="1"/>
  <c r="GW12" i="1"/>
  <c r="GG12" i="1"/>
  <c r="GS12" i="1"/>
  <c r="EX12" i="1"/>
  <c r="FJ12" i="1"/>
  <c r="EW12" i="1"/>
  <c r="FI12" i="1"/>
  <c r="EV12" i="1"/>
  <c r="FH12" i="1"/>
  <c r="GD12" i="1"/>
  <c r="GC12" i="1"/>
  <c r="GO12" i="1"/>
  <c r="GL12" i="1"/>
  <c r="GX12" i="1"/>
  <c r="GM12" i="1"/>
  <c r="GY12" i="1"/>
  <c r="ET12" i="1"/>
  <c r="FF12" i="1"/>
  <c r="FA12" i="1"/>
  <c r="FM12" i="1"/>
  <c r="GF12" i="1"/>
  <c r="GR12" i="1"/>
  <c r="GJ12" i="1"/>
  <c r="GV12" i="1"/>
  <c r="EY12" i="1"/>
  <c r="FK12" i="1"/>
  <c r="FB12" i="1"/>
  <c r="FN12" i="1"/>
  <c r="GE12" i="1"/>
  <c r="GQ12" i="1"/>
  <c r="ES12" i="1"/>
  <c r="ER12" i="1"/>
  <c r="FD12" i="1"/>
  <c r="GD13" i="1"/>
  <c r="ES13" i="1"/>
  <c r="GL13" i="1"/>
  <c r="GX13" i="1"/>
  <c r="GH13" i="1"/>
  <c r="GT13" i="1"/>
  <c r="GF13" i="1"/>
  <c r="GR13" i="1"/>
  <c r="GE13" i="1"/>
  <c r="GQ13" i="1"/>
  <c r="EW13" i="1"/>
  <c r="FI13" i="1"/>
  <c r="GK13" i="1"/>
  <c r="GW13" i="1"/>
  <c r="GI13" i="1"/>
  <c r="GU13" i="1"/>
  <c r="GM13" i="1"/>
  <c r="GY13" i="1"/>
  <c r="GJ13" i="1"/>
  <c r="GV13" i="1"/>
  <c r="EU13" i="1"/>
  <c r="FG13" i="1"/>
  <c r="ER13" i="1"/>
  <c r="FD13" i="1"/>
  <c r="EX13" i="1"/>
  <c r="FJ13" i="1"/>
  <c r="EY13" i="1"/>
  <c r="FK13" i="1"/>
  <c r="FA13" i="1"/>
  <c r="FM13" i="1"/>
  <c r="GC13" i="1"/>
  <c r="GO13" i="1"/>
  <c r="EV13" i="1"/>
  <c r="FH13" i="1"/>
  <c r="ET13" i="1"/>
  <c r="FF13" i="1"/>
  <c r="GG13" i="1"/>
  <c r="GS13" i="1"/>
  <c r="EZ13" i="1"/>
  <c r="FL13" i="1"/>
  <c r="FB13" i="1"/>
  <c r="FN13" i="1"/>
  <c r="FW7" i="1"/>
  <c r="HH3" i="1"/>
  <c r="FS17" i="1"/>
  <c r="FY17" i="1"/>
  <c r="FQ17" i="1"/>
  <c r="FP17" i="1"/>
  <c r="FW17" i="1"/>
  <c r="FT17" i="1"/>
  <c r="FZ17" i="1"/>
  <c r="HA17" i="1"/>
  <c r="HE17" i="1"/>
  <c r="HK17" i="1"/>
  <c r="HC17" i="1"/>
  <c r="HI17" i="1"/>
  <c r="HB17" i="1"/>
  <c r="HD17" i="1"/>
  <c r="HJ17" i="1"/>
  <c r="FV3" i="1"/>
  <c r="FW3" i="1"/>
  <c r="HG14" i="1"/>
  <c r="HH14" i="1"/>
  <c r="AD4" i="3"/>
  <c r="BP4" i="3"/>
  <c r="BO4" i="3"/>
  <c r="BO3" i="3"/>
  <c r="BM3" i="3"/>
  <c r="BN4" i="3"/>
  <c r="BM4" i="3"/>
  <c r="BP3" i="3"/>
  <c r="BN3" i="3"/>
  <c r="BC28" i="3"/>
  <c r="BQ28" i="3"/>
  <c r="FW79" i="1"/>
  <c r="FW111" i="1"/>
  <c r="FW83" i="1"/>
  <c r="FV88" i="1"/>
  <c r="FW41" i="1"/>
  <c r="FV41" i="1"/>
  <c r="HH33" i="1"/>
  <c r="HG33" i="1"/>
  <c r="HH58" i="1"/>
  <c r="HG58" i="1"/>
  <c r="HG94" i="1"/>
  <c r="HH94" i="1"/>
  <c r="HH29" i="1"/>
  <c r="HG29" i="1"/>
  <c r="HG26" i="1"/>
  <c r="HH26" i="1"/>
  <c r="HH87" i="1"/>
  <c r="HG87" i="1"/>
  <c r="HG74" i="1"/>
  <c r="HH74" i="1"/>
  <c r="HG81" i="1"/>
  <c r="HH81" i="1"/>
  <c r="HG79" i="1"/>
  <c r="HH79" i="1"/>
  <c r="HH88" i="1"/>
  <c r="HG88" i="1"/>
  <c r="HH117" i="1"/>
  <c r="HG117" i="1"/>
  <c r="HG118" i="1"/>
  <c r="HH118" i="1"/>
  <c r="FV74" i="1"/>
  <c r="FW74" i="1"/>
  <c r="HG41" i="1"/>
  <c r="HH41" i="1"/>
  <c r="HH37" i="1"/>
  <c r="HG37" i="1"/>
  <c r="HH98" i="1"/>
  <c r="HG98" i="1"/>
  <c r="HG53" i="1"/>
  <c r="HH53" i="1"/>
  <c r="HG95" i="1"/>
  <c r="HH95" i="1"/>
  <c r="HH50" i="1"/>
  <c r="HG50" i="1"/>
  <c r="FW92" i="1"/>
  <c r="FV92" i="1"/>
  <c r="HG102" i="1"/>
  <c r="HH102" i="1"/>
  <c r="HH31" i="1"/>
  <c r="HG31" i="1"/>
  <c r="FW53" i="1"/>
  <c r="FV53" i="1"/>
  <c r="HG113" i="1"/>
  <c r="HH113" i="1"/>
  <c r="HH77" i="1"/>
  <c r="HG77" i="1"/>
  <c r="HG104" i="1"/>
  <c r="HH104" i="1"/>
  <c r="HG112" i="1"/>
  <c r="HH112" i="1"/>
  <c r="FV70" i="1"/>
  <c r="FW70" i="1"/>
  <c r="HG36" i="1"/>
  <c r="HH36" i="1"/>
  <c r="HG39" i="1"/>
  <c r="HH39" i="1"/>
  <c r="HG76" i="1"/>
  <c r="HH76" i="1"/>
  <c r="HG56" i="1"/>
  <c r="HH56" i="1"/>
  <c r="HG80" i="1"/>
  <c r="HH80" i="1"/>
  <c r="HH92" i="1"/>
  <c r="HG92" i="1"/>
  <c r="HH96" i="1"/>
  <c r="HG96" i="1"/>
  <c r="FV77" i="1"/>
  <c r="FW77" i="1"/>
  <c r="HH71" i="1"/>
  <c r="HG71" i="1"/>
  <c r="FV117" i="1"/>
  <c r="FW117" i="1"/>
  <c r="HG49" i="1"/>
  <c r="HH49" i="1"/>
  <c r="FW46" i="1"/>
  <c r="FV46" i="1"/>
  <c r="HH83" i="1"/>
  <c r="HG83" i="1"/>
  <c r="FV97" i="1"/>
  <c r="FW97" i="1"/>
  <c r="FV114" i="1"/>
  <c r="FW114" i="1"/>
  <c r="HG59" i="1"/>
  <c r="HH59" i="1"/>
  <c r="FV67" i="1"/>
  <c r="FW67" i="1"/>
  <c r="HH89" i="1"/>
  <c r="HG89" i="1"/>
  <c r="HG70" i="1"/>
  <c r="HH70" i="1"/>
  <c r="HG91" i="1"/>
  <c r="HH91" i="1"/>
  <c r="HG63" i="1"/>
  <c r="HH63" i="1"/>
  <c r="FV48" i="1"/>
  <c r="FW48" i="1"/>
  <c r="HG69" i="1"/>
  <c r="HH69" i="1"/>
  <c r="FV103" i="1"/>
  <c r="FW103" i="1"/>
  <c r="HH106" i="1"/>
  <c r="HG106" i="1"/>
  <c r="FW43" i="1"/>
  <c r="FV43" i="1"/>
  <c r="FW33" i="1"/>
  <c r="FV33" i="1"/>
  <c r="HG97" i="1"/>
  <c r="HH97" i="1"/>
  <c r="FV71" i="1"/>
  <c r="FW71" i="1"/>
  <c r="HH65" i="1"/>
  <c r="HG65" i="1"/>
  <c r="FV105" i="1"/>
  <c r="FW105" i="1"/>
  <c r="HH105" i="1"/>
  <c r="HG105" i="1"/>
  <c r="HH44" i="1"/>
  <c r="HG44" i="1"/>
  <c r="HG108" i="1"/>
  <c r="HH108" i="1"/>
  <c r="HH86" i="1"/>
  <c r="HG86" i="1"/>
  <c r="FV29" i="1"/>
  <c r="FW29" i="1"/>
  <c r="FW86" i="1"/>
  <c r="FV86" i="1"/>
  <c r="HG61" i="1"/>
  <c r="HH61" i="1"/>
  <c r="HG114" i="1"/>
  <c r="HH114" i="1"/>
  <c r="HG115" i="1"/>
  <c r="HH115" i="1"/>
  <c r="HH48" i="1"/>
  <c r="HG48" i="1"/>
  <c r="HH103" i="1"/>
  <c r="HG103" i="1"/>
  <c r="FV69" i="1"/>
  <c r="FW69" i="1"/>
  <c r="HG93" i="1"/>
  <c r="HH93" i="1"/>
  <c r="FV102" i="1"/>
  <c r="FW102" i="1"/>
  <c r="FV108" i="1"/>
  <c r="FW108" i="1"/>
  <c r="HG60" i="1"/>
  <c r="HH60" i="1"/>
  <c r="FV91" i="1"/>
  <c r="FW91" i="1"/>
  <c r="HG43" i="1"/>
  <c r="HH43" i="1"/>
  <c r="HG52" i="1"/>
  <c r="HH52" i="1"/>
  <c r="HG85" i="1"/>
  <c r="HH85" i="1"/>
  <c r="HH35" i="1"/>
  <c r="HG35" i="1"/>
  <c r="HH67" i="1"/>
  <c r="HG67" i="1"/>
  <c r="HG109" i="1"/>
  <c r="HH109" i="1"/>
  <c r="HG46" i="1"/>
  <c r="HH46" i="1"/>
  <c r="FW115" i="1"/>
  <c r="FV115" i="1"/>
  <c r="FW56" i="1"/>
  <c r="FV56" i="1"/>
  <c r="HH68" i="1"/>
  <c r="HG68" i="1"/>
  <c r="FV104" i="1"/>
  <c r="FW104" i="1"/>
  <c r="HG45" i="1"/>
  <c r="HH45" i="1"/>
  <c r="HG62" i="1"/>
  <c r="HH62" i="1"/>
  <c r="FW98" i="1"/>
  <c r="FV98" i="1"/>
  <c r="HH101" i="1"/>
  <c r="HG101" i="1"/>
  <c r="HG42" i="1"/>
  <c r="HH42" i="1"/>
  <c r="HH57" i="1"/>
  <c r="HG57" i="1"/>
  <c r="HH66" i="1"/>
  <c r="HG66" i="1"/>
  <c r="HG107" i="1"/>
  <c r="HH107" i="1"/>
  <c r="FW59" i="1"/>
  <c r="FV59" i="1"/>
  <c r="HG72" i="1"/>
  <c r="HH72" i="1"/>
  <c r="HH111" i="1"/>
  <c r="HG111" i="1"/>
  <c r="BU27" i="3"/>
  <c r="BU29" i="3"/>
  <c r="BU28" i="3"/>
  <c r="BP27" i="3"/>
  <c r="BB28" i="3"/>
  <c r="BP28" i="3"/>
  <c r="BO27" i="3"/>
  <c r="BA28" i="3"/>
  <c r="BO28" i="3"/>
  <c r="BA30" i="3"/>
  <c r="AX29" i="3"/>
  <c r="BV29" i="3"/>
  <c r="AU29" i="3"/>
  <c r="BI29" i="3"/>
  <c r="BW29" i="3"/>
  <c r="AW29" i="3"/>
  <c r="AV29" i="3"/>
  <c r="BL29" i="3"/>
  <c r="AZ30" i="3"/>
  <c r="BN30" i="3"/>
  <c r="AZ31" i="3"/>
  <c r="BN31" i="3"/>
  <c r="BJ30" i="3"/>
  <c r="BX30" i="3"/>
  <c r="CB30" i="3"/>
  <c r="CB31" i="3"/>
  <c r="BZ30" i="3"/>
  <c r="CD30" i="3"/>
  <c r="CD31" i="3"/>
  <c r="BH31" i="3"/>
  <c r="BV31" i="3"/>
  <c r="BT31" i="3"/>
  <c r="BK28" i="3"/>
  <c r="BY28" i="3"/>
  <c r="AV33" i="3"/>
  <c r="AU33" i="3"/>
  <c r="BI33" i="3"/>
  <c r="BW33" i="3"/>
  <c r="CA33" i="3"/>
  <c r="AW33" i="3"/>
  <c r="BF34" i="3"/>
  <c r="BE35" i="3"/>
  <c r="BV33" i="3"/>
  <c r="AX33" i="3"/>
  <c r="AT34" i="3"/>
  <c r="AT36" i="3"/>
  <c r="BE33" i="3"/>
  <c r="BE34" i="3"/>
  <c r="AY31" i="3"/>
  <c r="BM31" i="3"/>
  <c r="BG30" i="3"/>
  <c r="BC30" i="3"/>
  <c r="BQ30" i="3"/>
  <c r="BS30" i="3"/>
  <c r="BY26" i="3"/>
  <c r="BK26" i="3"/>
  <c r="BJ28" i="3"/>
  <c r="BX28" i="3"/>
  <c r="BZ28" i="3"/>
  <c r="BB30" i="3"/>
  <c r="AT32" i="3"/>
  <c r="AX31" i="3"/>
  <c r="AW31" i="3"/>
  <c r="AU31" i="3"/>
  <c r="BI31" i="3"/>
  <c r="BW31" i="3"/>
  <c r="AV31" i="3"/>
  <c r="BL31" i="3"/>
  <c r="BE31" i="3"/>
  <c r="BG32" i="3"/>
  <c r="BS32" i="3"/>
  <c r="BI30" i="3"/>
  <c r="BW30" i="3"/>
  <c r="CA30" i="3"/>
  <c r="CA31" i="3"/>
  <c r="BL30" i="3"/>
  <c r="BD31" i="3"/>
  <c r="BR31" i="3"/>
  <c r="BY30" i="3"/>
  <c r="CC30" i="3"/>
  <c r="CC31" i="3"/>
  <c r="BK30" i="3"/>
  <c r="AY30" i="3"/>
  <c r="BM30" i="3"/>
  <c r="BJ26" i="3"/>
  <c r="BX26" i="3"/>
  <c r="BZ26" i="3"/>
  <c r="HE11" i="1"/>
  <c r="HA11" i="1"/>
  <c r="HB11" i="1"/>
  <c r="HD11" i="1"/>
  <c r="HJ11" i="1"/>
  <c r="HC11" i="1"/>
  <c r="HI11" i="1"/>
  <c r="FS5" i="1"/>
  <c r="FY5" i="1"/>
  <c r="FT5" i="1"/>
  <c r="FZ5" i="1"/>
  <c r="FS13" i="1"/>
  <c r="FY13" i="1"/>
  <c r="FT13" i="1"/>
  <c r="FZ13" i="1"/>
  <c r="FQ13" i="1"/>
  <c r="FR13" i="1"/>
  <c r="FX13" i="1"/>
  <c r="FP13" i="1"/>
  <c r="FR10" i="1"/>
  <c r="FX10" i="1"/>
  <c r="FS10" i="1"/>
  <c r="FY10" i="1"/>
  <c r="FT10" i="1"/>
  <c r="HK10" i="1"/>
  <c r="FZ10" i="1"/>
  <c r="FQ10" i="1"/>
  <c r="FP10" i="1"/>
  <c r="FQ9" i="1"/>
  <c r="FR9" i="1"/>
  <c r="FX9" i="1"/>
  <c r="FP9" i="1"/>
  <c r="FS12" i="1"/>
  <c r="FY12" i="1"/>
  <c r="FP12" i="1"/>
  <c r="FR12" i="1"/>
  <c r="FX12" i="1"/>
  <c r="FT12" i="1"/>
  <c r="FQ12" i="1"/>
  <c r="HK12" i="1"/>
  <c r="FZ12" i="1"/>
  <c r="FZ11" i="1"/>
  <c r="FQ11" i="1"/>
  <c r="FS11" i="1"/>
  <c r="FY11" i="1"/>
  <c r="FT11" i="1"/>
  <c r="HK11" i="1"/>
  <c r="FR11" i="1"/>
  <c r="FX11" i="1"/>
  <c r="FP11" i="1"/>
  <c r="FS8" i="1"/>
  <c r="FY8" i="1"/>
  <c r="FQ8" i="1"/>
  <c r="FP8" i="1"/>
  <c r="FT8" i="1"/>
  <c r="FZ8" i="1"/>
  <c r="HC13" i="1"/>
  <c r="HI13" i="1"/>
  <c r="HB13" i="1"/>
  <c r="HE13" i="1"/>
  <c r="HK13" i="1"/>
  <c r="HA13" i="1"/>
  <c r="HD13" i="1"/>
  <c r="HJ13" i="1"/>
  <c r="HB12" i="1"/>
  <c r="HD12" i="1"/>
  <c r="HJ12" i="1"/>
  <c r="HA12" i="1"/>
  <c r="HE12" i="1"/>
  <c r="HC12" i="1"/>
  <c r="HI12" i="1"/>
  <c r="HA8" i="1"/>
  <c r="HB8" i="1"/>
  <c r="HE8" i="1"/>
  <c r="HK8" i="1"/>
  <c r="HD8" i="1"/>
  <c r="HJ8" i="1"/>
  <c r="HC8" i="1"/>
  <c r="HI8" i="1"/>
  <c r="FQ5" i="1"/>
  <c r="HG22" i="1"/>
  <c r="HH22" i="1"/>
  <c r="HH23" i="1"/>
  <c r="HG23" i="1"/>
  <c r="AI4" i="3"/>
  <c r="AJ4" i="3"/>
  <c r="AO4" i="3"/>
  <c r="HE10" i="1"/>
  <c r="HC10" i="1"/>
  <c r="HI10" i="1"/>
  <c r="HD10" i="1"/>
  <c r="HJ10" i="1"/>
  <c r="HB10" i="1"/>
  <c r="HG24" i="1"/>
  <c r="HH24" i="1"/>
  <c r="HE9" i="1"/>
  <c r="HK9" i="1"/>
  <c r="HC9" i="1"/>
  <c r="HI9" i="1"/>
  <c r="HA9" i="1"/>
  <c r="HD9" i="1"/>
  <c r="HJ9" i="1"/>
  <c r="HB9" i="1"/>
  <c r="HA5" i="1"/>
  <c r="HC5" i="1"/>
  <c r="HI5" i="1"/>
  <c r="HD5" i="1"/>
  <c r="HJ5" i="1"/>
  <c r="HE5" i="1"/>
  <c r="HK5" i="1"/>
  <c r="HB5" i="1"/>
  <c r="HA10" i="1"/>
  <c r="FP5" i="1"/>
  <c r="FV17" i="1"/>
  <c r="HH17" i="1"/>
  <c r="HG17" i="1"/>
  <c r="BU30" i="3"/>
  <c r="BU32" i="3"/>
  <c r="BO30" i="3"/>
  <c r="BA31" i="3"/>
  <c r="BO31" i="3"/>
  <c r="BP30" i="3"/>
  <c r="BB31" i="3"/>
  <c r="BP31" i="3"/>
  <c r="BA33" i="3"/>
  <c r="BO33" i="3"/>
  <c r="BC31" i="3"/>
  <c r="BQ31" i="3"/>
  <c r="BJ31" i="3"/>
  <c r="BX31" i="3"/>
  <c r="BZ31" i="3"/>
  <c r="BS33" i="3"/>
  <c r="BC33" i="3"/>
  <c r="BQ33" i="3"/>
  <c r="BG33" i="3"/>
  <c r="BT34" i="3"/>
  <c r="BH34" i="3"/>
  <c r="BV34" i="3"/>
  <c r="AY34" i="3"/>
  <c r="BM34" i="3"/>
  <c r="BC34" i="3"/>
  <c r="BQ34" i="3"/>
  <c r="BY29" i="3"/>
  <c r="BK29" i="3"/>
  <c r="BV36" i="3"/>
  <c r="BE36" i="3"/>
  <c r="BE37" i="3"/>
  <c r="AT39" i="3"/>
  <c r="BF37" i="3"/>
  <c r="BE38" i="3"/>
  <c r="AX36" i="3"/>
  <c r="AW36" i="3"/>
  <c r="AU36" i="3"/>
  <c r="BI36" i="3"/>
  <c r="BW36" i="3"/>
  <c r="CA36" i="3"/>
  <c r="AT37" i="3"/>
  <c r="AV36" i="3"/>
  <c r="BD34" i="3"/>
  <c r="BR34" i="3"/>
  <c r="BL33" i="3"/>
  <c r="BS31" i="3"/>
  <c r="BG31" i="3"/>
  <c r="BU31" i="3"/>
  <c r="AX32" i="3"/>
  <c r="BV32" i="3"/>
  <c r="AV32" i="3"/>
  <c r="BL32" i="3"/>
  <c r="AW32" i="3"/>
  <c r="AU32" i="3"/>
  <c r="BI32" i="3"/>
  <c r="BW32" i="3"/>
  <c r="AU34" i="3"/>
  <c r="BI34" i="3"/>
  <c r="BW34" i="3"/>
  <c r="AW34" i="3"/>
  <c r="AV34" i="3"/>
  <c r="BL34" i="3"/>
  <c r="AT35" i="3"/>
  <c r="CA34" i="3"/>
  <c r="AX34" i="3"/>
  <c r="BG35" i="3"/>
  <c r="BS35" i="3"/>
  <c r="BS34" i="3"/>
  <c r="BG34" i="3"/>
  <c r="BY31" i="3"/>
  <c r="BK31" i="3"/>
  <c r="BB33" i="3"/>
  <c r="BJ33" i="3"/>
  <c r="BX33" i="3"/>
  <c r="CB33" i="3"/>
  <c r="CB34" i="3"/>
  <c r="AZ33" i="3"/>
  <c r="BN33" i="3"/>
  <c r="AZ34" i="3"/>
  <c r="BN34" i="3"/>
  <c r="BZ33" i="3"/>
  <c r="CD33" i="3"/>
  <c r="CD34" i="3"/>
  <c r="BY33" i="3"/>
  <c r="CC33" i="3"/>
  <c r="CC34" i="3"/>
  <c r="BK33" i="3"/>
  <c r="AY33" i="3"/>
  <c r="BM33" i="3"/>
  <c r="BJ29" i="3"/>
  <c r="BX29" i="3"/>
  <c r="BZ29" i="3"/>
  <c r="AL4" i="3"/>
  <c r="FV11" i="1"/>
  <c r="FW11" i="1"/>
  <c r="FW13" i="1"/>
  <c r="FV13" i="1"/>
  <c r="HH12" i="1"/>
  <c r="HG12" i="1"/>
  <c r="HG13" i="1"/>
  <c r="HH13" i="1"/>
  <c r="FW8" i="1"/>
  <c r="FV8" i="1"/>
  <c r="FV10" i="1"/>
  <c r="FW10" i="1"/>
  <c r="HH5" i="1"/>
  <c r="HG5" i="1"/>
  <c r="FV9" i="1"/>
  <c r="FW9" i="1"/>
  <c r="HH11" i="1"/>
  <c r="HG11" i="1"/>
  <c r="FV5" i="1"/>
  <c r="FW5" i="1"/>
  <c r="HG8" i="1"/>
  <c r="HH8" i="1"/>
  <c r="FW12" i="1"/>
  <c r="FV12" i="1"/>
  <c r="HH10" i="1"/>
  <c r="HG10" i="1"/>
  <c r="HH9" i="1"/>
  <c r="HG9" i="1"/>
  <c r="BA34" i="3"/>
  <c r="BO34" i="3"/>
  <c r="BU33" i="3"/>
  <c r="BU35" i="3"/>
  <c r="BA36" i="3"/>
  <c r="BO36" i="3"/>
  <c r="BP33" i="3"/>
  <c r="BB34" i="3"/>
  <c r="BP34" i="3"/>
  <c r="BB36" i="3"/>
  <c r="AZ36" i="3"/>
  <c r="BN36" i="3"/>
  <c r="AZ37" i="3"/>
  <c r="BN37" i="3"/>
  <c r="BJ36" i="3"/>
  <c r="BX36" i="3"/>
  <c r="CB36" i="3"/>
  <c r="CB37" i="3"/>
  <c r="BZ36" i="3"/>
  <c r="CD36" i="3"/>
  <c r="CD37" i="3"/>
  <c r="BT37" i="3"/>
  <c r="BH37" i="3"/>
  <c r="BV37" i="3"/>
  <c r="BY34" i="3"/>
  <c r="BK34" i="3"/>
  <c r="BK32" i="3"/>
  <c r="BY32" i="3"/>
  <c r="BJ32" i="3"/>
  <c r="BX32" i="3"/>
  <c r="BZ32" i="3"/>
  <c r="BV39" i="3"/>
  <c r="AW39" i="3"/>
  <c r="BE41" i="3"/>
  <c r="BF40" i="3"/>
  <c r="AT42" i="3"/>
  <c r="AX39" i="3"/>
  <c r="BE39" i="3"/>
  <c r="BE40" i="3"/>
  <c r="AT40" i="3"/>
  <c r="AU39" i="3"/>
  <c r="BI39" i="3"/>
  <c r="BW39" i="3"/>
  <c r="CA39" i="3"/>
  <c r="AV39" i="3"/>
  <c r="BU34" i="3"/>
  <c r="BD37" i="3"/>
  <c r="BR37" i="3"/>
  <c r="BL36" i="3"/>
  <c r="AY37" i="3"/>
  <c r="BM37" i="3"/>
  <c r="BS37" i="3"/>
  <c r="BG37" i="3"/>
  <c r="BJ34" i="3"/>
  <c r="BX34" i="3"/>
  <c r="BZ34" i="3"/>
  <c r="AV35" i="3"/>
  <c r="BL35" i="3"/>
  <c r="AW35" i="3"/>
  <c r="BV35" i="3"/>
  <c r="AX35" i="3"/>
  <c r="AU35" i="3"/>
  <c r="BI35" i="3"/>
  <c r="BW35" i="3"/>
  <c r="AX37" i="3"/>
  <c r="AU37" i="3"/>
  <c r="BI37" i="3"/>
  <c r="BW37" i="3"/>
  <c r="AT38" i="3"/>
  <c r="CA37" i="3"/>
  <c r="AV37" i="3"/>
  <c r="BL37" i="3"/>
  <c r="AW37" i="3"/>
  <c r="BK36" i="3"/>
  <c r="AY36" i="3"/>
  <c r="BM36" i="3"/>
  <c r="BY36" i="3"/>
  <c r="CC36" i="3"/>
  <c r="CC37" i="3"/>
  <c r="BG38" i="3"/>
  <c r="BS38" i="3"/>
  <c r="BG36" i="3"/>
  <c r="BS36" i="3"/>
  <c r="BC36" i="3"/>
  <c r="BQ36" i="3"/>
  <c r="AP4" i="3"/>
  <c r="AM4" i="3"/>
  <c r="BC37" i="3"/>
  <c r="BQ37" i="3"/>
  <c r="BA39" i="3"/>
  <c r="BO39" i="3"/>
  <c r="BU36" i="3"/>
  <c r="BU38" i="3"/>
  <c r="BA37" i="3"/>
  <c r="BO37" i="3"/>
  <c r="AV38" i="3"/>
  <c r="BL38" i="3"/>
  <c r="AW38" i="3"/>
  <c r="AX38" i="3"/>
  <c r="AU38" i="3"/>
  <c r="BI38" i="3"/>
  <c r="BW38" i="3"/>
  <c r="BV38" i="3"/>
  <c r="BG39" i="3"/>
  <c r="BS39" i="3"/>
  <c r="BC39" i="3"/>
  <c r="BQ39" i="3"/>
  <c r="BJ35" i="3"/>
  <c r="BX35" i="3"/>
  <c r="BZ35" i="3"/>
  <c r="AY40" i="3"/>
  <c r="BM40" i="3"/>
  <c r="AZ39" i="3"/>
  <c r="BN39" i="3"/>
  <c r="AZ40" i="3"/>
  <c r="BN40" i="3"/>
  <c r="BJ39" i="3"/>
  <c r="BX39" i="3"/>
  <c r="CB39" i="3"/>
  <c r="CB40" i="3"/>
  <c r="BZ39" i="3"/>
  <c r="CD39" i="3"/>
  <c r="CD40" i="3"/>
  <c r="BS40" i="3"/>
  <c r="BG40" i="3"/>
  <c r="BP36" i="3"/>
  <c r="BB37" i="3"/>
  <c r="BP37" i="3"/>
  <c r="BJ37" i="3"/>
  <c r="BX37" i="3"/>
  <c r="BZ37" i="3"/>
  <c r="AU40" i="3"/>
  <c r="BI40" i="3"/>
  <c r="BW40" i="3"/>
  <c r="AX40" i="3"/>
  <c r="AV40" i="3"/>
  <c r="BL40" i="3"/>
  <c r="AT41" i="3"/>
  <c r="AW40" i="3"/>
  <c r="CA40" i="3"/>
  <c r="AT43" i="3"/>
  <c r="AU42" i="3"/>
  <c r="AV42" i="3"/>
  <c r="BV42" i="3"/>
  <c r="AW42" i="3"/>
  <c r="AT45" i="3"/>
  <c r="BE42" i="3"/>
  <c r="BE43" i="3"/>
  <c r="BF43" i="3"/>
  <c r="BE44" i="3"/>
  <c r="BI42" i="3"/>
  <c r="BW42" i="3"/>
  <c r="CA42" i="3"/>
  <c r="AX42" i="3"/>
  <c r="BB39" i="3"/>
  <c r="BS41" i="3"/>
  <c r="BG41" i="3"/>
  <c r="BK37" i="3"/>
  <c r="BY37" i="3"/>
  <c r="BU37" i="3"/>
  <c r="BY35" i="3"/>
  <c r="BK35" i="3"/>
  <c r="BD40" i="3"/>
  <c r="BR40" i="3"/>
  <c r="BL39" i="3"/>
  <c r="BT40" i="3"/>
  <c r="BH40" i="3"/>
  <c r="BV40" i="3"/>
  <c r="BK39" i="3"/>
  <c r="AY39" i="3"/>
  <c r="BM39" i="3"/>
  <c r="BY39" i="3"/>
  <c r="CC39" i="3"/>
  <c r="CC40" i="3"/>
  <c r="BC40" i="3"/>
  <c r="BQ40" i="3"/>
  <c r="BA42" i="3"/>
  <c r="BO42" i="3"/>
  <c r="BA40" i="3"/>
  <c r="BO40" i="3"/>
  <c r="BA43" i="3"/>
  <c r="BO43" i="3"/>
  <c r="BU40" i="3"/>
  <c r="BB42" i="3"/>
  <c r="BP42" i="3"/>
  <c r="BU39" i="3"/>
  <c r="BU41" i="3"/>
  <c r="BC42" i="3"/>
  <c r="BQ42" i="3"/>
  <c r="BG42" i="3"/>
  <c r="BS42" i="3"/>
  <c r="BK42" i="3"/>
  <c r="AY42" i="3"/>
  <c r="BM42" i="3"/>
  <c r="BY42" i="3"/>
  <c r="CC42" i="3"/>
  <c r="CC43" i="3"/>
  <c r="AY43" i="3"/>
  <c r="BM43" i="3"/>
  <c r="BV41" i="3"/>
  <c r="AW41" i="3"/>
  <c r="AV41" i="3"/>
  <c r="BL41" i="3"/>
  <c r="AU41" i="3"/>
  <c r="BI41" i="3"/>
  <c r="BW41" i="3"/>
  <c r="AX41" i="3"/>
  <c r="AZ42" i="3"/>
  <c r="BN42" i="3"/>
  <c r="AZ43" i="3"/>
  <c r="BN43" i="3"/>
  <c r="BJ42" i="3"/>
  <c r="BX42" i="3"/>
  <c r="CB42" i="3"/>
  <c r="CB43" i="3"/>
  <c r="BZ42" i="3"/>
  <c r="CD42" i="3"/>
  <c r="CD43" i="3"/>
  <c r="BG44" i="3"/>
  <c r="BS44" i="3"/>
  <c r="AV45" i="3"/>
  <c r="AT46" i="3"/>
  <c r="BF46" i="3"/>
  <c r="AW45" i="3"/>
  <c r="BA45" i="3"/>
  <c r="BO45" i="3"/>
  <c r="BE47" i="3"/>
  <c r="BE45" i="3"/>
  <c r="BE46" i="3"/>
  <c r="BV45" i="3"/>
  <c r="AU45" i="3"/>
  <c r="BI45" i="3"/>
  <c r="BW45" i="3"/>
  <c r="CA45" i="3"/>
  <c r="AX45" i="3"/>
  <c r="AT48" i="3"/>
  <c r="BJ38" i="3"/>
  <c r="BX38" i="3"/>
  <c r="BZ38" i="3"/>
  <c r="BH43" i="3"/>
  <c r="BV43" i="3"/>
  <c r="BT43" i="3"/>
  <c r="BL42" i="3"/>
  <c r="BD43" i="3"/>
  <c r="BR43" i="3"/>
  <c r="CA43" i="3"/>
  <c r="AV43" i="3"/>
  <c r="BL43" i="3"/>
  <c r="AT44" i="3"/>
  <c r="AX43" i="3"/>
  <c r="AU43" i="3"/>
  <c r="BI43" i="3"/>
  <c r="BW43" i="3"/>
  <c r="AW43" i="3"/>
  <c r="BJ40" i="3"/>
  <c r="BX40" i="3"/>
  <c r="BZ40" i="3"/>
  <c r="BY38" i="3"/>
  <c r="BK38" i="3"/>
  <c r="BP39" i="3"/>
  <c r="BB40" i="3"/>
  <c r="BP40" i="3"/>
  <c r="BG43" i="3"/>
  <c r="BS43" i="3"/>
  <c r="BK40" i="3"/>
  <c r="BY40" i="3"/>
  <c r="BS19" i="1"/>
  <c r="CQ19" i="1"/>
  <c r="BB43" i="3"/>
  <c r="BP43" i="3"/>
  <c r="BB45" i="3"/>
  <c r="BP45" i="3"/>
  <c r="BU42" i="3"/>
  <c r="BU44" i="3"/>
  <c r="BU43" i="3"/>
  <c r="BC43" i="3"/>
  <c r="BQ43" i="3"/>
  <c r="BA46" i="3"/>
  <c r="BO46" i="3"/>
  <c r="AY45" i="3"/>
  <c r="BM45" i="3"/>
  <c r="BY45" i="3"/>
  <c r="CC45" i="3"/>
  <c r="CC46" i="3"/>
  <c r="BK45" i="3"/>
  <c r="BY43" i="3"/>
  <c r="BK43" i="3"/>
  <c r="BS46" i="3"/>
  <c r="BG46" i="3"/>
  <c r="AZ46" i="3"/>
  <c r="BN46" i="3"/>
  <c r="AZ45" i="3"/>
  <c r="BN45" i="3"/>
  <c r="BJ45" i="3"/>
  <c r="BX45" i="3"/>
  <c r="CB45" i="3"/>
  <c r="CB46" i="3"/>
  <c r="BZ45" i="3"/>
  <c r="CD45" i="3"/>
  <c r="CD46" i="3"/>
  <c r="BS45" i="3"/>
  <c r="BG45" i="3"/>
  <c r="BC45" i="3"/>
  <c r="BQ45" i="3"/>
  <c r="BH46" i="3"/>
  <c r="BV46" i="3"/>
  <c r="BT46" i="3"/>
  <c r="AX44" i="3"/>
  <c r="AU44" i="3"/>
  <c r="BI44" i="3"/>
  <c r="BW44" i="3"/>
  <c r="BV44" i="3"/>
  <c r="AW44" i="3"/>
  <c r="AV44" i="3"/>
  <c r="BL44" i="3"/>
  <c r="BF49" i="3"/>
  <c r="BE48" i="3"/>
  <c r="BE49" i="3"/>
  <c r="AX48" i="3"/>
  <c r="BB48" i="3"/>
  <c r="BP48" i="3"/>
  <c r="AT49" i="3"/>
  <c r="AU48" i="3"/>
  <c r="BI48" i="3"/>
  <c r="BW48" i="3"/>
  <c r="CA48" i="3"/>
  <c r="BV48" i="3"/>
  <c r="AW48" i="3"/>
  <c r="BA48" i="3"/>
  <c r="BO48" i="3"/>
  <c r="AT51" i="3"/>
  <c r="BE50" i="3"/>
  <c r="AV48" i="3"/>
  <c r="AT47" i="3"/>
  <c r="AV46" i="3"/>
  <c r="AU46" i="3"/>
  <c r="BI46" i="3"/>
  <c r="BW46" i="3"/>
  <c r="CA46" i="3"/>
  <c r="AW46" i="3"/>
  <c r="AX46" i="3"/>
  <c r="BY41" i="3"/>
  <c r="BK41" i="3"/>
  <c r="BJ43" i="3"/>
  <c r="BX43" i="3"/>
  <c r="BZ43" i="3"/>
  <c r="AY46" i="3"/>
  <c r="BM46" i="3"/>
  <c r="BG47" i="3"/>
  <c r="BS47" i="3"/>
  <c r="BL45" i="3"/>
  <c r="BD46" i="3"/>
  <c r="BR46" i="3"/>
  <c r="BJ41" i="3"/>
  <c r="BX41" i="3"/>
  <c r="BZ41" i="3"/>
  <c r="DO19" i="1"/>
  <c r="BB46" i="3"/>
  <c r="BP46" i="3"/>
  <c r="BU45" i="3"/>
  <c r="BU47" i="3"/>
  <c r="BC46" i="3"/>
  <c r="BQ46" i="3"/>
  <c r="BU46" i="3"/>
  <c r="BY46" i="3"/>
  <c r="BK46" i="3"/>
  <c r="AV49" i="3"/>
  <c r="BL49" i="3"/>
  <c r="BL46" i="3"/>
  <c r="BS50" i="3"/>
  <c r="BG50" i="3"/>
  <c r="AY49" i="3"/>
  <c r="BM49" i="3"/>
  <c r="BS48" i="3"/>
  <c r="BG48" i="3"/>
  <c r="BC48" i="3"/>
  <c r="BQ48" i="3"/>
  <c r="BD49" i="3"/>
  <c r="BR49" i="3"/>
  <c r="BL48" i="3"/>
  <c r="AT54" i="3"/>
  <c r="AU51" i="3"/>
  <c r="BI51" i="3"/>
  <c r="BW51" i="3"/>
  <c r="CA51" i="3"/>
  <c r="AT52" i="3"/>
  <c r="AW51" i="3"/>
  <c r="BA51" i="3"/>
  <c r="BO51" i="3"/>
  <c r="BE53" i="3"/>
  <c r="AX51" i="3"/>
  <c r="BV51" i="3"/>
  <c r="BF52" i="3"/>
  <c r="BE51" i="3"/>
  <c r="BE52" i="3"/>
  <c r="BB51" i="3"/>
  <c r="BP51" i="3"/>
  <c r="AV51" i="3"/>
  <c r="BS49" i="3"/>
  <c r="BG49" i="3"/>
  <c r="AU49" i="3"/>
  <c r="BI49" i="3"/>
  <c r="BW49" i="3"/>
  <c r="AT50" i="3"/>
  <c r="AX49" i="3"/>
  <c r="CA49" i="3"/>
  <c r="AW49" i="3"/>
  <c r="BH49" i="3"/>
  <c r="BV49" i="3"/>
  <c r="BT49" i="3"/>
  <c r="BV47" i="3"/>
  <c r="AX47" i="3"/>
  <c r="AV47" i="3"/>
  <c r="BL47" i="3"/>
  <c r="AW47" i="3"/>
  <c r="AU47" i="3"/>
  <c r="BI47" i="3"/>
  <c r="BW47" i="3"/>
  <c r="BK48" i="3"/>
  <c r="BY48" i="3"/>
  <c r="CC48" i="3"/>
  <c r="CC49" i="3"/>
  <c r="AY48" i="3"/>
  <c r="BM48" i="3"/>
  <c r="AZ48" i="3"/>
  <c r="BN48" i="3"/>
  <c r="AZ49" i="3"/>
  <c r="BN49" i="3"/>
  <c r="BJ48" i="3"/>
  <c r="BX48" i="3"/>
  <c r="CB48" i="3"/>
  <c r="CB49" i="3"/>
  <c r="BZ48" i="3"/>
  <c r="CD48" i="3"/>
  <c r="CD49" i="3"/>
  <c r="BJ46" i="3"/>
  <c r="BX46" i="3"/>
  <c r="BZ46" i="3"/>
  <c r="BB49" i="3"/>
  <c r="BP49" i="3"/>
  <c r="BA49" i="3"/>
  <c r="BO49" i="3"/>
  <c r="BY44" i="3"/>
  <c r="BK44" i="3"/>
  <c r="BJ44" i="3"/>
  <c r="BX44" i="3"/>
  <c r="BZ44" i="3"/>
  <c r="EH19" i="1"/>
  <c r="EJ19" i="1"/>
  <c r="EK19" i="1"/>
  <c r="BU48" i="3"/>
  <c r="BU50" i="3"/>
  <c r="BC49" i="3"/>
  <c r="BQ49" i="3"/>
  <c r="BA52" i="3"/>
  <c r="BO52" i="3"/>
  <c r="AZ52" i="3"/>
  <c r="BN52" i="3"/>
  <c r="BZ51" i="3"/>
  <c r="CD51" i="3"/>
  <c r="CD52" i="3"/>
  <c r="BJ51" i="3"/>
  <c r="BX51" i="3"/>
  <c r="CB51" i="3"/>
  <c r="CB52" i="3"/>
  <c r="AZ51" i="3"/>
  <c r="BN51" i="3"/>
  <c r="AY52" i="3"/>
  <c r="BM52" i="3"/>
  <c r="BJ47" i="3"/>
  <c r="BX47" i="3"/>
  <c r="BZ47" i="3"/>
  <c r="BI50" i="3"/>
  <c r="BW50" i="3"/>
  <c r="BV50" i="3"/>
  <c r="AW50" i="3"/>
  <c r="AU50" i="3"/>
  <c r="AX50" i="3"/>
  <c r="AV50" i="3"/>
  <c r="BL50" i="3"/>
  <c r="BD52" i="3"/>
  <c r="BR52" i="3"/>
  <c r="BL51" i="3"/>
  <c r="BC51" i="3"/>
  <c r="BQ51" i="3"/>
  <c r="BG51" i="3"/>
  <c r="BS51" i="3"/>
  <c r="BS53" i="3"/>
  <c r="BG53" i="3"/>
  <c r="BK47" i="3"/>
  <c r="BY47" i="3"/>
  <c r="BJ49" i="3"/>
  <c r="BX49" i="3"/>
  <c r="BZ49" i="3"/>
  <c r="BT52" i="3"/>
  <c r="BH52" i="3"/>
  <c r="BV52" i="3"/>
  <c r="BS52" i="3"/>
  <c r="BG52" i="3"/>
  <c r="BU52" i="3"/>
  <c r="BY51" i="3"/>
  <c r="CC51" i="3"/>
  <c r="CC52" i="3"/>
  <c r="BK51" i="3"/>
  <c r="AY51" i="3"/>
  <c r="BM51" i="3"/>
  <c r="AX54" i="3"/>
  <c r="BB54" i="3"/>
  <c r="BP54" i="3"/>
  <c r="BF55" i="3"/>
  <c r="AU54" i="3"/>
  <c r="BI54" i="3"/>
  <c r="BW54" i="3"/>
  <c r="CA54" i="3"/>
  <c r="BE55" i="3"/>
  <c r="AW54" i="3"/>
  <c r="BA54" i="3"/>
  <c r="BO54" i="3"/>
  <c r="AT55" i="3"/>
  <c r="BE54" i="3"/>
  <c r="AT57" i="3"/>
  <c r="BV54" i="3"/>
  <c r="BE56" i="3"/>
  <c r="AV54" i="3"/>
  <c r="BK49" i="3"/>
  <c r="BY49" i="3"/>
  <c r="BU49" i="3"/>
  <c r="BB52" i="3"/>
  <c r="BP52" i="3"/>
  <c r="AT53" i="3"/>
  <c r="CA52" i="3"/>
  <c r="AU52" i="3"/>
  <c r="BI52" i="3"/>
  <c r="BW52" i="3"/>
  <c r="AW52" i="3"/>
  <c r="AX52" i="3"/>
  <c r="AV52" i="3"/>
  <c r="BL52" i="3"/>
  <c r="EU19" i="1"/>
  <c r="EY19" i="1"/>
  <c r="GD19" i="1"/>
  <c r="GH19" i="1"/>
  <c r="GL19" i="1"/>
  <c r="ER19" i="1"/>
  <c r="FD19" i="1"/>
  <c r="EW19" i="1"/>
  <c r="FB19" i="1"/>
  <c r="GG19" i="1"/>
  <c r="GM19" i="1"/>
  <c r="ES19" i="1"/>
  <c r="EX19" i="1"/>
  <c r="GC19" i="1"/>
  <c r="GO19" i="1"/>
  <c r="GI19" i="1"/>
  <c r="ET19" i="1"/>
  <c r="EZ19" i="1"/>
  <c r="GE19" i="1"/>
  <c r="GJ19" i="1"/>
  <c r="FA19" i="1"/>
  <c r="GF19" i="1"/>
  <c r="EV19" i="1"/>
  <c r="GK19" i="1"/>
  <c r="AK16" i="1"/>
  <c r="AH16" i="1"/>
  <c r="AI16" i="1"/>
  <c r="AJ16" i="1"/>
  <c r="AN16" i="1"/>
  <c r="BC52" i="3"/>
  <c r="BQ52" i="3"/>
  <c r="BU51" i="3"/>
  <c r="BU53" i="3"/>
  <c r="BB55" i="3"/>
  <c r="BP55" i="3"/>
  <c r="BV57" i="3"/>
  <c r="AT58" i="3"/>
  <c r="BE59" i="3"/>
  <c r="AT60" i="3"/>
  <c r="AW57" i="3"/>
  <c r="BA57" i="3"/>
  <c r="BO57" i="3"/>
  <c r="BF58" i="3"/>
  <c r="BE57" i="3"/>
  <c r="BE58" i="3"/>
  <c r="AU57" i="3"/>
  <c r="BI57" i="3"/>
  <c r="BW57" i="3"/>
  <c r="CA57" i="3"/>
  <c r="AX57" i="3"/>
  <c r="BB57" i="3"/>
  <c r="BP57" i="3"/>
  <c r="AV57" i="3"/>
  <c r="AW55" i="3"/>
  <c r="AX55" i="3"/>
  <c r="AU55" i="3"/>
  <c r="BI55" i="3"/>
  <c r="BW55" i="3"/>
  <c r="AT56" i="3"/>
  <c r="CA55" i="3"/>
  <c r="AV55" i="3"/>
  <c r="BL55" i="3"/>
  <c r="BA55" i="3"/>
  <c r="BO55" i="3"/>
  <c r="BK52" i="3"/>
  <c r="BY52" i="3"/>
  <c r="BL54" i="3"/>
  <c r="BD55" i="3"/>
  <c r="BR55" i="3"/>
  <c r="BK54" i="3"/>
  <c r="BY54" i="3"/>
  <c r="CC54" i="3"/>
  <c r="CC55" i="3"/>
  <c r="AY54" i="3"/>
  <c r="BM54" i="3"/>
  <c r="AY55" i="3"/>
  <c r="BM55" i="3"/>
  <c r="BK50" i="3"/>
  <c r="BY50" i="3"/>
  <c r="BJ52" i="3"/>
  <c r="BX52" i="3"/>
  <c r="BZ52" i="3"/>
  <c r="BV53" i="3"/>
  <c r="AW53" i="3"/>
  <c r="AU53" i="3"/>
  <c r="BI53" i="3"/>
  <c r="BW53" i="3"/>
  <c r="AX53" i="3"/>
  <c r="AV53" i="3"/>
  <c r="BL53" i="3"/>
  <c r="BS56" i="3"/>
  <c r="BG56" i="3"/>
  <c r="BS55" i="3"/>
  <c r="BG55" i="3"/>
  <c r="BH55" i="3"/>
  <c r="BV55" i="3"/>
  <c r="BT55" i="3"/>
  <c r="BG54" i="3"/>
  <c r="BS54" i="3"/>
  <c r="BC54" i="3"/>
  <c r="BQ54" i="3"/>
  <c r="AZ54" i="3"/>
  <c r="BN54" i="3"/>
  <c r="AZ55" i="3"/>
  <c r="BN55" i="3"/>
  <c r="BJ54" i="3"/>
  <c r="BX54" i="3"/>
  <c r="CB54" i="3"/>
  <c r="CB55" i="3"/>
  <c r="BZ54" i="3"/>
  <c r="CD54" i="3"/>
  <c r="CD55" i="3"/>
  <c r="BJ50" i="3"/>
  <c r="BX50" i="3"/>
  <c r="BZ50" i="3"/>
  <c r="AP16" i="1"/>
  <c r="BO16" i="1"/>
  <c r="CM16" i="1"/>
  <c r="AO16" i="1"/>
  <c r="AY16" i="1"/>
  <c r="BW16" i="1"/>
  <c r="BU54" i="3"/>
  <c r="BU56" i="3"/>
  <c r="BC55" i="3"/>
  <c r="BQ55" i="3"/>
  <c r="BA58" i="3"/>
  <c r="BO58" i="3"/>
  <c r="BJ53" i="3"/>
  <c r="BX53" i="3"/>
  <c r="BZ53" i="3"/>
  <c r="AW56" i="3"/>
  <c r="BV56" i="3"/>
  <c r="AU56" i="3"/>
  <c r="BI56" i="3"/>
  <c r="BW56" i="3"/>
  <c r="AX56" i="3"/>
  <c r="AV56" i="3"/>
  <c r="BL56" i="3"/>
  <c r="BJ55" i="3"/>
  <c r="BX55" i="3"/>
  <c r="BZ55" i="3"/>
  <c r="BF61" i="3"/>
  <c r="AT61" i="3"/>
  <c r="AW60" i="3"/>
  <c r="BA60" i="3"/>
  <c r="BO60" i="3"/>
  <c r="BE60" i="3"/>
  <c r="BE61" i="3"/>
  <c r="AU60" i="3"/>
  <c r="BI60" i="3"/>
  <c r="BW60" i="3"/>
  <c r="CA60" i="3"/>
  <c r="BE62" i="3"/>
  <c r="BV60" i="3"/>
  <c r="AT63" i="3"/>
  <c r="AX60" i="3"/>
  <c r="BB60" i="3"/>
  <c r="BP60" i="3"/>
  <c r="AV60" i="3"/>
  <c r="BK55" i="3"/>
  <c r="BY55" i="3"/>
  <c r="BL57" i="3"/>
  <c r="BD58" i="3"/>
  <c r="BR58" i="3"/>
  <c r="BG57" i="3"/>
  <c r="BS57" i="3"/>
  <c r="BC57" i="3"/>
  <c r="BQ57" i="3"/>
  <c r="BG59" i="3"/>
  <c r="BS59" i="3"/>
  <c r="BU55" i="3"/>
  <c r="AZ58" i="3"/>
  <c r="BN58" i="3"/>
  <c r="BJ57" i="3"/>
  <c r="BX57" i="3"/>
  <c r="CB57" i="3"/>
  <c r="CB58" i="3"/>
  <c r="AZ57" i="3"/>
  <c r="BN57" i="3"/>
  <c r="BZ57" i="3"/>
  <c r="CD57" i="3"/>
  <c r="BT58" i="3"/>
  <c r="BH58" i="3"/>
  <c r="BS58" i="3"/>
  <c r="BG58" i="3"/>
  <c r="AX58" i="3"/>
  <c r="BV58" i="3"/>
  <c r="CA58" i="3"/>
  <c r="AT59" i="3"/>
  <c r="AW58" i="3"/>
  <c r="AU58" i="3"/>
  <c r="BI58" i="3"/>
  <c r="BW58" i="3"/>
  <c r="AV58" i="3"/>
  <c r="BL58" i="3"/>
  <c r="CD58" i="3"/>
  <c r="BK53" i="3"/>
  <c r="BY53" i="3"/>
  <c r="BB58" i="3"/>
  <c r="BP58" i="3"/>
  <c r="AY58" i="3"/>
  <c r="BM58" i="3"/>
  <c r="AY57" i="3"/>
  <c r="BM57" i="3"/>
  <c r="BY57" i="3"/>
  <c r="CC57" i="3"/>
  <c r="CC58" i="3"/>
  <c r="BK57" i="3"/>
  <c r="BJ16" i="1"/>
  <c r="CH16" i="1"/>
  <c r="DF16" i="1"/>
  <c r="AA16" i="1"/>
  <c r="AB16" i="1"/>
  <c r="AT16" i="1"/>
  <c r="AS16" i="1"/>
  <c r="DS16" i="1"/>
  <c r="CU16" i="1"/>
  <c r="ED16" i="1"/>
  <c r="DK16" i="1"/>
  <c r="BC58" i="3"/>
  <c r="BQ58" i="3"/>
  <c r="BA61" i="3"/>
  <c r="BO61" i="3"/>
  <c r="BU57" i="3"/>
  <c r="BU59" i="3"/>
  <c r="BB61" i="3"/>
  <c r="BP61" i="3"/>
  <c r="BU58" i="3"/>
  <c r="BG61" i="3"/>
  <c r="BS61" i="3"/>
  <c r="CA61" i="3"/>
  <c r="AW61" i="3"/>
  <c r="AT62" i="3"/>
  <c r="AU61" i="3"/>
  <c r="BI61" i="3"/>
  <c r="BW61" i="3"/>
  <c r="AX61" i="3"/>
  <c r="AV61" i="3"/>
  <c r="BL61" i="3"/>
  <c r="BY58" i="3"/>
  <c r="BK58" i="3"/>
  <c r="BF64" i="3"/>
  <c r="AT66" i="3"/>
  <c r="BE63" i="3"/>
  <c r="BE64" i="3"/>
  <c r="BV63" i="3"/>
  <c r="BE65" i="3"/>
  <c r="AT64" i="3"/>
  <c r="AU63" i="3"/>
  <c r="BI63" i="3"/>
  <c r="BW63" i="3"/>
  <c r="CA63" i="3"/>
  <c r="AW63" i="3"/>
  <c r="BA63" i="3"/>
  <c r="BO63" i="3"/>
  <c r="AX63" i="3"/>
  <c r="BB63" i="3"/>
  <c r="BP63" i="3"/>
  <c r="AV63" i="3"/>
  <c r="BG62" i="3"/>
  <c r="BS62" i="3"/>
  <c r="AY61" i="3"/>
  <c r="BM61" i="3"/>
  <c r="BH61" i="3"/>
  <c r="BV61" i="3"/>
  <c r="BT61" i="3"/>
  <c r="BJ56" i="3"/>
  <c r="BX56" i="3"/>
  <c r="BZ56" i="3"/>
  <c r="BK56" i="3"/>
  <c r="BY56" i="3"/>
  <c r="BV59" i="3"/>
  <c r="AU59" i="3"/>
  <c r="BI59" i="3"/>
  <c r="BW59" i="3"/>
  <c r="AW59" i="3"/>
  <c r="AX59" i="3"/>
  <c r="AV59" i="3"/>
  <c r="BL59" i="3"/>
  <c r="BJ58" i="3"/>
  <c r="BX58" i="3"/>
  <c r="BZ58" i="3"/>
  <c r="BD61" i="3"/>
  <c r="BR61" i="3"/>
  <c r="BL60" i="3"/>
  <c r="BZ60" i="3"/>
  <c r="CD60" i="3"/>
  <c r="CD61" i="3"/>
  <c r="AZ61" i="3"/>
  <c r="BN61" i="3"/>
  <c r="AZ60" i="3"/>
  <c r="BN60" i="3"/>
  <c r="BJ60" i="3"/>
  <c r="BX60" i="3"/>
  <c r="CB60" i="3"/>
  <c r="CB61" i="3"/>
  <c r="BG60" i="3"/>
  <c r="BC60" i="3"/>
  <c r="BQ60" i="3"/>
  <c r="BS60" i="3"/>
  <c r="AY60" i="3"/>
  <c r="BM60" i="3"/>
  <c r="BK60" i="3"/>
  <c r="BY60" i="3"/>
  <c r="CC60" i="3"/>
  <c r="CC61" i="3"/>
  <c r="EM16" i="1"/>
  <c r="EL16" i="1"/>
  <c r="EI16" i="1"/>
  <c r="EJ16" i="1"/>
  <c r="EK16" i="1"/>
  <c r="BA64" i="3"/>
  <c r="BO64" i="3"/>
  <c r="BU60" i="3"/>
  <c r="BU62" i="3"/>
  <c r="BC61" i="3"/>
  <c r="BQ61" i="3"/>
  <c r="BJ59" i="3"/>
  <c r="BX59" i="3"/>
  <c r="BZ59" i="3"/>
  <c r="AZ63" i="3"/>
  <c r="BN63" i="3"/>
  <c r="BZ63" i="3"/>
  <c r="CD63" i="3"/>
  <c r="CD64" i="3"/>
  <c r="BJ63" i="3"/>
  <c r="BX63" i="3"/>
  <c r="CB63" i="3"/>
  <c r="CB64" i="3"/>
  <c r="AZ64" i="3"/>
  <c r="BN64" i="3"/>
  <c r="AY64" i="3"/>
  <c r="BM64" i="3"/>
  <c r="BD64" i="3"/>
  <c r="BR64" i="3"/>
  <c r="BL63" i="3"/>
  <c r="AU64" i="3"/>
  <c r="BI64" i="3"/>
  <c r="BW64" i="3"/>
  <c r="CA64" i="3"/>
  <c r="AW64" i="3"/>
  <c r="AT65" i="3"/>
  <c r="AX64" i="3"/>
  <c r="AV64" i="3"/>
  <c r="BL64" i="3"/>
  <c r="BG63" i="3"/>
  <c r="BS63" i="3"/>
  <c r="BC63" i="3"/>
  <c r="BQ63" i="3"/>
  <c r="BZ61" i="3"/>
  <c r="BJ61" i="3"/>
  <c r="BX61" i="3"/>
  <c r="BV62" i="3"/>
  <c r="AW62" i="3"/>
  <c r="AU62" i="3"/>
  <c r="BI62" i="3"/>
  <c r="BW62" i="3"/>
  <c r="AX62" i="3"/>
  <c r="AV62" i="3"/>
  <c r="BL62" i="3"/>
  <c r="BK59" i="3"/>
  <c r="BY59" i="3"/>
  <c r="AW66" i="3"/>
  <c r="BA66" i="3"/>
  <c r="BO66" i="3"/>
  <c r="BE68" i="3"/>
  <c r="BF67" i="3"/>
  <c r="BV66" i="3"/>
  <c r="AT69" i="3"/>
  <c r="AU66" i="3"/>
  <c r="BI66" i="3"/>
  <c r="BW66" i="3"/>
  <c r="CA66" i="3"/>
  <c r="AT67" i="3"/>
  <c r="BE66" i="3"/>
  <c r="BE67" i="3"/>
  <c r="AX66" i="3"/>
  <c r="BB66" i="3"/>
  <c r="BP66" i="3"/>
  <c r="AV66" i="3"/>
  <c r="BU61" i="3"/>
  <c r="BB64" i="3"/>
  <c r="BP64" i="3"/>
  <c r="BK63" i="3"/>
  <c r="BY63" i="3"/>
  <c r="CC63" i="3"/>
  <c r="CC64" i="3"/>
  <c r="AY63" i="3"/>
  <c r="BM63" i="3"/>
  <c r="BG65" i="3"/>
  <c r="BS65" i="3"/>
  <c r="BG64" i="3"/>
  <c r="BS64" i="3"/>
  <c r="BH64" i="3"/>
  <c r="BV64" i="3"/>
  <c r="BT64" i="3"/>
  <c r="BY61" i="3"/>
  <c r="BK61" i="3"/>
  <c r="GH16" i="1"/>
  <c r="GT16" i="1"/>
  <c r="GG16" i="1"/>
  <c r="GC16" i="1"/>
  <c r="ES16" i="1"/>
  <c r="GD16" i="1"/>
  <c r="ER16" i="1"/>
  <c r="GI16" i="1"/>
  <c r="GU16" i="1"/>
  <c r="EV16" i="1"/>
  <c r="GM16" i="1"/>
  <c r="GK16" i="1"/>
  <c r="EU16" i="1"/>
  <c r="EZ16" i="1"/>
  <c r="GL16" i="1"/>
  <c r="EW16" i="1"/>
  <c r="FI16" i="1"/>
  <c r="GF16" i="1"/>
  <c r="GE16" i="1"/>
  <c r="FA16" i="1"/>
  <c r="FB16" i="1"/>
  <c r="ET16" i="1"/>
  <c r="GJ16" i="1"/>
  <c r="EY16" i="1"/>
  <c r="EX16" i="1"/>
  <c r="FJ16" i="1"/>
  <c r="FP16" i="1"/>
  <c r="FQ16" i="1"/>
  <c r="BA67" i="3"/>
  <c r="BO67" i="3"/>
  <c r="BU63" i="3"/>
  <c r="BU65" i="3"/>
  <c r="BC64" i="3"/>
  <c r="BQ64" i="3"/>
  <c r="BB67" i="3"/>
  <c r="BP67" i="3"/>
  <c r="BZ66" i="3"/>
  <c r="CD66" i="3"/>
  <c r="CD67" i="3"/>
  <c r="AZ66" i="3"/>
  <c r="BN66" i="3"/>
  <c r="AZ67" i="3"/>
  <c r="BN67" i="3"/>
  <c r="BJ66" i="3"/>
  <c r="BX66" i="3"/>
  <c r="CB66" i="3"/>
  <c r="CB67" i="3"/>
  <c r="AU67" i="3"/>
  <c r="BI67" i="3"/>
  <c r="BW67" i="3"/>
  <c r="AT68" i="3"/>
  <c r="CA67" i="3"/>
  <c r="AW67" i="3"/>
  <c r="AX67" i="3"/>
  <c r="AV67" i="3"/>
  <c r="BL67" i="3"/>
  <c r="BF70" i="3"/>
  <c r="AW69" i="3"/>
  <c r="BE69" i="3"/>
  <c r="BE70" i="3"/>
  <c r="AU69" i="3"/>
  <c r="AT70" i="3"/>
  <c r="BI69" i="3"/>
  <c r="BW69" i="3"/>
  <c r="AT72" i="3"/>
  <c r="BE71" i="3"/>
  <c r="BV69" i="3"/>
  <c r="CA69" i="3"/>
  <c r="BA69" i="3"/>
  <c r="BO69" i="3"/>
  <c r="AX69" i="3"/>
  <c r="BB69" i="3"/>
  <c r="BP69" i="3"/>
  <c r="AV69" i="3"/>
  <c r="BZ62" i="3"/>
  <c r="BJ62" i="3"/>
  <c r="BX62" i="3"/>
  <c r="BK64" i="3"/>
  <c r="BY64" i="3"/>
  <c r="BD67" i="3"/>
  <c r="BR67" i="3"/>
  <c r="BL66" i="3"/>
  <c r="BZ64" i="3"/>
  <c r="BJ64" i="3"/>
  <c r="BX64" i="3"/>
  <c r="AY67" i="3"/>
  <c r="BM67" i="3"/>
  <c r="BG67" i="3"/>
  <c r="BS67" i="3"/>
  <c r="BG68" i="3"/>
  <c r="BS68" i="3"/>
  <c r="BY62" i="3"/>
  <c r="BK62" i="3"/>
  <c r="AU65" i="3"/>
  <c r="BI65" i="3"/>
  <c r="BW65" i="3"/>
  <c r="BV65" i="3"/>
  <c r="AW65" i="3"/>
  <c r="AX65" i="3"/>
  <c r="AV65" i="3"/>
  <c r="BL65" i="3"/>
  <c r="BC66" i="3"/>
  <c r="BQ66" i="3"/>
  <c r="BS66" i="3"/>
  <c r="BG66" i="3"/>
  <c r="BT67" i="3"/>
  <c r="BH67" i="3"/>
  <c r="BV67" i="3"/>
  <c r="BK66" i="3"/>
  <c r="BY66" i="3"/>
  <c r="CC66" i="3"/>
  <c r="CC67" i="3"/>
  <c r="AY66" i="3"/>
  <c r="BM66" i="3"/>
  <c r="BU64" i="3"/>
  <c r="FV16" i="1"/>
  <c r="FW16" i="1"/>
  <c r="HB16" i="1"/>
  <c r="HA16" i="1"/>
  <c r="BC67" i="3"/>
  <c r="BQ67" i="3"/>
  <c r="BU66" i="3"/>
  <c r="BU68" i="3"/>
  <c r="BD70" i="3"/>
  <c r="BR70" i="3"/>
  <c r="BL69" i="3"/>
  <c r="BS71" i="3"/>
  <c r="BG71" i="3"/>
  <c r="AY70" i="3"/>
  <c r="BM70" i="3"/>
  <c r="BK67" i="3"/>
  <c r="BY67" i="3"/>
  <c r="AU68" i="3"/>
  <c r="BI68" i="3"/>
  <c r="BW68" i="3"/>
  <c r="BV68" i="3"/>
  <c r="AW68" i="3"/>
  <c r="AX68" i="3"/>
  <c r="AV68" i="3"/>
  <c r="BL68" i="3"/>
  <c r="BA70" i="3"/>
  <c r="BO70" i="3"/>
  <c r="BF73" i="3"/>
  <c r="AT73" i="3"/>
  <c r="BV72" i="3"/>
  <c r="AT75" i="3"/>
  <c r="BE72" i="3"/>
  <c r="BE73" i="3"/>
  <c r="AW72" i="3"/>
  <c r="BA72" i="3"/>
  <c r="BO72" i="3"/>
  <c r="BE74" i="3"/>
  <c r="AU72" i="3"/>
  <c r="BI72" i="3"/>
  <c r="BW72" i="3"/>
  <c r="CA72" i="3"/>
  <c r="AX72" i="3"/>
  <c r="BB72" i="3"/>
  <c r="BP72" i="3"/>
  <c r="AV72" i="3"/>
  <c r="BG69" i="3"/>
  <c r="BS69" i="3"/>
  <c r="BC69" i="3"/>
  <c r="BQ69" i="3"/>
  <c r="BU69" i="3"/>
  <c r="BU71" i="3"/>
  <c r="BU67" i="3"/>
  <c r="BJ65" i="3"/>
  <c r="BX65" i="3"/>
  <c r="BZ65" i="3"/>
  <c r="BZ69" i="3"/>
  <c r="CD69" i="3"/>
  <c r="CD70" i="3"/>
  <c r="AZ70" i="3"/>
  <c r="BN70" i="3"/>
  <c r="BJ69" i="3"/>
  <c r="BX69" i="3"/>
  <c r="CB69" i="3"/>
  <c r="CB70" i="3"/>
  <c r="AZ69" i="3"/>
  <c r="BN69" i="3"/>
  <c r="BS70" i="3"/>
  <c r="BG70" i="3"/>
  <c r="BK69" i="3"/>
  <c r="AY69" i="3"/>
  <c r="BM69" i="3"/>
  <c r="BY69" i="3"/>
  <c r="CC69" i="3"/>
  <c r="BJ67" i="3"/>
  <c r="BX67" i="3"/>
  <c r="BZ67" i="3"/>
  <c r="BK65" i="3"/>
  <c r="BY65" i="3"/>
  <c r="BB70" i="3"/>
  <c r="BP70" i="3"/>
  <c r="AT71" i="3"/>
  <c r="CA70" i="3"/>
  <c r="CC70" i="3"/>
  <c r="AU70" i="3"/>
  <c r="BI70" i="3"/>
  <c r="BW70" i="3"/>
  <c r="AW70" i="3"/>
  <c r="AX70" i="3"/>
  <c r="AV70" i="3"/>
  <c r="BL70" i="3"/>
  <c r="BT70" i="3"/>
  <c r="BH70" i="3"/>
  <c r="BV70" i="3"/>
  <c r="HG16" i="1"/>
  <c r="HH16" i="1"/>
  <c r="BB73" i="3"/>
  <c r="BP73" i="3"/>
  <c r="BA73" i="3"/>
  <c r="BO73" i="3"/>
  <c r="BC70" i="3"/>
  <c r="BQ70" i="3"/>
  <c r="BL72" i="3"/>
  <c r="BD73" i="3"/>
  <c r="BR73" i="3"/>
  <c r="BG73" i="3"/>
  <c r="BS73" i="3"/>
  <c r="BS74" i="3"/>
  <c r="BG74" i="3"/>
  <c r="BY70" i="3"/>
  <c r="BK70" i="3"/>
  <c r="BC72" i="3"/>
  <c r="BQ72" i="3"/>
  <c r="BU72" i="3"/>
  <c r="BU74" i="3"/>
  <c r="BS72" i="3"/>
  <c r="BG72" i="3"/>
  <c r="BH73" i="3"/>
  <c r="BV73" i="3"/>
  <c r="BT73" i="3"/>
  <c r="BK68" i="3"/>
  <c r="BY68" i="3"/>
  <c r="BJ70" i="3"/>
  <c r="BX70" i="3"/>
  <c r="BZ70" i="3"/>
  <c r="AT76" i="3"/>
  <c r="AW75" i="3"/>
  <c r="BE75" i="3"/>
  <c r="BE76" i="3"/>
  <c r="BV75" i="3"/>
  <c r="AU75" i="3"/>
  <c r="BI75" i="3"/>
  <c r="BW75" i="3"/>
  <c r="CA75" i="3"/>
  <c r="BF76" i="3"/>
  <c r="BA75" i="3"/>
  <c r="BO75" i="3"/>
  <c r="BE77" i="3"/>
  <c r="AX75" i="3"/>
  <c r="BB75" i="3"/>
  <c r="BP75" i="3"/>
  <c r="AV75" i="3"/>
  <c r="BU70" i="3"/>
  <c r="BV71" i="3"/>
  <c r="AW71" i="3"/>
  <c r="AU71" i="3"/>
  <c r="BI71" i="3"/>
  <c r="BW71" i="3"/>
  <c r="AX71" i="3"/>
  <c r="AV71" i="3"/>
  <c r="BL71" i="3"/>
  <c r="AZ73" i="3"/>
  <c r="BN73" i="3"/>
  <c r="BZ72" i="3"/>
  <c r="CD72" i="3"/>
  <c r="CD73" i="3"/>
  <c r="BJ72" i="3"/>
  <c r="BX72" i="3"/>
  <c r="CB72" i="3"/>
  <c r="CB73" i="3"/>
  <c r="AZ72" i="3"/>
  <c r="BN72" i="3"/>
  <c r="AY73" i="3"/>
  <c r="BM73" i="3"/>
  <c r="AY72" i="3"/>
  <c r="BM72" i="3"/>
  <c r="BK72" i="3"/>
  <c r="BY72" i="3"/>
  <c r="CC72" i="3"/>
  <c r="CC73" i="3"/>
  <c r="AT74" i="3"/>
  <c r="CA73" i="3"/>
  <c r="AW73" i="3"/>
  <c r="AU73" i="3"/>
  <c r="BI73" i="3"/>
  <c r="BW73" i="3"/>
  <c r="AX73" i="3"/>
  <c r="AV73" i="3"/>
  <c r="BL73" i="3"/>
  <c r="BJ68" i="3"/>
  <c r="BX68" i="3"/>
  <c r="BZ68" i="3"/>
  <c r="BC73" i="3"/>
  <c r="BQ73" i="3"/>
  <c r="BU73" i="3"/>
  <c r="BL75" i="3"/>
  <c r="BD76" i="3"/>
  <c r="BR76" i="3"/>
  <c r="BH76" i="3"/>
  <c r="BV76" i="3"/>
  <c r="BT76" i="3"/>
  <c r="BS75" i="3"/>
  <c r="BG75" i="3"/>
  <c r="BC75" i="3"/>
  <c r="BQ75" i="3"/>
  <c r="BU75" i="3"/>
  <c r="BU77" i="3"/>
  <c r="AW74" i="3"/>
  <c r="BV74" i="3"/>
  <c r="AU74" i="3"/>
  <c r="BI74" i="3"/>
  <c r="BW74" i="3"/>
  <c r="AX74" i="3"/>
  <c r="AV74" i="3"/>
  <c r="BL74" i="3"/>
  <c r="AZ76" i="3"/>
  <c r="BN76" i="3"/>
  <c r="AZ75" i="3"/>
  <c r="BN75" i="3"/>
  <c r="BZ75" i="3"/>
  <c r="CD75" i="3"/>
  <c r="BJ75" i="3"/>
  <c r="BX75" i="3"/>
  <c r="CB75" i="3"/>
  <c r="CB76" i="3"/>
  <c r="BS77" i="3"/>
  <c r="BG77" i="3"/>
  <c r="AT77" i="3"/>
  <c r="AW76" i="3"/>
  <c r="AU76" i="3"/>
  <c r="BI76" i="3"/>
  <c r="BW76" i="3"/>
  <c r="CA76" i="3"/>
  <c r="CD76" i="3"/>
  <c r="AX76" i="3"/>
  <c r="AV76" i="3"/>
  <c r="BL76" i="3"/>
  <c r="BZ73" i="3"/>
  <c r="BJ73" i="3"/>
  <c r="BX73" i="3"/>
  <c r="BK73" i="3"/>
  <c r="BY73" i="3"/>
  <c r="BK71" i="3"/>
  <c r="BY71" i="3"/>
  <c r="BZ71" i="3"/>
  <c r="BJ71" i="3"/>
  <c r="BX71" i="3"/>
  <c r="AY76" i="3"/>
  <c r="BM76" i="3"/>
  <c r="BS76" i="3"/>
  <c r="BG76" i="3"/>
  <c r="AY75" i="3"/>
  <c r="BM75" i="3"/>
  <c r="BY75" i="3"/>
  <c r="CC75" i="3"/>
  <c r="CC76" i="3"/>
  <c r="BK75" i="3"/>
  <c r="BB76" i="3"/>
  <c r="BP76" i="3"/>
  <c r="BA76" i="3"/>
  <c r="BO76" i="3"/>
  <c r="BC76" i="3"/>
  <c r="BQ76" i="3"/>
  <c r="BU76" i="3"/>
  <c r="BV77" i="3"/>
  <c r="AW77" i="3"/>
  <c r="AU77" i="3"/>
  <c r="BI77" i="3"/>
  <c r="BW77" i="3"/>
  <c r="AV77" i="3"/>
  <c r="BL77" i="3"/>
  <c r="AX77" i="3"/>
  <c r="BK74" i="3"/>
  <c r="BY74" i="3"/>
  <c r="BJ76" i="3"/>
  <c r="BX76" i="3"/>
  <c r="BZ76" i="3"/>
  <c r="BK76" i="3"/>
  <c r="BY76" i="3"/>
  <c r="BZ74" i="3"/>
  <c r="BJ74" i="3"/>
  <c r="BX74" i="3"/>
  <c r="BJ77" i="3"/>
  <c r="BX77" i="3"/>
  <c r="BZ77" i="3"/>
  <c r="BK77" i="3"/>
  <c r="BY77" i="3"/>
</calcChain>
</file>

<file path=xl/sharedStrings.xml><?xml version="1.0" encoding="utf-8"?>
<sst xmlns="http://schemas.openxmlformats.org/spreadsheetml/2006/main" count="789" uniqueCount="383">
  <si>
    <t>Case</t>
  </si>
  <si>
    <t>ID</t>
  </si>
  <si>
    <t>pH</t>
  </si>
  <si>
    <t>Na</t>
  </si>
  <si>
    <t>Na+</t>
  </si>
  <si>
    <t>K+</t>
  </si>
  <si>
    <t>HCO3-</t>
  </si>
  <si>
    <t>Cl-</t>
  </si>
  <si>
    <t>SO4--</t>
  </si>
  <si>
    <t>Identification</t>
  </si>
  <si>
    <t>Field</t>
  </si>
  <si>
    <t>Ca++</t>
  </si>
  <si>
    <t>Mg++</t>
  </si>
  <si>
    <t>Cations (mg/L)</t>
  </si>
  <si>
    <t>Anions (mg/L)</t>
  </si>
  <si>
    <t>Σ-cat</t>
  </si>
  <si>
    <t>K</t>
  </si>
  <si>
    <t>Ca</t>
  </si>
  <si>
    <t>Mg</t>
  </si>
  <si>
    <t>Cl</t>
  </si>
  <si>
    <t>SO4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</si>
  <si>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</si>
  <si>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</si>
  <si>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</si>
  <si>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</si>
  <si>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</si>
  <si>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</si>
  <si>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</si>
  <si>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</si>
  <si>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</si>
  <si>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</si>
  <si>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Al</t>
  </si>
  <si>
    <t>Si</t>
  </si>
  <si>
    <t>P</t>
  </si>
  <si>
    <t>Ar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</si>
  <si>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</si>
  <si>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</si>
  <si>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</si>
  <si>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</si>
  <si>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</si>
  <si>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</si>
  <si>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</si>
  <si>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</si>
  <si>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</si>
  <si>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</si>
  <si>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</si>
  <si>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</si>
  <si>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</si>
  <si>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</si>
  <si>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</si>
  <si>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</si>
  <si>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</si>
  <si>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</si>
  <si>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</si>
  <si>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</si>
  <si>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</si>
  <si>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</si>
  <si>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</si>
  <si>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</si>
  <si>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</si>
  <si>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</si>
  <si>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</si>
  <si>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</si>
  <si>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</si>
  <si>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</si>
  <si>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</si>
  <si>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</si>
  <si>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</si>
  <si>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</si>
  <si>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</si>
  <si>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</si>
  <si>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</si>
  <si>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</si>
  <si>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</si>
  <si>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</si>
  <si>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</si>
  <si>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</si>
  <si>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</si>
  <si>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</si>
  <si>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</si>
  <si>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</si>
  <si>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</si>
  <si>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</si>
  <si>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</si>
  <si>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</si>
  <si>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</si>
  <si>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</si>
  <si>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</si>
  <si>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</si>
  <si>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</si>
  <si>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</si>
  <si>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</si>
  <si>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</si>
  <si>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</si>
  <si>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</si>
  <si>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</si>
  <si>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</si>
  <si>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</si>
  <si>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</si>
  <si>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</si>
  <si>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</si>
  <si>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</si>
  <si>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</si>
  <si>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</si>
  <si>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</si>
  <si>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</si>
  <si>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S</t>
  </si>
  <si>
    <t>NH4</t>
  </si>
  <si>
    <t>ECN (%)</t>
  </si>
  <si>
    <t>Cations (meq/L)</t>
  </si>
  <si>
    <t>Anions (meq/L)</t>
  </si>
  <si>
    <t>Σ-an</t>
  </si>
  <si>
    <t>Na+K</t>
  </si>
  <si>
    <t>Ca+Mg</t>
  </si>
  <si>
    <t>Na+K+Ca+Mg</t>
  </si>
  <si>
    <t>SO4+Cl</t>
  </si>
  <si>
    <t>HCO3+CO3</t>
  </si>
  <si>
    <t>SO4+Cl+HCO3+CO3</t>
  </si>
  <si>
    <t>Sums (meq/L)</t>
  </si>
  <si>
    <t>Fe++</t>
  </si>
  <si>
    <t>NO3-</t>
  </si>
  <si>
    <t>HW1.4.1</t>
  </si>
  <si>
    <t>HW1.4.2</t>
  </si>
  <si>
    <t>HW1.4.3</t>
  </si>
  <si>
    <t>HW1.4.4</t>
  </si>
  <si>
    <t>HW1.3</t>
  </si>
  <si>
    <t>R1.3</t>
  </si>
  <si>
    <t>Travis Co</t>
  </si>
  <si>
    <t>K-spar</t>
  </si>
  <si>
    <t>albite</t>
  </si>
  <si>
    <t>anorthite</t>
  </si>
  <si>
    <t>CBE</t>
  </si>
  <si>
    <t>Ionic Strength</t>
  </si>
  <si>
    <t>HW3.5</t>
  </si>
  <si>
    <t>HW3.4</t>
  </si>
  <si>
    <r>
      <t>Guntelberg Approximations Cations (</t>
    </r>
    <r>
      <rPr>
        <sz val="11"/>
        <color theme="1"/>
        <rFont val="Calibri"/>
        <family val="2"/>
      </rPr>
      <t>γi)</t>
    </r>
  </si>
  <si>
    <t>Guntelberg Approximations Anions (γi)</t>
  </si>
  <si>
    <t>F-</t>
  </si>
  <si>
    <t>Guntelberg Approximations Anions (activity in mol)</t>
  </si>
  <si>
    <t>Guntelberg Approximations Cations (activity in mol)</t>
  </si>
  <si>
    <t>R2.4</t>
  </si>
  <si>
    <t>N2</t>
  </si>
  <si>
    <t>Gas</t>
  </si>
  <si>
    <t>mol/(L*atm)</t>
  </si>
  <si>
    <t>O2</t>
  </si>
  <si>
    <t>CH4</t>
  </si>
  <si>
    <t>H2</t>
  </si>
  <si>
    <t>CO2</t>
  </si>
  <si>
    <t>CO</t>
  </si>
  <si>
    <t>Total pressure</t>
  </si>
  <si>
    <t>atm</t>
  </si>
  <si>
    <t>R2.1</t>
  </si>
  <si>
    <t>R2.2</t>
  </si>
  <si>
    <t>Gases  (%)</t>
  </si>
  <si>
    <t>sea level</t>
  </si>
  <si>
    <t>4300m</t>
  </si>
  <si>
    <t>Gases mmol/l in distilled H2O</t>
  </si>
  <si>
    <t>Fluorite</t>
  </si>
  <si>
    <t>Gypsum</t>
  </si>
  <si>
    <t>SI Minerals (uncorrected)</t>
  </si>
  <si>
    <t xml:space="preserve">T (°C) </t>
  </si>
  <si>
    <t>DO</t>
  </si>
  <si>
    <t>SC</t>
  </si>
  <si>
    <t>R3.3.1</t>
  </si>
  <si>
    <t>R</t>
  </si>
  <si>
    <t>R3.3.2</t>
  </si>
  <si>
    <t>Anhydrite</t>
  </si>
  <si>
    <t>Element</t>
  </si>
  <si>
    <t>Weight</t>
  </si>
  <si>
    <t>Ksp (25°C)</t>
  </si>
  <si>
    <t>Calcite</t>
  </si>
  <si>
    <t>Aragonite</t>
  </si>
  <si>
    <t>J/K/mol</t>
  </si>
  <si>
    <t>∆Hf° (J/mol)</t>
  </si>
  <si>
    <t>∆Hd° (J/mol)</t>
  </si>
  <si>
    <t>ε_H</t>
  </si>
  <si>
    <t>Printer correction:</t>
  </si>
  <si>
    <t>Tick interval (0 - 0.5):</t>
  </si>
  <si>
    <t>x</t>
  </si>
  <si>
    <t>y</t>
  </si>
  <si>
    <t>Tick length (0 - 0.2):</t>
  </si>
  <si>
    <t xml:space="preserve">Tick </t>
  </si>
  <si>
    <t>Left axis ticks</t>
  </si>
  <si>
    <t>Right axis ticks</t>
  </si>
  <si>
    <t>Left axis lines</t>
  </si>
  <si>
    <t>Right axis lines</t>
  </si>
  <si>
    <t>Bottom axis lines</t>
  </si>
  <si>
    <t>Bottom axis ticks</t>
  </si>
  <si>
    <t>Anions (%)</t>
  </si>
  <si>
    <t>Cations</t>
  </si>
  <si>
    <t>Gap Between Plots</t>
  </si>
  <si>
    <t>Anions</t>
  </si>
  <si>
    <t>Cation Triangle outline</t>
  </si>
  <si>
    <t>Anion Triangle outline</t>
  </si>
  <si>
    <t>Plot  lines? (1 or 0):</t>
  </si>
  <si>
    <t>Diamond Outline</t>
  </si>
  <si>
    <t>Diamond</t>
  </si>
  <si>
    <t>Stiff Y values</t>
  </si>
  <si>
    <t>Stiff Plot X Values</t>
  </si>
  <si>
    <t>Level 1</t>
  </si>
  <si>
    <t>Level 2</t>
  </si>
  <si>
    <t>Level 3</t>
  </si>
  <si>
    <t>Level 4</t>
  </si>
  <si>
    <t>Piper Diagram Coordinates</t>
  </si>
  <si>
    <t>Input From Datasheet</t>
  </si>
  <si>
    <t>Calculations</t>
  </si>
  <si>
    <t>DO NOT EDIT</t>
  </si>
  <si>
    <t>pOH</t>
  </si>
  <si>
    <t>[HA]</t>
  </si>
  <si>
    <t>[A-]</t>
  </si>
  <si>
    <t>pHA</t>
  </si>
  <si>
    <t>[H+]</t>
  </si>
  <si>
    <t>pA</t>
  </si>
  <si>
    <t>[OH-]</t>
  </si>
  <si>
    <t>pKa</t>
  </si>
  <si>
    <t>pCTa</t>
  </si>
  <si>
    <t>[HA]/([HA]+[A-])</t>
  </si>
  <si>
    <t>Equivalency 1</t>
  </si>
  <si>
    <t>Equivalency 2</t>
  </si>
  <si>
    <t>% [HA]</t>
  </si>
  <si>
    <t>Delta pHA-pOH</t>
  </si>
  <si>
    <t>Carbonate Fractionation</t>
  </si>
  <si>
    <t>α0</t>
  </si>
  <si>
    <t>α1</t>
  </si>
  <si>
    <t>α2</t>
  </si>
  <si>
    <t>Acid</t>
  </si>
  <si>
    <t>pKa1</t>
  </si>
  <si>
    <t>pKa2</t>
  </si>
  <si>
    <t>pKa3</t>
  </si>
  <si>
    <t>H2CO3</t>
  </si>
  <si>
    <t>CO3--</t>
  </si>
  <si>
    <t>R4.1</t>
  </si>
  <si>
    <t>R4.2</t>
  </si>
  <si>
    <t>R4.3</t>
  </si>
  <si>
    <t>Alk as CaCO3 (mg/L)</t>
  </si>
  <si>
    <t>Alk as HCO3- (mg/L</t>
  </si>
  <si>
    <t>DIC (mol/L)</t>
  </si>
  <si>
    <t>SI Minerals (corrected for T, Guntelberg)</t>
  </si>
  <si>
    <t>SI Minerals (corrected with Guntelberg)</t>
  </si>
  <si>
    <t>HW5.2</t>
  </si>
  <si>
    <t>Alk (meq/L)</t>
  </si>
  <si>
    <t>H2CO3 (mol)</t>
  </si>
  <si>
    <t>HCO3- (mol)</t>
  </si>
  <si>
    <t>CO3-- (mol)</t>
  </si>
  <si>
    <t>H+</t>
  </si>
  <si>
    <t>OH-</t>
  </si>
  <si>
    <t>Extended Debye Huckel Approximations Anions (γi)</t>
  </si>
  <si>
    <t>Extended Debye Huckel Approximations Cations (activity in mol)</t>
  </si>
  <si>
    <t>Extended Debye Huckel Approximations Anions (activity in mol)</t>
  </si>
  <si>
    <t>SI Minerals (corrected with Extended Debye Huckel)</t>
  </si>
  <si>
    <t>SI Minerals (corrected for T, Extended DeBye Huckel)</t>
  </si>
  <si>
    <t>H2PO4</t>
  </si>
  <si>
    <t>CH3COO</t>
  </si>
  <si>
    <t>HPO4</t>
  </si>
  <si>
    <t>PO4</t>
  </si>
  <si>
    <t>ClO4</t>
  </si>
  <si>
    <t>I</t>
  </si>
  <si>
    <t>HS</t>
  </si>
  <si>
    <t>ion size parameter (pm)</t>
  </si>
  <si>
    <r>
      <t>Extended Debye Huckel Approximations Cations (</t>
    </r>
    <r>
      <rPr>
        <sz val="11"/>
        <color theme="1"/>
        <rFont val="Calibri"/>
        <family val="2"/>
      </rPr>
      <t>γi)</t>
    </r>
  </si>
  <si>
    <t>Input Variables</t>
  </si>
  <si>
    <t>Points of Interest</t>
  </si>
  <si>
    <r>
      <t>pC</t>
    </r>
    <r>
      <rPr>
        <b/>
        <sz val="8"/>
        <color theme="1"/>
        <rFont val="Calibri"/>
        <family val="2"/>
        <scheme val="minor"/>
      </rPr>
      <t>T</t>
    </r>
  </si>
  <si>
    <r>
      <t>C</t>
    </r>
    <r>
      <rPr>
        <b/>
        <sz val="8"/>
        <color theme="1"/>
        <rFont val="Calibri"/>
        <family val="2"/>
        <scheme val="minor"/>
      </rPr>
      <t>T</t>
    </r>
  </si>
  <si>
    <t>%[HA]</t>
  </si>
  <si>
    <t>System Point</t>
  </si>
  <si>
    <t>Fixed pH</t>
  </si>
  <si>
    <t>Delta pA-pH</t>
  </si>
  <si>
    <t xml:space="preserve">Delta %[HA] </t>
  </si>
  <si>
    <t>pH = pKa</t>
  </si>
  <si>
    <t>Plotting:</t>
  </si>
  <si>
    <t>Labels</t>
  </si>
  <si>
    <t xml:space="preserve">Plotting parameters </t>
  </si>
  <si>
    <t>Ion/Molecule</t>
  </si>
  <si>
    <t>Weight (g/mol)</t>
  </si>
  <si>
    <t>Mass</t>
  </si>
  <si>
    <t>Constant</t>
  </si>
  <si>
    <t>Value</t>
  </si>
  <si>
    <t>Units</t>
  </si>
  <si>
    <t>Cations (%)</t>
  </si>
  <si>
    <t>R6.1a1</t>
  </si>
  <si>
    <t>Nile Water</t>
  </si>
  <si>
    <t>ppm</t>
  </si>
  <si>
    <t>mol</t>
  </si>
  <si>
    <t>meq</t>
  </si>
  <si>
    <t>SI</t>
  </si>
  <si>
    <t>γi</t>
  </si>
  <si>
    <t>SI(T)</t>
  </si>
  <si>
    <t>Guntelberg</t>
  </si>
  <si>
    <t>Extended Debye Huckel</t>
  </si>
  <si>
    <t>Alk</t>
  </si>
  <si>
    <t>α</t>
  </si>
  <si>
    <t>Fractionation</t>
  </si>
  <si>
    <t>Alkalinity</t>
  </si>
  <si>
    <t>Pinal Creek</t>
  </si>
  <si>
    <t>Precip</t>
  </si>
  <si>
    <t>Date</t>
  </si>
  <si>
    <t>Al+++</t>
  </si>
  <si>
    <t>AsO4-</t>
  </si>
  <si>
    <t>AsO3</t>
  </si>
  <si>
    <t>Mn++</t>
  </si>
  <si>
    <t>NO2-</t>
  </si>
  <si>
    <t>NH4+</t>
  </si>
  <si>
    <t>H2S</t>
  </si>
  <si>
    <t>Anions (mmol/L)</t>
  </si>
  <si>
    <t>Anions (mol/L)</t>
  </si>
  <si>
    <t>Cations (mol/L)</t>
  </si>
  <si>
    <t>mmol/L</t>
  </si>
  <si>
    <t>Cations (mmol/L)</t>
  </si>
  <si>
    <t>mol/L</t>
  </si>
  <si>
    <t>Insignificant Cations (mg/L)</t>
  </si>
  <si>
    <t>Insignificant Neutral Species (mg/L)</t>
  </si>
  <si>
    <t>Insignificant Anions (mg/L)</t>
  </si>
  <si>
    <t>Insignificant Cations (mol/L)</t>
  </si>
  <si>
    <t>Insignificant Neutral (mol/L)</t>
  </si>
  <si>
    <t>Insignificant Anions (mol/L)</t>
  </si>
  <si>
    <t>Insignificant Cations (meq/L)</t>
  </si>
  <si>
    <t>Insignificant Anions (meq/L)</t>
  </si>
  <si>
    <t>Insignificant Anions (mmol/L)</t>
  </si>
  <si>
    <t>Insignificant Neutral (mmol/L)</t>
  </si>
  <si>
    <t>Insignificant Cations (mmol/L)</t>
  </si>
  <si>
    <t>NO2</t>
  </si>
  <si>
    <t>Redox</t>
  </si>
  <si>
    <t>Sato</t>
  </si>
  <si>
    <t xml:space="preserve">Ferrihydrite </t>
  </si>
  <si>
    <t>Hematite</t>
  </si>
  <si>
    <t>Fe Average</t>
  </si>
  <si>
    <t>Sulfide</t>
  </si>
  <si>
    <t>Nitrate/Nitrite</t>
  </si>
  <si>
    <t>Nitrate/Ammonia</t>
  </si>
  <si>
    <t>Carbon</t>
  </si>
  <si>
    <t>pe</t>
  </si>
  <si>
    <t>Oxygen</t>
  </si>
  <si>
    <t>Hydrogen Sulfide</t>
  </si>
  <si>
    <t>Carbonic acid</t>
  </si>
  <si>
    <t>Eh (mV)</t>
  </si>
  <si>
    <t>moles/L</t>
  </si>
  <si>
    <t>p(atm)</t>
  </si>
  <si>
    <t>WC 1</t>
  </si>
  <si>
    <t>ISST Direct</t>
  </si>
  <si>
    <t>ISST Indirect</t>
  </si>
  <si>
    <t>WC 6</t>
  </si>
  <si>
    <t>WC Spring</t>
  </si>
  <si>
    <t>Sample ID</t>
  </si>
  <si>
    <t>Fraction Modern</t>
  </si>
  <si>
    <t>d13C of DIC</t>
  </si>
  <si>
    <t>DIC (mg/L)</t>
  </si>
  <si>
    <t>cond</t>
  </si>
  <si>
    <t>Water Temp</t>
  </si>
  <si>
    <t>Lithium (ppm)</t>
  </si>
  <si>
    <t>Sodium (ppm)</t>
  </si>
  <si>
    <t>Ammonium (ppm)</t>
  </si>
  <si>
    <t>Potassium (ppm)</t>
  </si>
  <si>
    <t>Magnesium (ppm)</t>
  </si>
  <si>
    <t>Calcium (ppm)</t>
  </si>
  <si>
    <t>Fluoride (ppm)</t>
  </si>
  <si>
    <t>Chloride (ppm)</t>
  </si>
  <si>
    <t>Nitrite (ppm)</t>
  </si>
  <si>
    <t>Bromide (ppm)</t>
  </si>
  <si>
    <t>Nitrate (ppm)</t>
  </si>
  <si>
    <t>Phosphate (ppm)</t>
  </si>
  <si>
    <t>Sulfate (ppm)</t>
  </si>
  <si>
    <t>Mg/Ca</t>
  </si>
  <si>
    <t>drips/min</t>
  </si>
  <si>
    <t>mL/min</t>
  </si>
  <si>
    <t>ISCD Direct</t>
  </si>
  <si>
    <t>ISCD Indirect</t>
  </si>
  <si>
    <t>ISLM</t>
  </si>
  <si>
    <t>ISSR 3</t>
  </si>
  <si>
    <t>ISSR 4</t>
  </si>
  <si>
    <t>ISSR 6</t>
  </si>
  <si>
    <t>ISSR 7</t>
  </si>
  <si>
    <t>ISSR 8</t>
  </si>
  <si>
    <t>WC 3</t>
  </si>
  <si>
    <t>PCO2</t>
  </si>
  <si>
    <t>PCO2 (ppm)</t>
  </si>
  <si>
    <t>DIC (ppm C)</t>
  </si>
  <si>
    <t>PCO2 (%)</t>
  </si>
  <si>
    <t>text</t>
  </si>
  <si>
    <t>HCO3</t>
  </si>
  <si>
    <t>SBF7</t>
  </si>
  <si>
    <t>Stiff X values</t>
  </si>
  <si>
    <t>Plot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</si>
</sst>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"/>
    <numFmt numFmtId="165" formatCode="0.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1"/>
      <color theme="1"/>
      <name val="Calibri"/>
      <family val="2"/>
    </font>
    <font>
      <sz val="10"/>
      <color rgb="FF333333"/>
      <name val="Verdana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theme="0" tint="-4.9989318521683403E-2"/>
      </bottom>
      <diagonal/>
    </border>
    <border>
      <left/>
      <right style="medium">
        <color auto="1"/>
      </right>
      <top style="thin">
        <color auto="1"/>
      </top>
      <bottom style="medium">
        <color theme="0" tint="-4.9989318521683403E-2"/>
      </bottom>
      <diagonal/>
    </border>
    <border>
      <left/>
      <right/>
      <top style="thin">
        <color auto="1"/>
      </top>
      <bottom style="medium">
        <color theme="0" tint="-4.9989318521683403E-2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medium">
        <color theme="0" tint="-4.9989318521683403E-2"/>
      </top>
      <bottom/>
      <diagonal/>
    </border>
    <border>
      <left/>
      <right style="medium">
        <color auto="1"/>
      </right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auto="1"/>
      </right>
      <top/>
      <bottom/>
      <diagonal/>
    </border>
    <border>
      <left style="thin">
        <color theme="0" tint="-0.14996795556505021"/>
      </left>
      <right style="medium">
        <color auto="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auto="1"/>
      </right>
      <top style="thin">
        <color indexed="64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auto="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/>
      <bottom/>
      <diagonal/>
    </border>
  </borders>
  <cellStyleXfs count="4">
    <xf numFmtId="0" fontId="0" fillId="0" borderId="0"/>
    <xf numFmtId="164" fontId="3" fillId="0" borderId="0"/>
    <xf numFmtId="0" fontId="4" fillId="0" borderId="0"/>
    <xf numFmtId="0" fontId="14" fillId="0" borderId="0"/>
  </cellStyleXfs>
  <cellXfs count="32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4" fillId="0" borderId="0" xfId="2"/>
    <xf numFmtId="0" fontId="4" fillId="0" borderId="0" xfId="2" applyBorder="1"/>
    <xf numFmtId="0" fontId="6" fillId="0" borderId="0" xfId="2" applyFont="1" applyBorder="1"/>
    <xf numFmtId="0" fontId="7" fillId="0" borderId="0" xfId="2" applyFont="1" applyBorder="1"/>
    <xf numFmtId="0" fontId="6" fillId="0" borderId="0" xfId="2" applyFont="1" applyBorder="1" applyAlignment="1">
      <alignment horizontal="right"/>
    </xf>
    <xf numFmtId="0" fontId="4" fillId="0" borderId="18" xfId="2" applyBorder="1"/>
    <xf numFmtId="0" fontId="4" fillId="0" borderId="6" xfId="2" applyBorder="1"/>
    <xf numFmtId="0" fontId="4" fillId="0" borderId="7" xfId="2" applyBorder="1"/>
    <xf numFmtId="2" fontId="4" fillId="0" borderId="0" xfId="2" applyNumberFormat="1"/>
    <xf numFmtId="2" fontId="6" fillId="0" borderId="0" xfId="2" applyNumberFormat="1" applyFont="1" applyBorder="1"/>
    <xf numFmtId="0" fontId="5" fillId="0" borderId="0" xfId="2" applyFont="1" applyFill="1" applyBorder="1"/>
    <xf numFmtId="0" fontId="4" fillId="0" borderId="0" xfId="2" applyFill="1" applyBorder="1"/>
    <xf numFmtId="0" fontId="5" fillId="2" borderId="21" xfId="2" applyFont="1" applyFill="1" applyBorder="1" applyAlignment="1">
      <alignment horizontal="right"/>
    </xf>
    <xf numFmtId="0" fontId="5" fillId="2" borderId="6" xfId="2" applyFont="1" applyFill="1" applyBorder="1" applyAlignment="1">
      <alignment horizontal="right"/>
    </xf>
    <xf numFmtId="0" fontId="5" fillId="2" borderId="22" xfId="2" applyFont="1" applyFill="1" applyBorder="1" applyAlignment="1">
      <alignment horizontal="right"/>
    </xf>
    <xf numFmtId="0" fontId="5" fillId="2" borderId="28" xfId="2" applyFont="1" applyFill="1" applyBorder="1" applyAlignment="1">
      <alignment horizontal="right"/>
    </xf>
    <xf numFmtId="0" fontId="6" fillId="0" borderId="0" xfId="2" applyFont="1" applyFill="1" applyBorder="1"/>
    <xf numFmtId="2" fontId="4" fillId="0" borderId="0" xfId="2" applyNumberFormat="1" applyBorder="1"/>
    <xf numFmtId="0" fontId="8" fillId="2" borderId="19" xfId="2" applyFont="1" applyFill="1" applyBorder="1"/>
    <xf numFmtId="0" fontId="8" fillId="2" borderId="23" xfId="2" applyFont="1" applyFill="1" applyBorder="1" applyAlignment="1">
      <alignment horizontal="right"/>
    </xf>
    <xf numFmtId="0" fontId="8" fillId="2" borderId="24" xfId="2" applyFont="1" applyFill="1" applyBorder="1" applyAlignment="1">
      <alignment horizontal="right"/>
    </xf>
    <xf numFmtId="0" fontId="9" fillId="0" borderId="19" xfId="2" applyFont="1" applyBorder="1"/>
    <xf numFmtId="0" fontId="9" fillId="0" borderId="22" xfId="2" applyFont="1" applyBorder="1"/>
    <xf numFmtId="0" fontId="9" fillId="0" borderId="23" xfId="2" applyFont="1" applyBorder="1"/>
    <xf numFmtId="0" fontId="9" fillId="0" borderId="24" xfId="2" applyFont="1" applyBorder="1"/>
    <xf numFmtId="2" fontId="4" fillId="0" borderId="7" xfId="2" applyNumberFormat="1" applyBorder="1"/>
    <xf numFmtId="0" fontId="9" fillId="0" borderId="16" xfId="2" applyFont="1" applyBorder="1"/>
    <xf numFmtId="0" fontId="9" fillId="0" borderId="30" xfId="2" applyFont="1" applyBorder="1"/>
    <xf numFmtId="0" fontId="5" fillId="2" borderId="20" xfId="0" applyFont="1" applyFill="1" applyBorder="1" applyAlignment="1">
      <alignment horizontal="right"/>
    </xf>
    <xf numFmtId="0" fontId="5" fillId="2" borderId="16" xfId="0" applyFont="1" applyFill="1" applyBorder="1"/>
    <xf numFmtId="0" fontId="5" fillId="2" borderId="30" xfId="0" applyFont="1" applyFill="1" applyBorder="1" applyAlignment="1">
      <alignment horizontal="right"/>
    </xf>
    <xf numFmtId="0" fontId="5" fillId="2" borderId="29" xfId="0" applyFont="1" applyFill="1" applyBorder="1"/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/>
    <xf numFmtId="0" fontId="5" fillId="2" borderId="25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4" xfId="0" applyFont="1" applyFill="1" applyBorder="1" applyAlignment="1">
      <alignment horizontal="right"/>
    </xf>
    <xf numFmtId="0" fontId="5" fillId="2" borderId="31" xfId="0" applyFont="1" applyFill="1" applyBorder="1" applyAlignment="1">
      <alignment horizontal="right"/>
    </xf>
    <xf numFmtId="0" fontId="6" fillId="0" borderId="0" xfId="0" applyFont="1" applyBorder="1"/>
    <xf numFmtId="2" fontId="9" fillId="0" borderId="19" xfId="0" applyNumberFormat="1" applyFont="1" applyBorder="1"/>
    <xf numFmtId="2" fontId="9" fillId="0" borderId="22" xfId="0" applyNumberFormat="1" applyFont="1" applyBorder="1"/>
    <xf numFmtId="2" fontId="0" fillId="0" borderId="0" xfId="0" applyNumberFormat="1" applyBorder="1"/>
    <xf numFmtId="2" fontId="6" fillId="0" borderId="19" xfId="0" applyNumberFormat="1" applyFont="1" applyBorder="1"/>
    <xf numFmtId="2" fontId="6" fillId="0" borderId="22" xfId="0" applyNumberFormat="1" applyFont="1" applyBorder="1"/>
    <xf numFmtId="2" fontId="9" fillId="0" borderId="23" xfId="0" applyNumberFormat="1" applyFont="1" applyBorder="1"/>
    <xf numFmtId="2" fontId="9" fillId="0" borderId="24" xfId="0" applyNumberFormat="1" applyFont="1" applyBorder="1"/>
    <xf numFmtId="2" fontId="6" fillId="0" borderId="23" xfId="0" applyNumberFormat="1" applyFont="1" applyBorder="1"/>
    <xf numFmtId="2" fontId="6" fillId="0" borderId="24" xfId="0" applyNumberFormat="1" applyFont="1" applyBorder="1"/>
    <xf numFmtId="2" fontId="0" fillId="0" borderId="0" xfId="0" applyNumberFormat="1"/>
    <xf numFmtId="0" fontId="5" fillId="0" borderId="0" xfId="2" applyFont="1"/>
    <xf numFmtId="0" fontId="0" fillId="0" borderId="16" xfId="0" applyBorder="1"/>
    <xf numFmtId="0" fontId="0" fillId="0" borderId="30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3" borderId="25" xfId="0" applyFont="1" applyFill="1" applyBorder="1"/>
    <xf numFmtId="0" fontId="0" fillId="0" borderId="31" xfId="0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0" fillId="0" borderId="0" xfId="0" applyFont="1" applyFill="1" applyBorder="1"/>
    <xf numFmtId="0" fontId="4" fillId="2" borderId="13" xfId="2" applyFill="1" applyBorder="1"/>
    <xf numFmtId="0" fontId="5" fillId="2" borderId="5" xfId="2" applyFont="1" applyFill="1" applyBorder="1" applyAlignment="1">
      <alignment horizontal="right"/>
    </xf>
    <xf numFmtId="0" fontId="4" fillId="0" borderId="26" xfId="2" applyBorder="1" applyProtection="1">
      <protection locked="0"/>
    </xf>
    <xf numFmtId="0" fontId="4" fillId="0" borderId="27" xfId="2" applyBorder="1" applyProtection="1">
      <protection locked="0"/>
    </xf>
    <xf numFmtId="0" fontId="4" fillId="0" borderId="32" xfId="2" applyBorder="1" applyAlignment="1" applyProtection="1">
      <alignment horizontal="right"/>
      <protection locked="0"/>
    </xf>
    <xf numFmtId="0" fontId="5" fillId="0" borderId="17" xfId="2" applyFont="1" applyBorder="1"/>
    <xf numFmtId="0" fontId="5" fillId="0" borderId="6" xfId="2" applyFont="1" applyBorder="1"/>
    <xf numFmtId="0" fontId="0" fillId="4" borderId="11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12" xfId="0" applyFill="1" applyBorder="1"/>
    <xf numFmtId="0" fontId="1" fillId="4" borderId="5" xfId="0" applyFont="1" applyFill="1" applyBorder="1"/>
    <xf numFmtId="0" fontId="0" fillId="4" borderId="14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5" xfId="0" applyFill="1" applyBorder="1"/>
    <xf numFmtId="0" fontId="0" fillId="5" borderId="47" xfId="0" applyFill="1" applyBorder="1"/>
    <xf numFmtId="0" fontId="0" fillId="6" borderId="15" xfId="0" applyFill="1" applyBorder="1"/>
    <xf numFmtId="0" fontId="0" fillId="5" borderId="48" xfId="0" applyFill="1" applyBorder="1"/>
    <xf numFmtId="0" fontId="0" fillId="5" borderId="49" xfId="0" applyFill="1" applyBorder="1"/>
    <xf numFmtId="0" fontId="0" fillId="5" borderId="50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54" xfId="0" applyFill="1" applyBorder="1"/>
    <xf numFmtId="0" fontId="0" fillId="5" borderId="55" xfId="0" applyFill="1" applyBorder="1"/>
    <xf numFmtId="0" fontId="2" fillId="7" borderId="9" xfId="0" applyFont="1" applyFill="1" applyBorder="1"/>
    <xf numFmtId="0" fontId="2" fillId="7" borderId="3" xfId="0" applyFont="1" applyFill="1" applyBorder="1"/>
    <xf numFmtId="0" fontId="2" fillId="7" borderId="2" xfId="0" applyFont="1" applyFill="1" applyBorder="1"/>
    <xf numFmtId="0" fontId="2" fillId="7" borderId="5" xfId="0" applyFont="1" applyFill="1" applyBorder="1"/>
    <xf numFmtId="0" fontId="0" fillId="7" borderId="15" xfId="0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61" xfId="0" applyFill="1" applyBorder="1"/>
    <xf numFmtId="0" fontId="0" fillId="6" borderId="1" xfId="0" applyFill="1" applyBorder="1"/>
    <xf numFmtId="0" fontId="0" fillId="7" borderId="59" xfId="0" applyFill="1" applyBorder="1"/>
    <xf numFmtId="0" fontId="0" fillId="7" borderId="62" xfId="0" applyFill="1" applyBorder="1"/>
    <xf numFmtId="0" fontId="0" fillId="7" borderId="60" xfId="0" applyFill="1" applyBorder="1"/>
    <xf numFmtId="0" fontId="0" fillId="7" borderId="63" xfId="0" applyFill="1" applyBorder="1"/>
    <xf numFmtId="0" fontId="0" fillId="0" borderId="28" xfId="0" applyBorder="1"/>
    <xf numFmtId="0" fontId="0" fillId="0" borderId="64" xfId="0" applyBorder="1"/>
    <xf numFmtId="0" fontId="0" fillId="7" borderId="2" xfId="0" applyFill="1" applyBorder="1"/>
    <xf numFmtId="0" fontId="11" fillId="5" borderId="65" xfId="0" applyFont="1" applyFill="1" applyBorder="1"/>
    <xf numFmtId="0" fontId="11" fillId="5" borderId="47" xfId="0" applyFont="1" applyFill="1" applyBorder="1"/>
    <xf numFmtId="0" fontId="11" fillId="5" borderId="66" xfId="0" applyFont="1" applyFill="1" applyBorder="1"/>
    <xf numFmtId="0" fontId="0" fillId="5" borderId="67" xfId="0" applyFill="1" applyBorder="1"/>
    <xf numFmtId="0" fontId="0" fillId="5" borderId="68" xfId="0" applyFill="1" applyBorder="1"/>
    <xf numFmtId="0" fontId="0" fillId="5" borderId="65" xfId="0" applyFill="1" applyBorder="1"/>
    <xf numFmtId="0" fontId="0" fillId="5" borderId="69" xfId="0" applyFill="1" applyBorder="1"/>
    <xf numFmtId="0" fontId="0" fillId="5" borderId="70" xfId="0" applyFill="1" applyBorder="1"/>
    <xf numFmtId="0" fontId="0" fillId="5" borderId="71" xfId="0" applyFill="1" applyBorder="1"/>
    <xf numFmtId="0" fontId="11" fillId="5" borderId="72" xfId="0" applyFont="1" applyFill="1" applyBorder="1"/>
    <xf numFmtId="0" fontId="11" fillId="5" borderId="45" xfId="0" applyFont="1" applyFill="1" applyBorder="1"/>
    <xf numFmtId="0" fontId="11" fillId="5" borderId="53" xfId="0" applyFont="1" applyFill="1" applyBorder="1"/>
    <xf numFmtId="0" fontId="0" fillId="5" borderId="73" xfId="0" applyFill="1" applyBorder="1"/>
    <xf numFmtId="0" fontId="0" fillId="5" borderId="72" xfId="0" applyFill="1" applyBorder="1"/>
    <xf numFmtId="0" fontId="0" fillId="5" borderId="74" xfId="0" applyFill="1" applyBorder="1"/>
    <xf numFmtId="0" fontId="0" fillId="5" borderId="75" xfId="0" applyFill="1" applyBorder="1"/>
    <xf numFmtId="0" fontId="0" fillId="5" borderId="76" xfId="0" applyFill="1" applyBorder="1"/>
    <xf numFmtId="0" fontId="11" fillId="5" borderId="77" xfId="0" applyFont="1" applyFill="1" applyBorder="1"/>
    <xf numFmtId="0" fontId="11" fillId="5" borderId="78" xfId="0" applyFont="1" applyFill="1" applyBorder="1"/>
    <xf numFmtId="0" fontId="11" fillId="5" borderId="79" xfId="0" applyFont="1" applyFill="1" applyBorder="1"/>
    <xf numFmtId="0" fontId="0" fillId="5" borderId="78" xfId="0" applyFill="1" applyBorder="1"/>
    <xf numFmtId="0" fontId="0" fillId="5" borderId="80" xfId="0" applyFill="1" applyBorder="1"/>
    <xf numFmtId="0" fontId="0" fillId="5" borderId="77" xfId="0" applyFill="1" applyBorder="1"/>
    <xf numFmtId="0" fontId="0" fillId="5" borderId="81" xfId="0" applyFill="1" applyBorder="1"/>
    <xf numFmtId="0" fontId="0" fillId="5" borderId="82" xfId="0" applyFill="1" applyBorder="1"/>
    <xf numFmtId="0" fontId="0" fillId="5" borderId="87" xfId="0" applyFill="1" applyBorder="1"/>
    <xf numFmtId="0" fontId="0" fillId="5" borderId="88" xfId="0" applyFill="1" applyBorder="1"/>
    <xf numFmtId="0" fontId="0" fillId="5" borderId="89" xfId="0" applyFill="1" applyBorder="1"/>
    <xf numFmtId="0" fontId="0" fillId="5" borderId="90" xfId="0" applyFill="1" applyBorder="1"/>
    <xf numFmtId="0" fontId="0" fillId="5" borderId="10" xfId="0" applyFill="1" applyBorder="1"/>
    <xf numFmtId="0" fontId="0" fillId="4" borderId="91" xfId="0" applyFill="1" applyBorder="1"/>
    <xf numFmtId="0" fontId="0" fillId="4" borderId="92" xfId="0" applyFill="1" applyBorder="1"/>
    <xf numFmtId="0" fontId="1" fillId="4" borderId="92" xfId="0" applyFont="1" applyFill="1" applyBorder="1"/>
    <xf numFmtId="0" fontId="0" fillId="4" borderId="85" xfId="0" applyFill="1" applyBorder="1"/>
    <xf numFmtId="0" fontId="0" fillId="5" borderId="93" xfId="0" applyFill="1" applyBorder="1"/>
    <xf numFmtId="0" fontId="0" fillId="5" borderId="94" xfId="0" applyFill="1" applyBorder="1"/>
    <xf numFmtId="0" fontId="0" fillId="5" borderId="95" xfId="0" applyFill="1" applyBorder="1"/>
    <xf numFmtId="0" fontId="0" fillId="5" borderId="96" xfId="0" applyFill="1" applyBorder="1"/>
    <xf numFmtId="0" fontId="0" fillId="5" borderId="97" xfId="0" applyFill="1" applyBorder="1"/>
    <xf numFmtId="0" fontId="1" fillId="4" borderId="86" xfId="0" applyFont="1" applyFill="1" applyBorder="1"/>
    <xf numFmtId="0" fontId="0" fillId="5" borderId="53" xfId="0" applyFill="1" applyBorder="1"/>
    <xf numFmtId="0" fontId="0" fillId="4" borderId="98" xfId="0" applyFill="1" applyBorder="1"/>
    <xf numFmtId="0" fontId="0" fillId="4" borderId="84" xfId="0" applyFill="1" applyBorder="1"/>
    <xf numFmtId="0" fontId="0" fillId="4" borderId="99" xfId="0" applyFill="1" applyBorder="1"/>
    <xf numFmtId="11" fontId="0" fillId="5" borderId="93" xfId="0" applyNumberFormat="1" applyFill="1" applyBorder="1"/>
    <xf numFmtId="11" fontId="0" fillId="5" borderId="37" xfId="0" applyNumberFormat="1" applyFill="1" applyBorder="1"/>
    <xf numFmtId="0" fontId="0" fillId="0" borderId="102" xfId="0" applyFill="1" applyBorder="1"/>
    <xf numFmtId="0" fontId="0" fillId="0" borderId="100" xfId="0" applyFill="1" applyBorder="1"/>
    <xf numFmtId="0" fontId="0" fillId="0" borderId="101" xfId="0" applyFill="1" applyBorder="1"/>
    <xf numFmtId="0" fontId="0" fillId="4" borderId="103" xfId="0" applyFill="1" applyBorder="1"/>
    <xf numFmtId="0" fontId="0" fillId="4" borderId="104" xfId="0" applyFill="1" applyBorder="1"/>
    <xf numFmtId="0" fontId="0" fillId="4" borderId="105" xfId="0" applyFill="1" applyBorder="1"/>
    <xf numFmtId="0" fontId="0" fillId="5" borderId="106" xfId="0" applyFill="1" applyBorder="1"/>
    <xf numFmtId="0" fontId="0" fillId="5" borderId="107" xfId="0" applyFill="1" applyBorder="1"/>
    <xf numFmtId="0" fontId="0" fillId="4" borderId="32" xfId="0" applyFill="1" applyBorder="1"/>
    <xf numFmtId="0" fontId="0" fillId="4" borderId="108" xfId="0" applyFill="1" applyBorder="1"/>
    <xf numFmtId="0" fontId="0" fillId="4" borderId="109" xfId="0" applyFill="1" applyBorder="1"/>
    <xf numFmtId="0" fontId="0" fillId="4" borderId="110" xfId="0" applyFill="1" applyBorder="1"/>
    <xf numFmtId="0" fontId="0" fillId="4" borderId="111" xfId="0" applyFill="1" applyBorder="1"/>
    <xf numFmtId="0" fontId="0" fillId="0" borderId="112" xfId="0" applyFill="1" applyBorder="1"/>
    <xf numFmtId="0" fontId="0" fillId="0" borderId="113" xfId="0" applyFill="1" applyBorder="1"/>
    <xf numFmtId="0" fontId="0" fillId="0" borderId="114" xfId="0" applyFill="1" applyBorder="1"/>
    <xf numFmtId="0" fontId="0" fillId="4" borderId="115" xfId="0" applyFill="1" applyBorder="1"/>
    <xf numFmtId="0" fontId="0" fillId="5" borderId="116" xfId="0" applyFill="1" applyBorder="1"/>
    <xf numFmtId="0" fontId="0" fillId="4" borderId="117" xfId="0" applyFill="1" applyBorder="1"/>
    <xf numFmtId="0" fontId="0" fillId="5" borderId="118" xfId="0" applyFill="1" applyBorder="1"/>
    <xf numFmtId="0" fontId="0" fillId="5" borderId="119" xfId="0" applyFill="1" applyBorder="1"/>
    <xf numFmtId="0" fontId="2" fillId="4" borderId="15" xfId="0" applyFont="1" applyFill="1" applyBorder="1" applyAlignment="1"/>
    <xf numFmtId="0" fontId="2" fillId="4" borderId="15" xfId="0" applyFont="1" applyFill="1" applyBorder="1"/>
    <xf numFmtId="0" fontId="10" fillId="4" borderId="15" xfId="0" applyFont="1" applyFill="1" applyBorder="1"/>
    <xf numFmtId="0" fontId="2" fillId="4" borderId="86" xfId="0" applyFont="1" applyFill="1" applyBorder="1" applyAlignment="1"/>
    <xf numFmtId="0" fontId="0" fillId="5" borderId="120" xfId="0" applyFill="1" applyBorder="1"/>
    <xf numFmtId="0" fontId="0" fillId="0" borderId="10" xfId="0" applyBorder="1"/>
    <xf numFmtId="0" fontId="0" fillId="5" borderId="121" xfId="0" applyFill="1" applyBorder="1"/>
    <xf numFmtId="0" fontId="0" fillId="5" borderId="122" xfId="0" applyFill="1" applyBorder="1"/>
    <xf numFmtId="0" fontId="0" fillId="5" borderId="123" xfId="0" applyFill="1" applyBorder="1"/>
    <xf numFmtId="0" fontId="0" fillId="5" borderId="124" xfId="0" applyFill="1" applyBorder="1"/>
    <xf numFmtId="0" fontId="0" fillId="5" borderId="66" xfId="0" applyFill="1" applyBorder="1"/>
    <xf numFmtId="0" fontId="0" fillId="5" borderId="125" xfId="0" applyFill="1" applyBorder="1"/>
    <xf numFmtId="0" fontId="0" fillId="4" borderId="10" xfId="0" applyFill="1" applyBorder="1"/>
    <xf numFmtId="0" fontId="0" fillId="4" borderId="127" xfId="0" applyFill="1" applyBorder="1" applyAlignment="1"/>
    <xf numFmtId="0" fontId="0" fillId="4" borderId="127" xfId="0" applyFill="1" applyBorder="1" applyAlignment="1">
      <alignment horizontal="center"/>
    </xf>
    <xf numFmtId="0" fontId="0" fillId="4" borderId="127" xfId="0" applyFill="1" applyBorder="1"/>
    <xf numFmtId="0" fontId="0" fillId="6" borderId="25" xfId="0" applyFill="1" applyBorder="1"/>
    <xf numFmtId="0" fontId="0" fillId="4" borderId="15" xfId="0" applyFill="1" applyBorder="1"/>
    <xf numFmtId="0" fontId="1" fillId="4" borderId="15" xfId="0" applyFont="1" applyFill="1" applyBorder="1"/>
    <xf numFmtId="0" fontId="0" fillId="4" borderId="129" xfId="0" applyFill="1" applyBorder="1" applyAlignment="1">
      <alignment horizontal="center"/>
    </xf>
    <xf numFmtId="0" fontId="0" fillId="4" borderId="85" xfId="0" applyFill="1" applyBorder="1" applyAlignment="1">
      <alignment horizontal="center"/>
    </xf>
    <xf numFmtId="0" fontId="0" fillId="4" borderId="126" xfId="0" applyFill="1" applyBorder="1"/>
    <xf numFmtId="0" fontId="0" fillId="5" borderId="7" xfId="0" applyFill="1" applyBorder="1"/>
    <xf numFmtId="0" fontId="0" fillId="4" borderId="130" xfId="0" applyFill="1" applyBorder="1"/>
    <xf numFmtId="0" fontId="0" fillId="4" borderId="86" xfId="0" applyFill="1" applyBorder="1"/>
    <xf numFmtId="0" fontId="0" fillId="0" borderId="7" xfId="0" applyFill="1" applyBorder="1"/>
    <xf numFmtId="14" fontId="0" fillId="0" borderId="7" xfId="0" applyNumberFormat="1" applyBorder="1"/>
    <xf numFmtId="0" fontId="0" fillId="0" borderId="6" xfId="0" applyFill="1" applyBorder="1"/>
    <xf numFmtId="14" fontId="0" fillId="0" borderId="7" xfId="0" applyNumberFormat="1" applyFill="1" applyBorder="1"/>
    <xf numFmtId="0" fontId="1" fillId="4" borderId="130" xfId="0" applyFont="1" applyFill="1" applyBorder="1"/>
    <xf numFmtId="0" fontId="1" fillId="4" borderId="127" xfId="0" applyFont="1" applyFill="1" applyBorder="1"/>
    <xf numFmtId="0" fontId="0" fillId="5" borderId="131" xfId="0" applyFill="1" applyBorder="1"/>
    <xf numFmtId="0" fontId="0" fillId="5" borderId="132" xfId="0" applyFill="1" applyBorder="1"/>
    <xf numFmtId="0" fontId="0" fillId="6" borderId="130" xfId="0" applyFill="1" applyBorder="1"/>
    <xf numFmtId="0" fontId="0" fillId="4" borderId="83" xfId="0" applyFill="1" applyBorder="1"/>
    <xf numFmtId="0" fontId="0" fillId="4" borderId="129" xfId="0" applyFill="1" applyBorder="1"/>
    <xf numFmtId="0" fontId="0" fillId="5" borderId="133" xfId="0" applyFill="1" applyBorder="1"/>
    <xf numFmtId="0" fontId="0" fillId="4" borderId="128" xfId="0" applyFill="1" applyBorder="1"/>
    <xf numFmtId="0" fontId="0" fillId="0" borderId="90" xfId="0" applyBorder="1"/>
    <xf numFmtId="0" fontId="0" fillId="0" borderId="46" xfId="0" applyBorder="1"/>
    <xf numFmtId="0" fontId="0" fillId="0" borderId="134" xfId="0" applyBorder="1"/>
    <xf numFmtId="0" fontId="0" fillId="0" borderId="135" xfId="0" applyBorder="1"/>
    <xf numFmtId="0" fontId="0" fillId="5" borderId="136" xfId="0" applyFill="1" applyBorder="1"/>
    <xf numFmtId="0" fontId="0" fillId="5" borderId="137" xfId="0" applyFill="1" applyBorder="1"/>
    <xf numFmtId="0" fontId="0" fillId="5" borderId="138" xfId="0" applyFill="1" applyBorder="1"/>
    <xf numFmtId="0" fontId="0" fillId="5" borderId="139" xfId="0" applyFill="1" applyBorder="1"/>
    <xf numFmtId="0" fontId="0" fillId="5" borderId="140" xfId="0" applyFill="1" applyBorder="1"/>
    <xf numFmtId="0" fontId="0" fillId="5" borderId="141" xfId="0" applyFill="1" applyBorder="1"/>
    <xf numFmtId="0" fontId="0" fillId="5" borderId="142" xfId="0" applyFill="1" applyBorder="1"/>
    <xf numFmtId="0" fontId="0" fillId="5" borderId="143" xfId="0" applyFill="1" applyBorder="1"/>
    <xf numFmtId="0" fontId="0" fillId="5" borderId="144" xfId="0" applyFill="1" applyBorder="1"/>
    <xf numFmtId="0" fontId="0" fillId="5" borderId="145" xfId="0" applyFill="1" applyBorder="1"/>
    <xf numFmtId="0" fontId="0" fillId="5" borderId="146" xfId="0" applyFill="1" applyBorder="1"/>
    <xf numFmtId="0" fontId="0" fillId="5" borderId="147" xfId="0" applyFill="1" applyBorder="1"/>
    <xf numFmtId="0" fontId="0" fillId="5" borderId="148" xfId="0" applyFill="1" applyBorder="1"/>
    <xf numFmtId="0" fontId="0" fillId="5" borderId="149" xfId="0" applyFill="1" applyBorder="1"/>
    <xf numFmtId="0" fontId="0" fillId="5" borderId="150" xfId="0" applyFill="1" applyBorder="1"/>
    <xf numFmtId="0" fontId="0" fillId="5" borderId="151" xfId="0" applyFill="1" applyBorder="1"/>
    <xf numFmtId="0" fontId="0" fillId="5" borderId="152" xfId="0" applyFill="1" applyBorder="1"/>
    <xf numFmtId="0" fontId="0" fillId="5" borderId="153" xfId="0" applyFill="1" applyBorder="1"/>
    <xf numFmtId="0" fontId="0" fillId="5" borderId="154" xfId="0" applyFill="1" applyBorder="1"/>
    <xf numFmtId="0" fontId="0" fillId="5" borderId="155" xfId="0" applyFill="1" applyBorder="1"/>
    <xf numFmtId="0" fontId="0" fillId="5" borderId="29" xfId="0" applyFill="1" applyBorder="1"/>
    <xf numFmtId="0" fontId="0" fillId="5" borderId="156" xfId="0" applyFill="1" applyBorder="1"/>
    <xf numFmtId="0" fontId="0" fillId="5" borderId="157" xfId="0" applyFill="1" applyBorder="1"/>
    <xf numFmtId="0" fontId="0" fillId="5" borderId="21" xfId="0" applyFill="1" applyBorder="1"/>
    <xf numFmtId="0" fontId="0" fillId="5" borderId="135" xfId="0" applyFill="1" applyBorder="1"/>
    <xf numFmtId="0" fontId="0" fillId="5" borderId="111" xfId="0" applyFill="1" applyBorder="1"/>
    <xf numFmtId="0" fontId="0" fillId="5" borderId="158" xfId="0" applyFill="1" applyBorder="1"/>
    <xf numFmtId="0" fontId="0" fillId="5" borderId="159" xfId="0" applyFill="1" applyBorder="1"/>
    <xf numFmtId="0" fontId="0" fillId="5" borderId="160" xfId="0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3" xfId="0" applyFill="1" applyBorder="1"/>
    <xf numFmtId="0" fontId="0" fillId="5" borderId="164" xfId="0" applyFill="1" applyBorder="1"/>
    <xf numFmtId="0" fontId="0" fillId="5" borderId="165" xfId="0" applyFill="1" applyBorder="1"/>
    <xf numFmtId="14" fontId="0" fillId="0" borderId="0" xfId="0" applyNumberFormat="1" applyBorder="1"/>
    <xf numFmtId="14" fontId="0" fillId="0" borderId="6" xfId="0" applyNumberFormat="1" applyFill="1" applyBorder="1"/>
    <xf numFmtId="2" fontId="0" fillId="0" borderId="6" xfId="0" applyNumberFormat="1" applyBorder="1"/>
    <xf numFmtId="2" fontId="0" fillId="0" borderId="0" xfId="0" applyNumberFormat="1" applyFill="1" applyBorder="1"/>
    <xf numFmtId="2" fontId="0" fillId="0" borderId="7" xfId="0" applyNumberFormat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/>
    <xf numFmtId="0" fontId="0" fillId="6" borderId="166" xfId="0" applyFill="1" applyBorder="1"/>
    <xf numFmtId="0" fontId="13" fillId="0" borderId="0" xfId="0" applyFont="1" applyBorder="1"/>
    <xf numFmtId="14" fontId="0" fillId="0" borderId="0" xfId="0" applyNumberFormat="1" applyFill="1" applyBorder="1" applyAlignment="1">
      <alignment horizontal="left"/>
    </xf>
    <xf numFmtId="0" fontId="15" fillId="0" borderId="167" xfId="3" applyFont="1" applyFill="1" applyBorder="1" applyAlignment="1">
      <alignment horizontal="right" wrapText="1"/>
    </xf>
    <xf numFmtId="0" fontId="0" fillId="4" borderId="168" xfId="0" applyFill="1" applyBorder="1"/>
    <xf numFmtId="0" fontId="0" fillId="4" borderId="170" xfId="0" applyFill="1" applyBorder="1"/>
    <xf numFmtId="1" fontId="0" fillId="5" borderId="54" xfId="0" applyNumberFormat="1" applyFill="1" applyBorder="1"/>
    <xf numFmtId="0" fontId="8" fillId="2" borderId="31" xfId="2" applyFont="1" applyFill="1" applyBorder="1" applyAlignment="1">
      <alignment horizontal="right"/>
    </xf>
    <xf numFmtId="0" fontId="5" fillId="2" borderId="171" xfId="2" applyFont="1" applyFill="1" applyBorder="1" applyAlignment="1">
      <alignment horizontal="center"/>
    </xf>
    <xf numFmtId="0" fontId="5" fillId="2" borderId="29" xfId="2" applyFont="1" applyFill="1" applyBorder="1" applyAlignment="1">
      <alignment horizontal="center"/>
    </xf>
    <xf numFmtId="0" fontId="5" fillId="2" borderId="30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left"/>
    </xf>
    <xf numFmtId="0" fontId="0" fillId="5" borderId="172" xfId="0" applyFill="1" applyBorder="1"/>
    <xf numFmtId="165" fontId="0" fillId="0" borderId="166" xfId="0" applyNumberFormat="1" applyFill="1" applyBorder="1" applyAlignment="1">
      <alignment horizontal="left"/>
    </xf>
    <xf numFmtId="0" fontId="0" fillId="0" borderId="166" xfId="0" applyBorder="1"/>
    <xf numFmtId="14" fontId="0" fillId="5" borderId="73" xfId="0" applyNumberFormat="1" applyFill="1" applyBorder="1"/>
    <xf numFmtId="14" fontId="0" fillId="5" borderId="87" xfId="0" applyNumberFormat="1" applyFill="1" applyBorder="1"/>
    <xf numFmtId="0" fontId="2" fillId="4" borderId="170" xfId="0" applyFont="1" applyFill="1" applyBorder="1" applyAlignment="1">
      <alignment horizontal="center"/>
    </xf>
    <xf numFmtId="0" fontId="2" fillId="4" borderId="170" xfId="0" applyFont="1" applyFill="1" applyBorder="1"/>
    <xf numFmtId="14" fontId="0" fillId="5" borderId="66" xfId="0" applyNumberFormat="1" applyFill="1" applyBorder="1"/>
    <xf numFmtId="0" fontId="0" fillId="4" borderId="127" xfId="0" applyFill="1" applyBorder="1" applyAlignment="1">
      <alignment horizontal="center"/>
    </xf>
    <xf numFmtId="0" fontId="0" fillId="4" borderId="128" xfId="0" applyFill="1" applyBorder="1" applyAlignment="1">
      <alignment horizontal="center"/>
    </xf>
    <xf numFmtId="0" fontId="0" fillId="4" borderId="129" xfId="0" applyFill="1" applyBorder="1" applyAlignment="1">
      <alignment horizontal="center"/>
    </xf>
    <xf numFmtId="0" fontId="0" fillId="4" borderId="85" xfId="0" applyFill="1" applyBorder="1" applyAlignment="1">
      <alignment horizontal="center"/>
    </xf>
    <xf numFmtId="0" fontId="0" fillId="4" borderId="169" xfId="0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8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70" xfId="0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/>
    </xf>
    <xf numFmtId="0" fontId="5" fillId="2" borderId="22" xfId="2" applyFont="1" applyFill="1" applyBorder="1" applyAlignment="1">
      <alignment horizontal="center"/>
    </xf>
    <xf numFmtId="0" fontId="2" fillId="4" borderId="83" xfId="0" applyFont="1" applyFill="1" applyBorder="1" applyAlignment="1">
      <alignment horizontal="center"/>
    </xf>
    <xf numFmtId="0" fontId="2" fillId="4" borderId="8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data transfer area_1" xfId="3"/>
  </cellStyles>
  <dxfs count="17"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429828624363131E-2"/>
          <c:y val="2.6447742746635697E-2"/>
          <c:w val="0.96479175679963092"/>
          <c:h val="0.9077429312684856"/>
        </c:manualLayout>
      </c:layout>
      <c:scatterChart>
        <c:scatterStyle val="lineMarker"/>
        <c:varyColors val="0"/>
        <c:ser>
          <c:idx val="1"/>
          <c:order val="2"/>
          <c:tx>
            <c:v>Triangle Outline - Anions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Piper'!$AZ$7:$AZ$10</c:f>
              <c:numCache>
                <c:formatCode>General</c:formatCode>
                <c:ptCount val="4"/>
                <c:pt idx="0">
                  <c:v>1.7</c:v>
                </c:pt>
                <c:pt idx="1">
                  <c:v>1.2</c:v>
                </c:pt>
                <c:pt idx="2">
                  <c:v>2.2000000000000002</c:v>
                </c:pt>
                <c:pt idx="3">
                  <c:v>1.7</c:v>
                </c:pt>
              </c:numCache>
            </c:numRef>
          </c:xVal>
          <c:yVal>
            <c:numRef>
              <c:f>'Stiff and Piper'!$BA$7:$BA$10</c:f>
              <c:numCache>
                <c:formatCode>General</c:formatCode>
                <c:ptCount val="4"/>
                <c:pt idx="0">
                  <c:v>0.87758256189037276</c:v>
                </c:pt>
                <c:pt idx="1">
                  <c:v>0</c:v>
                </c:pt>
                <c:pt idx="2">
                  <c:v>0</c:v>
                </c:pt>
                <c:pt idx="3">
                  <c:v>0.87758256189037276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BDB-B200-AFE9F6E8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92368"/>
        <c:axId val="256313344"/>
      </c:scatterChart>
      <c:scatterChart>
        <c:scatterStyle val="smoothMarker"/>
        <c:varyColors val="0"/>
        <c:ser>
          <c:idx val="26"/>
          <c:order val="0"/>
          <c:tx>
            <c:v>SBF7 7/13/2017</c:v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'Stiff and Piper'!$AK$4:$AM$4</c:f>
              <c:numCache>
                <c:formatCode>General</c:formatCode>
                <c:ptCount val="3"/>
                <c:pt idx="0">
                  <c:v>0.36745178816435947</c:v>
                </c:pt>
                <c:pt idx="1">
                  <c:v>1.3247323077763085</c:v>
                </c:pt>
                <c:pt idx="2">
                  <c:v>0.74405067574683648</c:v>
                </c:pt>
              </c:numCache>
            </c:numRef>
          </c:xVal>
          <c:yVal>
            <c:numRef>
              <c:f>'Stiff and Piper'!$AN$4:$AP$4</c:f>
              <c:numCache>
                <c:formatCode>General</c:formatCode>
                <c:ptCount val="3"/>
                <c:pt idx="0">
                  <c:v>0.52274427312038219</c:v>
                </c:pt>
                <c:pt idx="1">
                  <c:v>0.16454535770155779</c:v>
                </c:pt>
                <c:pt idx="2">
                  <c:v>1.1837375062597713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515-4BDB-B200-AFE9F6E89717}"/>
            </c:ext>
          </c:extLst>
        </c:ser>
        <c:ser>
          <c:idx val="6"/>
          <c:order val="1"/>
          <c:tx>
            <c:v>Triangle outline-Cations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Piper'!$AW$7:$AW$10</c:f>
              <c:numCache>
                <c:formatCode>General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'Stiff and Piper'!$AX$7:$AX$10</c:f>
              <c:numCache>
                <c:formatCode>General</c:formatCode>
                <c:ptCount val="4"/>
                <c:pt idx="0">
                  <c:v>0.87758256189037276</c:v>
                </c:pt>
                <c:pt idx="1">
                  <c:v>0</c:v>
                </c:pt>
                <c:pt idx="2">
                  <c:v>0</c:v>
                </c:pt>
                <c:pt idx="3">
                  <c:v>0.87758256189037276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BDB-B200-AFE9F6E89717}"/>
            </c:ext>
          </c:extLst>
        </c:ser>
        <c:ser>
          <c:idx val="2"/>
          <c:order val="3"/>
          <c:tx>
            <c:v>Left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Piper'!$AU$15:$AU$77</c:f>
              <c:numCache>
                <c:formatCode>0.00</c:formatCode>
                <c:ptCount val="63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0.05</c:v>
                </c:pt>
                <c:pt idx="4">
                  <c:v>2.0000000000000004E-2</c:v>
                </c:pt>
                <c:pt idx="5">
                  <c:v>0.05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0.15000000000000002</c:v>
                </c:pt>
                <c:pt idx="10">
                  <c:v>0.12000000000000002</c:v>
                </c:pt>
                <c:pt idx="11">
                  <c:v>0.15000000000000002</c:v>
                </c:pt>
                <c:pt idx="12">
                  <c:v>0.2</c:v>
                </c:pt>
                <c:pt idx="13">
                  <c:v>0.17</c:v>
                </c:pt>
                <c:pt idx="14">
                  <c:v>0.2</c:v>
                </c:pt>
                <c:pt idx="15">
                  <c:v>0.25</c:v>
                </c:pt>
                <c:pt idx="16">
                  <c:v>0.22</c:v>
                </c:pt>
                <c:pt idx="17">
                  <c:v>0.25</c:v>
                </c:pt>
                <c:pt idx="18">
                  <c:v>0.3</c:v>
                </c:pt>
                <c:pt idx="19">
                  <c:v>0.27</c:v>
                </c:pt>
                <c:pt idx="20">
                  <c:v>0.3</c:v>
                </c:pt>
                <c:pt idx="21">
                  <c:v>0.35</c:v>
                </c:pt>
                <c:pt idx="22">
                  <c:v>0.31999999999999995</c:v>
                </c:pt>
                <c:pt idx="23">
                  <c:v>0.35</c:v>
                </c:pt>
                <c:pt idx="24">
                  <c:v>0.39999999999999997</c:v>
                </c:pt>
                <c:pt idx="25">
                  <c:v>0.37</c:v>
                </c:pt>
                <c:pt idx="26">
                  <c:v>0.39999999999999997</c:v>
                </c:pt>
                <c:pt idx="27">
                  <c:v>0.44999999999999996</c:v>
                </c:pt>
                <c:pt idx="28">
                  <c:v>0.41999999999999993</c:v>
                </c:pt>
                <c:pt idx="29">
                  <c:v>0.44999999999999996</c:v>
                </c:pt>
                <c:pt idx="30">
                  <c:v>0.49999999999999994</c:v>
                </c:pt>
                <c:pt idx="31">
                  <c:v>0.47</c:v>
                </c:pt>
                <c:pt idx="32">
                  <c:v>0.49999999999999994</c:v>
                </c:pt>
                <c:pt idx="33">
                  <c:v>0.49999999999999994</c:v>
                </c:pt>
                <c:pt idx="34">
                  <c:v>0.49999999999999994</c:v>
                </c:pt>
                <c:pt idx="35">
                  <c:v>0.49999999999999994</c:v>
                </c:pt>
                <c:pt idx="36">
                  <c:v>0.49999999999999994</c:v>
                </c:pt>
                <c:pt idx="37">
                  <c:v>0.49999999999999994</c:v>
                </c:pt>
                <c:pt idx="38">
                  <c:v>0.49999999999999994</c:v>
                </c:pt>
                <c:pt idx="39">
                  <c:v>0.49999999999999994</c:v>
                </c:pt>
                <c:pt idx="40">
                  <c:v>0.49999999999999994</c:v>
                </c:pt>
                <c:pt idx="41">
                  <c:v>0.49999999999999994</c:v>
                </c:pt>
                <c:pt idx="42">
                  <c:v>0.49999999999999994</c:v>
                </c:pt>
                <c:pt idx="43">
                  <c:v>0.49999999999999994</c:v>
                </c:pt>
                <c:pt idx="44">
                  <c:v>0.49999999999999994</c:v>
                </c:pt>
                <c:pt idx="45">
                  <c:v>0.49999999999999994</c:v>
                </c:pt>
                <c:pt idx="46">
                  <c:v>0.49999999999999994</c:v>
                </c:pt>
                <c:pt idx="47">
                  <c:v>0.49999999999999994</c:v>
                </c:pt>
                <c:pt idx="48">
                  <c:v>0.49999999999999994</c:v>
                </c:pt>
                <c:pt idx="49">
                  <c:v>0.49999999999999994</c:v>
                </c:pt>
                <c:pt idx="50">
                  <c:v>0.49999999999999994</c:v>
                </c:pt>
                <c:pt idx="51">
                  <c:v>0.49999999999999994</c:v>
                </c:pt>
                <c:pt idx="52">
                  <c:v>0.49999999999999994</c:v>
                </c:pt>
                <c:pt idx="53">
                  <c:v>0.49999999999999994</c:v>
                </c:pt>
                <c:pt idx="54">
                  <c:v>0.49999999999999994</c:v>
                </c:pt>
                <c:pt idx="55">
                  <c:v>0.49999999999999994</c:v>
                </c:pt>
                <c:pt idx="56">
                  <c:v>0.49999999999999994</c:v>
                </c:pt>
                <c:pt idx="57">
                  <c:v>0.49999999999999994</c:v>
                </c:pt>
                <c:pt idx="58">
                  <c:v>0.49999999999999994</c:v>
                </c:pt>
                <c:pt idx="59">
                  <c:v>0.49999999999999994</c:v>
                </c:pt>
                <c:pt idx="60">
                  <c:v>0.49999999999999994</c:v>
                </c:pt>
                <c:pt idx="61">
                  <c:v>0.49999999999999994</c:v>
                </c:pt>
                <c:pt idx="62">
                  <c:v>0.49999999999999994</c:v>
                </c:pt>
              </c:numCache>
            </c:numRef>
          </c:xVal>
          <c:yVal>
            <c:numRef>
              <c:f>'Stiff and Piper'!$AV$15:$AV$77</c:f>
              <c:numCache>
                <c:formatCode>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8.7758256189037279E-2</c:v>
                </c:pt>
                <c:pt idx="4">
                  <c:v>8.7758256189037279E-2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BDB-B200-AFE9F6E89717}"/>
            </c:ext>
          </c:extLst>
        </c:ser>
        <c:ser>
          <c:idx val="4"/>
          <c:order val="4"/>
          <c:tx>
            <c:v>Right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Piper'!$AW$15:$AW$77</c:f>
              <c:numCache>
                <c:formatCode>0.00</c:formatCode>
                <c:ptCount val="63"/>
                <c:pt idx="0">
                  <c:v>1</c:v>
                </c:pt>
                <c:pt idx="1">
                  <c:v>1.0149999999999999</c:v>
                </c:pt>
                <c:pt idx="2">
                  <c:v>1</c:v>
                </c:pt>
                <c:pt idx="3">
                  <c:v>0.95</c:v>
                </c:pt>
                <c:pt idx="4">
                  <c:v>0.96499999999999997</c:v>
                </c:pt>
                <c:pt idx="5">
                  <c:v>0.95</c:v>
                </c:pt>
                <c:pt idx="6">
                  <c:v>0.9</c:v>
                </c:pt>
                <c:pt idx="7">
                  <c:v>0.91500000000000004</c:v>
                </c:pt>
                <c:pt idx="8">
                  <c:v>0.9</c:v>
                </c:pt>
                <c:pt idx="9">
                  <c:v>0.85</c:v>
                </c:pt>
                <c:pt idx="10">
                  <c:v>0.86499999999999999</c:v>
                </c:pt>
                <c:pt idx="11">
                  <c:v>0.85</c:v>
                </c:pt>
                <c:pt idx="12">
                  <c:v>0.8</c:v>
                </c:pt>
                <c:pt idx="13">
                  <c:v>0.81500000000000006</c:v>
                </c:pt>
                <c:pt idx="14">
                  <c:v>0.8</c:v>
                </c:pt>
                <c:pt idx="15">
                  <c:v>0.75</c:v>
                </c:pt>
                <c:pt idx="16">
                  <c:v>0.76500000000000001</c:v>
                </c:pt>
                <c:pt idx="17">
                  <c:v>0.75</c:v>
                </c:pt>
                <c:pt idx="18">
                  <c:v>0.7</c:v>
                </c:pt>
                <c:pt idx="19">
                  <c:v>0.71499999999999997</c:v>
                </c:pt>
                <c:pt idx="20">
                  <c:v>0.7</c:v>
                </c:pt>
                <c:pt idx="21">
                  <c:v>0.65</c:v>
                </c:pt>
                <c:pt idx="22">
                  <c:v>0.66500000000000004</c:v>
                </c:pt>
                <c:pt idx="23">
                  <c:v>0.65</c:v>
                </c:pt>
                <c:pt idx="24">
                  <c:v>0.60000000000000009</c:v>
                </c:pt>
                <c:pt idx="25">
                  <c:v>0.6150000000000001</c:v>
                </c:pt>
                <c:pt idx="26">
                  <c:v>0.60000000000000009</c:v>
                </c:pt>
                <c:pt idx="27">
                  <c:v>0.55000000000000004</c:v>
                </c:pt>
                <c:pt idx="28">
                  <c:v>0.56500000000000006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0.51500000000000001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'Stiff and Piper'!$AX$15:$AX$77</c:f>
              <c:numCache>
                <c:formatCode>0.00</c:formatCode>
                <c:ptCount val="63"/>
                <c:pt idx="0">
                  <c:v>0</c:v>
                </c:pt>
                <c:pt idx="1">
                  <c:v>2.632747685671118E-2</c:v>
                </c:pt>
                <c:pt idx="2">
                  <c:v>0</c:v>
                </c:pt>
                <c:pt idx="3">
                  <c:v>8.7758256189037279E-2</c:v>
                </c:pt>
                <c:pt idx="4">
                  <c:v>0.11408573304574846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0.20184398923478575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0.28960224542382301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0.37736050161286028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0.46511875780189754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0.55287701399093481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0.64063527017997213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0.72839352636900934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0.81615178255804666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0.90391003874708387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BDB-B200-AFE9F6E89717}"/>
            </c:ext>
          </c:extLst>
        </c:ser>
        <c:ser>
          <c:idx val="0"/>
          <c:order val="5"/>
          <c:tx>
            <c:v>Left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Piper'!$AY$15:$AY$77</c:f>
              <c:numCache>
                <c:formatCode>0.00</c:formatCode>
                <c:ptCount val="6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'Stiff and Piper'!$AZ$15:$AZ$77</c:f>
              <c:numCache>
                <c:formatCode>0.00</c:formatCode>
                <c:ptCount val="6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5-4BDB-B200-AFE9F6E89717}"/>
            </c:ext>
          </c:extLst>
        </c:ser>
        <c:ser>
          <c:idx val="5"/>
          <c:order val="6"/>
          <c:tx>
            <c:v>Right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Piper'!$BA$15:$BA$77</c:f>
              <c:numCache>
                <c:formatCode>0.00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'Stiff and Piper'!$BB$15:$BB$77</c:f>
              <c:numCache>
                <c:formatCode>0.00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15-4BDB-B200-AFE9F6E89717}"/>
            </c:ext>
          </c:extLst>
        </c:ser>
        <c:ser>
          <c:idx val="7"/>
          <c:order val="7"/>
          <c:tx>
            <c:v>Bottom axis lines-Cations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Piper'!$BC$15:$BC$77</c:f>
              <c:numCache>
                <c:formatCode>0.00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'Stiff and Piper'!$BD$15:$BD$77</c:f>
              <c:numCache>
                <c:formatCode>0.00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15-4BDB-B200-AFE9F6E89717}"/>
            </c:ext>
          </c:extLst>
        </c:ser>
        <c:ser>
          <c:idx val="9"/>
          <c:order val="8"/>
          <c:tx>
            <c:v>Bottom ticks-Cations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'Stiff and Piper'!$BG$15:$BG$77</c:f>
              <c:numCache>
                <c:formatCode>0.00</c:formatCode>
                <c:ptCount val="63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0.1</c:v>
                </c:pt>
                <c:pt idx="4">
                  <c:v>0.115</c:v>
                </c:pt>
                <c:pt idx="5">
                  <c:v>0.1</c:v>
                </c:pt>
                <c:pt idx="6">
                  <c:v>0.2</c:v>
                </c:pt>
                <c:pt idx="7">
                  <c:v>0.21500000000000002</c:v>
                </c:pt>
                <c:pt idx="8">
                  <c:v>0.2</c:v>
                </c:pt>
                <c:pt idx="9">
                  <c:v>0.30000000000000004</c:v>
                </c:pt>
                <c:pt idx="10">
                  <c:v>0.31500000000000006</c:v>
                </c:pt>
                <c:pt idx="11">
                  <c:v>0.30000000000000004</c:v>
                </c:pt>
                <c:pt idx="12">
                  <c:v>0.4</c:v>
                </c:pt>
                <c:pt idx="13">
                  <c:v>0.41500000000000004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0.51500000000000001</c:v>
                </c:pt>
                <c:pt idx="17">
                  <c:v>0.5</c:v>
                </c:pt>
                <c:pt idx="18">
                  <c:v>0.6</c:v>
                </c:pt>
                <c:pt idx="19">
                  <c:v>0.61499999999999999</c:v>
                </c:pt>
                <c:pt idx="20">
                  <c:v>0.6</c:v>
                </c:pt>
                <c:pt idx="21">
                  <c:v>0.7</c:v>
                </c:pt>
                <c:pt idx="22">
                  <c:v>0.71499999999999997</c:v>
                </c:pt>
                <c:pt idx="23">
                  <c:v>0.7</c:v>
                </c:pt>
                <c:pt idx="24">
                  <c:v>0.79999999999999993</c:v>
                </c:pt>
                <c:pt idx="25">
                  <c:v>0.81499999999999995</c:v>
                </c:pt>
                <c:pt idx="26">
                  <c:v>0.79999999999999993</c:v>
                </c:pt>
                <c:pt idx="27">
                  <c:v>0.89999999999999991</c:v>
                </c:pt>
                <c:pt idx="28">
                  <c:v>0.91499999999999992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1.0149999999999999</c:v>
                </c:pt>
                <c:pt idx="32">
                  <c:v>0.99999999999999989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'Stiff and Piper'!$BH$15:$BH$77</c:f>
              <c:numCache>
                <c:formatCode>0.00</c:formatCode>
                <c:ptCount val="63"/>
                <c:pt idx="0">
                  <c:v>0</c:v>
                </c:pt>
                <c:pt idx="1">
                  <c:v>-2.632747685671118E-2</c:v>
                </c:pt>
                <c:pt idx="2">
                  <c:v>0</c:v>
                </c:pt>
                <c:pt idx="3">
                  <c:v>0</c:v>
                </c:pt>
                <c:pt idx="4">
                  <c:v>-2.632747685671118E-2</c:v>
                </c:pt>
                <c:pt idx="5">
                  <c:v>0</c:v>
                </c:pt>
                <c:pt idx="6">
                  <c:v>0</c:v>
                </c:pt>
                <c:pt idx="7">
                  <c:v>-2.632747685671118E-2</c:v>
                </c:pt>
                <c:pt idx="8">
                  <c:v>0</c:v>
                </c:pt>
                <c:pt idx="9">
                  <c:v>0</c:v>
                </c:pt>
                <c:pt idx="10">
                  <c:v>-2.632747685671118E-2</c:v>
                </c:pt>
                <c:pt idx="11">
                  <c:v>0</c:v>
                </c:pt>
                <c:pt idx="12">
                  <c:v>0</c:v>
                </c:pt>
                <c:pt idx="13">
                  <c:v>-2.632747685671118E-2</c:v>
                </c:pt>
                <c:pt idx="14">
                  <c:v>0</c:v>
                </c:pt>
                <c:pt idx="15">
                  <c:v>0</c:v>
                </c:pt>
                <c:pt idx="16">
                  <c:v>-2.632747685671118E-2</c:v>
                </c:pt>
                <c:pt idx="17">
                  <c:v>0</c:v>
                </c:pt>
                <c:pt idx="18">
                  <c:v>0</c:v>
                </c:pt>
                <c:pt idx="19">
                  <c:v>-2.632747685671118E-2</c:v>
                </c:pt>
                <c:pt idx="20">
                  <c:v>0</c:v>
                </c:pt>
                <c:pt idx="21">
                  <c:v>0</c:v>
                </c:pt>
                <c:pt idx="22">
                  <c:v>-2.632747685671118E-2</c:v>
                </c:pt>
                <c:pt idx="23">
                  <c:v>0</c:v>
                </c:pt>
                <c:pt idx="24">
                  <c:v>0</c:v>
                </c:pt>
                <c:pt idx="25">
                  <c:v>-2.632747685671118E-2</c:v>
                </c:pt>
                <c:pt idx="26">
                  <c:v>0</c:v>
                </c:pt>
                <c:pt idx="27">
                  <c:v>0</c:v>
                </c:pt>
                <c:pt idx="28">
                  <c:v>-2.632747685671118E-2</c:v>
                </c:pt>
                <c:pt idx="29">
                  <c:v>0</c:v>
                </c:pt>
                <c:pt idx="30">
                  <c:v>0</c:v>
                </c:pt>
                <c:pt idx="31">
                  <c:v>-2.632747685671118E-2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15-4BDB-B200-AFE9F6E89717}"/>
            </c:ext>
          </c:extLst>
        </c:ser>
        <c:ser>
          <c:idx val="8"/>
          <c:order val="9"/>
          <c:tx>
            <c:v>Left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Piper'!$BI$15:$BI$77</c:f>
              <c:numCache>
                <c:formatCode>0.00</c:formatCode>
                <c:ptCount val="63"/>
                <c:pt idx="0">
                  <c:v>1.2</c:v>
                </c:pt>
                <c:pt idx="1">
                  <c:v>1.1849999999999998</c:v>
                </c:pt>
                <c:pt idx="2">
                  <c:v>1.2</c:v>
                </c:pt>
                <c:pt idx="3">
                  <c:v>1.25</c:v>
                </c:pt>
                <c:pt idx="4">
                  <c:v>1.2349999999999999</c:v>
                </c:pt>
                <c:pt idx="5">
                  <c:v>1.25</c:v>
                </c:pt>
                <c:pt idx="6">
                  <c:v>1.3</c:v>
                </c:pt>
                <c:pt idx="7">
                  <c:v>1.2849999999999999</c:v>
                </c:pt>
                <c:pt idx="8">
                  <c:v>1.3</c:v>
                </c:pt>
                <c:pt idx="9">
                  <c:v>1.3499999999999999</c:v>
                </c:pt>
                <c:pt idx="10">
                  <c:v>1.335</c:v>
                </c:pt>
                <c:pt idx="11">
                  <c:v>1.3499999999999999</c:v>
                </c:pt>
                <c:pt idx="12">
                  <c:v>1.4</c:v>
                </c:pt>
                <c:pt idx="13">
                  <c:v>1.3849999999999998</c:v>
                </c:pt>
                <c:pt idx="14">
                  <c:v>1.4</c:v>
                </c:pt>
                <c:pt idx="15">
                  <c:v>1.45</c:v>
                </c:pt>
                <c:pt idx="16">
                  <c:v>1.4349999999999998</c:v>
                </c:pt>
                <c:pt idx="17">
                  <c:v>1.45</c:v>
                </c:pt>
                <c:pt idx="18">
                  <c:v>1.5</c:v>
                </c:pt>
                <c:pt idx="19">
                  <c:v>1.4849999999999999</c:v>
                </c:pt>
                <c:pt idx="20">
                  <c:v>1.5</c:v>
                </c:pt>
                <c:pt idx="21">
                  <c:v>1.55</c:v>
                </c:pt>
                <c:pt idx="22">
                  <c:v>1.5349999999999997</c:v>
                </c:pt>
                <c:pt idx="23">
                  <c:v>1.55</c:v>
                </c:pt>
                <c:pt idx="24">
                  <c:v>1.5999999999999999</c:v>
                </c:pt>
                <c:pt idx="25">
                  <c:v>1.585</c:v>
                </c:pt>
                <c:pt idx="26">
                  <c:v>1.5999999999999999</c:v>
                </c:pt>
                <c:pt idx="27">
                  <c:v>1.65</c:v>
                </c:pt>
                <c:pt idx="28">
                  <c:v>1.6349999999999998</c:v>
                </c:pt>
                <c:pt idx="29">
                  <c:v>1.65</c:v>
                </c:pt>
                <c:pt idx="30">
                  <c:v>1.7</c:v>
                </c:pt>
                <c:pt idx="31">
                  <c:v>1.6849999999999998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</c:numCache>
            </c:numRef>
          </c:xVal>
          <c:yVal>
            <c:numRef>
              <c:f>'Stiff and Piper'!$BJ$15:$BJ$77</c:f>
              <c:numCache>
                <c:formatCode>0.00</c:formatCode>
                <c:ptCount val="63"/>
                <c:pt idx="0">
                  <c:v>0</c:v>
                </c:pt>
                <c:pt idx="1">
                  <c:v>2.632747685671118E-2</c:v>
                </c:pt>
                <c:pt idx="2">
                  <c:v>0</c:v>
                </c:pt>
                <c:pt idx="3">
                  <c:v>8.7758256189037279E-2</c:v>
                </c:pt>
                <c:pt idx="4">
                  <c:v>0.11408573304574846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0.20184398923478575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0.28960224542382301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0.37736050161286028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0.46511875780189754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0.55287701399093481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0.64063527017997213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0.72839352636900934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0.81615178255804666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0.90391003874708387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15-4BDB-B200-AFE9F6E89717}"/>
            </c:ext>
          </c:extLst>
        </c:ser>
        <c:ser>
          <c:idx val="10"/>
          <c:order val="10"/>
          <c:tx>
            <c:v>Right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Piper'!$BK$15:$BK$77</c:f>
              <c:numCache>
                <c:formatCode>0.00</c:formatCode>
                <c:ptCount val="63"/>
                <c:pt idx="0">
                  <c:v>2.2000000000000002</c:v>
                </c:pt>
                <c:pt idx="1">
                  <c:v>2.23</c:v>
                </c:pt>
                <c:pt idx="2">
                  <c:v>2.2000000000000002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2.15</c:v>
                </c:pt>
                <c:pt idx="6">
                  <c:v>2.1</c:v>
                </c:pt>
                <c:pt idx="7">
                  <c:v>2.1300000000000003</c:v>
                </c:pt>
                <c:pt idx="8">
                  <c:v>2.1</c:v>
                </c:pt>
                <c:pt idx="9">
                  <c:v>2.0500000000000003</c:v>
                </c:pt>
                <c:pt idx="10">
                  <c:v>2.08</c:v>
                </c:pt>
                <c:pt idx="11">
                  <c:v>2.0500000000000003</c:v>
                </c:pt>
                <c:pt idx="12">
                  <c:v>2</c:v>
                </c:pt>
                <c:pt idx="13">
                  <c:v>2.0300000000000002</c:v>
                </c:pt>
                <c:pt idx="14">
                  <c:v>2</c:v>
                </c:pt>
                <c:pt idx="15">
                  <c:v>1.95</c:v>
                </c:pt>
                <c:pt idx="16">
                  <c:v>1.98</c:v>
                </c:pt>
                <c:pt idx="17">
                  <c:v>1.95</c:v>
                </c:pt>
                <c:pt idx="18">
                  <c:v>1.9</c:v>
                </c:pt>
                <c:pt idx="19">
                  <c:v>1.9299999999999997</c:v>
                </c:pt>
                <c:pt idx="20">
                  <c:v>1.9</c:v>
                </c:pt>
                <c:pt idx="21">
                  <c:v>1.8499999999999999</c:v>
                </c:pt>
                <c:pt idx="22">
                  <c:v>1.88</c:v>
                </c:pt>
                <c:pt idx="23">
                  <c:v>1.8499999999999999</c:v>
                </c:pt>
                <c:pt idx="24">
                  <c:v>1.8</c:v>
                </c:pt>
                <c:pt idx="25">
                  <c:v>1.83</c:v>
                </c:pt>
                <c:pt idx="26">
                  <c:v>1.8</c:v>
                </c:pt>
                <c:pt idx="27">
                  <c:v>1.75</c:v>
                </c:pt>
                <c:pt idx="28">
                  <c:v>1.7799999999999998</c:v>
                </c:pt>
                <c:pt idx="29">
                  <c:v>1.75</c:v>
                </c:pt>
                <c:pt idx="30">
                  <c:v>1.7</c:v>
                </c:pt>
                <c:pt idx="31">
                  <c:v>1.73</c:v>
                </c:pt>
                <c:pt idx="32">
                  <c:v>1.7</c:v>
                </c:pt>
                <c:pt idx="33">
                  <c:v>1.7</c:v>
                </c:pt>
                <c:pt idx="34">
                  <c:v>1.7149999999999999</c:v>
                </c:pt>
                <c:pt idx="35">
                  <c:v>1.7</c:v>
                </c:pt>
                <c:pt idx="36">
                  <c:v>1.7</c:v>
                </c:pt>
                <c:pt idx="37">
                  <c:v>1.7149999999999999</c:v>
                </c:pt>
                <c:pt idx="38">
                  <c:v>1.7</c:v>
                </c:pt>
                <c:pt idx="39">
                  <c:v>1.7</c:v>
                </c:pt>
                <c:pt idx="40">
                  <c:v>1.7149999999999999</c:v>
                </c:pt>
                <c:pt idx="41">
                  <c:v>1.7</c:v>
                </c:pt>
                <c:pt idx="42">
                  <c:v>1.7</c:v>
                </c:pt>
                <c:pt idx="43">
                  <c:v>1.7149999999999999</c:v>
                </c:pt>
                <c:pt idx="44">
                  <c:v>1.7</c:v>
                </c:pt>
                <c:pt idx="45">
                  <c:v>1.7</c:v>
                </c:pt>
                <c:pt idx="46">
                  <c:v>1.7149999999999999</c:v>
                </c:pt>
                <c:pt idx="47">
                  <c:v>1.7</c:v>
                </c:pt>
                <c:pt idx="48">
                  <c:v>1.7</c:v>
                </c:pt>
                <c:pt idx="49">
                  <c:v>1.7149999999999999</c:v>
                </c:pt>
                <c:pt idx="50">
                  <c:v>1.7</c:v>
                </c:pt>
                <c:pt idx="51">
                  <c:v>1.7</c:v>
                </c:pt>
                <c:pt idx="52">
                  <c:v>1.7149999999999999</c:v>
                </c:pt>
                <c:pt idx="53">
                  <c:v>1.7</c:v>
                </c:pt>
                <c:pt idx="54">
                  <c:v>1.7</c:v>
                </c:pt>
                <c:pt idx="55">
                  <c:v>1.7149999999999999</c:v>
                </c:pt>
                <c:pt idx="56">
                  <c:v>1.7</c:v>
                </c:pt>
                <c:pt idx="57">
                  <c:v>1.7</c:v>
                </c:pt>
                <c:pt idx="58">
                  <c:v>1.7149999999999999</c:v>
                </c:pt>
                <c:pt idx="59">
                  <c:v>1.7</c:v>
                </c:pt>
                <c:pt idx="60">
                  <c:v>1.7</c:v>
                </c:pt>
                <c:pt idx="61">
                  <c:v>1.7149999999999999</c:v>
                </c:pt>
                <c:pt idx="62">
                  <c:v>1.7</c:v>
                </c:pt>
              </c:numCache>
            </c:numRef>
          </c:xVal>
          <c:yVal>
            <c:numRef>
              <c:f>'Stiff and Piper'!$BL$15:$BL$77</c:f>
              <c:numCache>
                <c:formatCode>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8.7758256189037279E-2</c:v>
                </c:pt>
                <c:pt idx="4">
                  <c:v>8.7758256189037279E-2</c:v>
                </c:pt>
                <c:pt idx="5">
                  <c:v>8.7758256189037279E-2</c:v>
                </c:pt>
                <c:pt idx="6">
                  <c:v>0.17551651237807456</c:v>
                </c:pt>
                <c:pt idx="7">
                  <c:v>0.17551651237807456</c:v>
                </c:pt>
                <c:pt idx="8">
                  <c:v>0.17551651237807456</c:v>
                </c:pt>
                <c:pt idx="9">
                  <c:v>0.26327476856711185</c:v>
                </c:pt>
                <c:pt idx="10">
                  <c:v>0.26327476856711185</c:v>
                </c:pt>
                <c:pt idx="11">
                  <c:v>0.26327476856711185</c:v>
                </c:pt>
                <c:pt idx="12">
                  <c:v>0.35103302475614911</c:v>
                </c:pt>
                <c:pt idx="13">
                  <c:v>0.35103302475614911</c:v>
                </c:pt>
                <c:pt idx="14">
                  <c:v>0.35103302475614911</c:v>
                </c:pt>
                <c:pt idx="15">
                  <c:v>0.43879128094518638</c:v>
                </c:pt>
                <c:pt idx="16">
                  <c:v>0.43879128094518638</c:v>
                </c:pt>
                <c:pt idx="17">
                  <c:v>0.43879128094518638</c:v>
                </c:pt>
                <c:pt idx="18">
                  <c:v>0.52654953713422359</c:v>
                </c:pt>
                <c:pt idx="19">
                  <c:v>0.52654953713422359</c:v>
                </c:pt>
                <c:pt idx="20">
                  <c:v>0.52654953713422359</c:v>
                </c:pt>
                <c:pt idx="21">
                  <c:v>0.61430779332326091</c:v>
                </c:pt>
                <c:pt idx="22">
                  <c:v>0.61430779332326091</c:v>
                </c:pt>
                <c:pt idx="23">
                  <c:v>0.61430779332326091</c:v>
                </c:pt>
                <c:pt idx="24">
                  <c:v>0.70206604951229812</c:v>
                </c:pt>
                <c:pt idx="25">
                  <c:v>0.70206604951229812</c:v>
                </c:pt>
                <c:pt idx="26">
                  <c:v>0.70206604951229812</c:v>
                </c:pt>
                <c:pt idx="27">
                  <c:v>0.78982430570133544</c:v>
                </c:pt>
                <c:pt idx="28">
                  <c:v>0.78982430570133544</c:v>
                </c:pt>
                <c:pt idx="29">
                  <c:v>0.78982430570133544</c:v>
                </c:pt>
                <c:pt idx="30">
                  <c:v>0.87758256189037265</c:v>
                </c:pt>
                <c:pt idx="31">
                  <c:v>0.87758256189037265</c:v>
                </c:pt>
                <c:pt idx="32">
                  <c:v>0.87758256189037265</c:v>
                </c:pt>
                <c:pt idx="33">
                  <c:v>0.87758256189037265</c:v>
                </c:pt>
                <c:pt idx="34">
                  <c:v>0.87758256189037265</c:v>
                </c:pt>
                <c:pt idx="35">
                  <c:v>0.87758256189037265</c:v>
                </c:pt>
                <c:pt idx="36">
                  <c:v>0.87758256189037265</c:v>
                </c:pt>
                <c:pt idx="37">
                  <c:v>0.87758256189037265</c:v>
                </c:pt>
                <c:pt idx="38">
                  <c:v>0.87758256189037265</c:v>
                </c:pt>
                <c:pt idx="39">
                  <c:v>0.87758256189037265</c:v>
                </c:pt>
                <c:pt idx="40">
                  <c:v>0.87758256189037265</c:v>
                </c:pt>
                <c:pt idx="41">
                  <c:v>0.87758256189037265</c:v>
                </c:pt>
                <c:pt idx="42">
                  <c:v>0.87758256189037265</c:v>
                </c:pt>
                <c:pt idx="43">
                  <c:v>0.87758256189037265</c:v>
                </c:pt>
                <c:pt idx="44">
                  <c:v>0.87758256189037265</c:v>
                </c:pt>
                <c:pt idx="45">
                  <c:v>0.87758256189037265</c:v>
                </c:pt>
                <c:pt idx="46">
                  <c:v>0.87758256189037265</c:v>
                </c:pt>
                <c:pt idx="47">
                  <c:v>0.87758256189037265</c:v>
                </c:pt>
                <c:pt idx="48">
                  <c:v>0.87758256189037265</c:v>
                </c:pt>
                <c:pt idx="49">
                  <c:v>0.87758256189037265</c:v>
                </c:pt>
                <c:pt idx="50">
                  <c:v>0.87758256189037265</c:v>
                </c:pt>
                <c:pt idx="51">
                  <c:v>0.87758256189037265</c:v>
                </c:pt>
                <c:pt idx="52">
                  <c:v>0.87758256189037265</c:v>
                </c:pt>
                <c:pt idx="53">
                  <c:v>0.87758256189037265</c:v>
                </c:pt>
                <c:pt idx="54">
                  <c:v>0.87758256189037265</c:v>
                </c:pt>
                <c:pt idx="55">
                  <c:v>0.87758256189037265</c:v>
                </c:pt>
                <c:pt idx="56">
                  <c:v>0.87758256189037265</c:v>
                </c:pt>
                <c:pt idx="57">
                  <c:v>0.87758256189037265</c:v>
                </c:pt>
                <c:pt idx="58">
                  <c:v>0.87758256189037265</c:v>
                </c:pt>
                <c:pt idx="59">
                  <c:v>0.87758256189037265</c:v>
                </c:pt>
                <c:pt idx="60">
                  <c:v>0.87758256189037265</c:v>
                </c:pt>
                <c:pt idx="61">
                  <c:v>0.87758256189037265</c:v>
                </c:pt>
                <c:pt idx="62">
                  <c:v>0.87758256189037265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15-4BDB-B200-AFE9F6E89717}"/>
            </c:ext>
          </c:extLst>
        </c:ser>
        <c:ser>
          <c:idx val="11"/>
          <c:order val="11"/>
          <c:tx>
            <c:v>Left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Piper'!$BM$15:$BM$77</c:f>
              <c:numCache>
                <c:formatCode>0.00</c:formatCode>
                <c:ptCount val="63"/>
                <c:pt idx="3">
                  <c:v>1.2</c:v>
                </c:pt>
                <c:pt idx="4">
                  <c:v>1.2</c:v>
                </c:pt>
                <c:pt idx="6">
                  <c:v>1.2</c:v>
                </c:pt>
                <c:pt idx="7">
                  <c:v>1.2</c:v>
                </c:pt>
                <c:pt idx="9">
                  <c:v>1.2</c:v>
                </c:pt>
                <c:pt idx="10">
                  <c:v>1.2</c:v>
                </c:pt>
                <c:pt idx="12">
                  <c:v>1.2</c:v>
                </c:pt>
                <c:pt idx="13">
                  <c:v>1.2</c:v>
                </c:pt>
                <c:pt idx="15">
                  <c:v>1.2</c:v>
                </c:pt>
                <c:pt idx="16">
                  <c:v>1.2</c:v>
                </c:pt>
                <c:pt idx="18">
                  <c:v>1.2</c:v>
                </c:pt>
                <c:pt idx="19">
                  <c:v>1.2</c:v>
                </c:pt>
                <c:pt idx="21">
                  <c:v>1.2</c:v>
                </c:pt>
                <c:pt idx="22">
                  <c:v>1.2</c:v>
                </c:pt>
                <c:pt idx="24">
                  <c:v>1.2</c:v>
                </c:pt>
                <c:pt idx="25">
                  <c:v>1.2</c:v>
                </c:pt>
                <c:pt idx="27">
                  <c:v>1.2</c:v>
                </c:pt>
                <c:pt idx="28">
                  <c:v>1.2</c:v>
                </c:pt>
                <c:pt idx="30">
                  <c:v>1.2</c:v>
                </c:pt>
                <c:pt idx="31">
                  <c:v>1.2</c:v>
                </c:pt>
                <c:pt idx="33">
                  <c:v>1.2</c:v>
                </c:pt>
                <c:pt idx="34">
                  <c:v>1.2</c:v>
                </c:pt>
                <c:pt idx="36">
                  <c:v>1.2</c:v>
                </c:pt>
                <c:pt idx="37">
                  <c:v>1.2</c:v>
                </c:pt>
                <c:pt idx="39">
                  <c:v>1.2</c:v>
                </c:pt>
                <c:pt idx="40">
                  <c:v>1.2</c:v>
                </c:pt>
                <c:pt idx="42">
                  <c:v>1.2</c:v>
                </c:pt>
                <c:pt idx="43">
                  <c:v>1.2</c:v>
                </c:pt>
                <c:pt idx="45">
                  <c:v>1.2</c:v>
                </c:pt>
                <c:pt idx="46">
                  <c:v>1.2</c:v>
                </c:pt>
                <c:pt idx="48">
                  <c:v>1.2</c:v>
                </c:pt>
                <c:pt idx="49">
                  <c:v>1.2</c:v>
                </c:pt>
                <c:pt idx="51">
                  <c:v>1.2</c:v>
                </c:pt>
                <c:pt idx="52">
                  <c:v>1.2</c:v>
                </c:pt>
                <c:pt idx="54">
                  <c:v>1.2</c:v>
                </c:pt>
                <c:pt idx="55">
                  <c:v>1.2</c:v>
                </c:pt>
                <c:pt idx="57">
                  <c:v>1.2</c:v>
                </c:pt>
                <c:pt idx="58">
                  <c:v>1.2</c:v>
                </c:pt>
                <c:pt idx="60">
                  <c:v>1.2</c:v>
                </c:pt>
                <c:pt idx="61">
                  <c:v>1.2</c:v>
                </c:pt>
              </c:numCache>
            </c:numRef>
          </c:xVal>
          <c:yVal>
            <c:numRef>
              <c:f>'Stiff and Piper'!$BN$15:$BN$77</c:f>
              <c:numCache>
                <c:formatCode>0.00</c:formatCode>
                <c:ptCount val="63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15-4BDB-B200-AFE9F6E89717}"/>
            </c:ext>
          </c:extLst>
        </c:ser>
        <c:ser>
          <c:idx val="12"/>
          <c:order val="12"/>
          <c:tx>
            <c:v>Right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Piper'!$BO$15:$BO$77</c:f>
              <c:numCache>
                <c:formatCode>0.00</c:formatCode>
                <c:ptCount val="63"/>
                <c:pt idx="3">
                  <c:v>1.2</c:v>
                </c:pt>
                <c:pt idx="4">
                  <c:v>1.2</c:v>
                </c:pt>
                <c:pt idx="6">
                  <c:v>1.2</c:v>
                </c:pt>
                <c:pt idx="7">
                  <c:v>1.2</c:v>
                </c:pt>
                <c:pt idx="9">
                  <c:v>1.2</c:v>
                </c:pt>
                <c:pt idx="10">
                  <c:v>1.2</c:v>
                </c:pt>
                <c:pt idx="12">
                  <c:v>1.2</c:v>
                </c:pt>
                <c:pt idx="13">
                  <c:v>1.2</c:v>
                </c:pt>
                <c:pt idx="15">
                  <c:v>1.2</c:v>
                </c:pt>
                <c:pt idx="16">
                  <c:v>1.2</c:v>
                </c:pt>
                <c:pt idx="18">
                  <c:v>1.2</c:v>
                </c:pt>
                <c:pt idx="19">
                  <c:v>1.2</c:v>
                </c:pt>
                <c:pt idx="21">
                  <c:v>1.2</c:v>
                </c:pt>
                <c:pt idx="22">
                  <c:v>1.2</c:v>
                </c:pt>
                <c:pt idx="24">
                  <c:v>1.2</c:v>
                </c:pt>
                <c:pt idx="25">
                  <c:v>1.2</c:v>
                </c:pt>
                <c:pt idx="27">
                  <c:v>1.2</c:v>
                </c:pt>
                <c:pt idx="28">
                  <c:v>1.2</c:v>
                </c:pt>
                <c:pt idx="30">
                  <c:v>1.2</c:v>
                </c:pt>
                <c:pt idx="31">
                  <c:v>1.2</c:v>
                </c:pt>
                <c:pt idx="33">
                  <c:v>1.2</c:v>
                </c:pt>
                <c:pt idx="34">
                  <c:v>1.2</c:v>
                </c:pt>
                <c:pt idx="36">
                  <c:v>1.2</c:v>
                </c:pt>
                <c:pt idx="37">
                  <c:v>1.2</c:v>
                </c:pt>
                <c:pt idx="39">
                  <c:v>1.2</c:v>
                </c:pt>
                <c:pt idx="40">
                  <c:v>1.2</c:v>
                </c:pt>
                <c:pt idx="42">
                  <c:v>1.2</c:v>
                </c:pt>
                <c:pt idx="43">
                  <c:v>1.2</c:v>
                </c:pt>
                <c:pt idx="45">
                  <c:v>1.2</c:v>
                </c:pt>
                <c:pt idx="46">
                  <c:v>1.2</c:v>
                </c:pt>
                <c:pt idx="48">
                  <c:v>1.2</c:v>
                </c:pt>
                <c:pt idx="49">
                  <c:v>1.2</c:v>
                </c:pt>
                <c:pt idx="51">
                  <c:v>1.2</c:v>
                </c:pt>
                <c:pt idx="52">
                  <c:v>1.2</c:v>
                </c:pt>
                <c:pt idx="54">
                  <c:v>1.2</c:v>
                </c:pt>
                <c:pt idx="55">
                  <c:v>1.2</c:v>
                </c:pt>
                <c:pt idx="57">
                  <c:v>1.2</c:v>
                </c:pt>
                <c:pt idx="58">
                  <c:v>1.2</c:v>
                </c:pt>
                <c:pt idx="60">
                  <c:v>1.2</c:v>
                </c:pt>
                <c:pt idx="61">
                  <c:v>1.2</c:v>
                </c:pt>
              </c:numCache>
            </c:numRef>
          </c:xVal>
          <c:yVal>
            <c:numRef>
              <c:f>'Stiff and Piper'!$BP$15:$BP$77</c:f>
              <c:numCache>
                <c:formatCode>0.00</c:formatCode>
                <c:ptCount val="63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15-4BDB-B200-AFE9F6E89717}"/>
            </c:ext>
          </c:extLst>
        </c:ser>
        <c:ser>
          <c:idx val="13"/>
          <c:order val="13"/>
          <c:tx>
            <c:v>Bottom Axis Lines-Anions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Piper'!$BQ$15:$BQ$77</c:f>
              <c:numCache>
                <c:formatCode>0.00</c:formatCode>
                <c:ptCount val="63"/>
                <c:pt idx="0">
                  <c:v>1.2</c:v>
                </c:pt>
                <c:pt idx="3">
                  <c:v>1.2</c:v>
                </c:pt>
                <c:pt idx="4">
                  <c:v>1.2</c:v>
                </c:pt>
                <c:pt idx="6">
                  <c:v>1.2</c:v>
                </c:pt>
                <c:pt idx="7">
                  <c:v>1.2</c:v>
                </c:pt>
                <c:pt idx="9">
                  <c:v>1.2</c:v>
                </c:pt>
                <c:pt idx="10">
                  <c:v>1.2</c:v>
                </c:pt>
                <c:pt idx="12">
                  <c:v>1.2</c:v>
                </c:pt>
                <c:pt idx="13">
                  <c:v>1.2</c:v>
                </c:pt>
                <c:pt idx="15">
                  <c:v>1.2</c:v>
                </c:pt>
                <c:pt idx="16">
                  <c:v>1.2</c:v>
                </c:pt>
                <c:pt idx="18">
                  <c:v>1.2</c:v>
                </c:pt>
                <c:pt idx="19">
                  <c:v>1.2</c:v>
                </c:pt>
                <c:pt idx="21">
                  <c:v>1.2</c:v>
                </c:pt>
                <c:pt idx="22">
                  <c:v>1.2</c:v>
                </c:pt>
                <c:pt idx="24">
                  <c:v>1.2</c:v>
                </c:pt>
                <c:pt idx="25">
                  <c:v>1.2</c:v>
                </c:pt>
                <c:pt idx="27">
                  <c:v>1.2</c:v>
                </c:pt>
                <c:pt idx="28">
                  <c:v>1.2</c:v>
                </c:pt>
                <c:pt idx="30">
                  <c:v>1.2</c:v>
                </c:pt>
                <c:pt idx="31">
                  <c:v>1.2</c:v>
                </c:pt>
                <c:pt idx="33">
                  <c:v>1.2</c:v>
                </c:pt>
                <c:pt idx="34">
                  <c:v>1.2</c:v>
                </c:pt>
                <c:pt idx="36">
                  <c:v>1.2</c:v>
                </c:pt>
                <c:pt idx="37">
                  <c:v>1.2</c:v>
                </c:pt>
                <c:pt idx="39">
                  <c:v>1.2</c:v>
                </c:pt>
                <c:pt idx="40">
                  <c:v>1.2</c:v>
                </c:pt>
                <c:pt idx="42">
                  <c:v>1.2</c:v>
                </c:pt>
                <c:pt idx="43">
                  <c:v>1.2</c:v>
                </c:pt>
                <c:pt idx="45">
                  <c:v>1.2</c:v>
                </c:pt>
                <c:pt idx="46">
                  <c:v>1.2</c:v>
                </c:pt>
                <c:pt idx="48">
                  <c:v>1.2</c:v>
                </c:pt>
                <c:pt idx="49">
                  <c:v>1.2</c:v>
                </c:pt>
                <c:pt idx="51">
                  <c:v>1.2</c:v>
                </c:pt>
                <c:pt idx="52">
                  <c:v>1.2</c:v>
                </c:pt>
                <c:pt idx="54">
                  <c:v>1.2</c:v>
                </c:pt>
                <c:pt idx="55">
                  <c:v>1.2</c:v>
                </c:pt>
                <c:pt idx="57">
                  <c:v>1.2</c:v>
                </c:pt>
                <c:pt idx="58">
                  <c:v>1.2</c:v>
                </c:pt>
                <c:pt idx="60">
                  <c:v>1.2</c:v>
                </c:pt>
                <c:pt idx="61">
                  <c:v>1.2</c:v>
                </c:pt>
              </c:numCache>
            </c:numRef>
          </c:xVal>
          <c:yVal>
            <c:numRef>
              <c:f>'Stiff and Piper'!$BR$15:$BR$77</c:f>
              <c:numCache>
                <c:formatCode>0.00</c:formatCode>
                <c:ptCount val="6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515-4BDB-B200-AFE9F6E89717}"/>
            </c:ext>
          </c:extLst>
        </c:ser>
        <c:ser>
          <c:idx val="14"/>
          <c:order val="14"/>
          <c:tx>
            <c:v>Bottom Ticks-Anions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Piper'!$BU$15:$BU$77</c:f>
              <c:numCache>
                <c:formatCode>0.00</c:formatCode>
                <c:ptCount val="63"/>
                <c:pt idx="0">
                  <c:v>1.2</c:v>
                </c:pt>
                <c:pt idx="1">
                  <c:v>1.1849999999999998</c:v>
                </c:pt>
                <c:pt idx="2">
                  <c:v>1.2</c:v>
                </c:pt>
                <c:pt idx="3">
                  <c:v>1.3</c:v>
                </c:pt>
                <c:pt idx="4">
                  <c:v>1.2849999999999999</c:v>
                </c:pt>
                <c:pt idx="5">
                  <c:v>1.3</c:v>
                </c:pt>
                <c:pt idx="6">
                  <c:v>1.4</c:v>
                </c:pt>
                <c:pt idx="7">
                  <c:v>1.385</c:v>
                </c:pt>
                <c:pt idx="8">
                  <c:v>1.4</c:v>
                </c:pt>
                <c:pt idx="9">
                  <c:v>1.5</c:v>
                </c:pt>
                <c:pt idx="10">
                  <c:v>1.4849999999999999</c:v>
                </c:pt>
                <c:pt idx="11">
                  <c:v>1.5</c:v>
                </c:pt>
                <c:pt idx="12">
                  <c:v>1.5999999999999999</c:v>
                </c:pt>
                <c:pt idx="13">
                  <c:v>1.585</c:v>
                </c:pt>
                <c:pt idx="14">
                  <c:v>1.5999999999999999</c:v>
                </c:pt>
                <c:pt idx="15">
                  <c:v>1.7</c:v>
                </c:pt>
                <c:pt idx="16">
                  <c:v>1.6850000000000001</c:v>
                </c:pt>
                <c:pt idx="17">
                  <c:v>1.7</c:v>
                </c:pt>
                <c:pt idx="18">
                  <c:v>1.8</c:v>
                </c:pt>
                <c:pt idx="19">
                  <c:v>1.7849999999999999</c:v>
                </c:pt>
                <c:pt idx="20">
                  <c:v>1.8</c:v>
                </c:pt>
                <c:pt idx="21">
                  <c:v>1.9</c:v>
                </c:pt>
                <c:pt idx="22">
                  <c:v>1.8849999999999998</c:v>
                </c:pt>
                <c:pt idx="23">
                  <c:v>1.9</c:v>
                </c:pt>
                <c:pt idx="24">
                  <c:v>1.9999999999999998</c:v>
                </c:pt>
                <c:pt idx="25">
                  <c:v>1.9850000000000001</c:v>
                </c:pt>
                <c:pt idx="26">
                  <c:v>1.9999999999999998</c:v>
                </c:pt>
                <c:pt idx="27">
                  <c:v>2.1</c:v>
                </c:pt>
                <c:pt idx="28">
                  <c:v>2.0850000000000004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2.1850000000000001</c:v>
                </c:pt>
                <c:pt idx="32">
                  <c:v>2.2000000000000002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</c:numCache>
            </c:numRef>
          </c:xVal>
          <c:yVal>
            <c:numRef>
              <c:f>'Stiff and Piper'!$BV$15:$BV$77</c:f>
              <c:numCache>
                <c:formatCode>0.00</c:formatCode>
                <c:ptCount val="63"/>
                <c:pt idx="0">
                  <c:v>0</c:v>
                </c:pt>
                <c:pt idx="1">
                  <c:v>-2.632747685671118E-2</c:v>
                </c:pt>
                <c:pt idx="2">
                  <c:v>0</c:v>
                </c:pt>
                <c:pt idx="3">
                  <c:v>0</c:v>
                </c:pt>
                <c:pt idx="4">
                  <c:v>-2.632747685671118E-2</c:v>
                </c:pt>
                <c:pt idx="5">
                  <c:v>0</c:v>
                </c:pt>
                <c:pt idx="6">
                  <c:v>0</c:v>
                </c:pt>
                <c:pt idx="7">
                  <c:v>-2.632747685671118E-2</c:v>
                </c:pt>
                <c:pt idx="8">
                  <c:v>0</c:v>
                </c:pt>
                <c:pt idx="9">
                  <c:v>0</c:v>
                </c:pt>
                <c:pt idx="10">
                  <c:v>-2.632747685671118E-2</c:v>
                </c:pt>
                <c:pt idx="11">
                  <c:v>0</c:v>
                </c:pt>
                <c:pt idx="12">
                  <c:v>0</c:v>
                </c:pt>
                <c:pt idx="13">
                  <c:v>-2.632747685671118E-2</c:v>
                </c:pt>
                <c:pt idx="14">
                  <c:v>0</c:v>
                </c:pt>
                <c:pt idx="15">
                  <c:v>0</c:v>
                </c:pt>
                <c:pt idx="16">
                  <c:v>-2.632747685671118E-2</c:v>
                </c:pt>
                <c:pt idx="17">
                  <c:v>0</c:v>
                </c:pt>
                <c:pt idx="18">
                  <c:v>0</c:v>
                </c:pt>
                <c:pt idx="19">
                  <c:v>-2.632747685671118E-2</c:v>
                </c:pt>
                <c:pt idx="20">
                  <c:v>0</c:v>
                </c:pt>
                <c:pt idx="21">
                  <c:v>0</c:v>
                </c:pt>
                <c:pt idx="22">
                  <c:v>-2.632747685671118E-2</c:v>
                </c:pt>
                <c:pt idx="23">
                  <c:v>0</c:v>
                </c:pt>
                <c:pt idx="24">
                  <c:v>0</c:v>
                </c:pt>
                <c:pt idx="25">
                  <c:v>-2.632747685671118E-2</c:v>
                </c:pt>
                <c:pt idx="26">
                  <c:v>0</c:v>
                </c:pt>
                <c:pt idx="27">
                  <c:v>0</c:v>
                </c:pt>
                <c:pt idx="28">
                  <c:v>-2.632747685671118E-2</c:v>
                </c:pt>
                <c:pt idx="29">
                  <c:v>0</c:v>
                </c:pt>
                <c:pt idx="30">
                  <c:v>0</c:v>
                </c:pt>
                <c:pt idx="31">
                  <c:v>-2.632747685671118E-2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15-4BDB-B200-AFE9F6E89717}"/>
            </c:ext>
          </c:extLst>
        </c:ser>
        <c:ser>
          <c:idx val="16"/>
          <c:order val="15"/>
          <c:tx>
            <c:v>Diamond Outline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Piper'!$BC$7:$BC$11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0.60000000000000009</c:v>
                </c:pt>
                <c:pt idx="2">
                  <c:v>1.1000000000000001</c:v>
                </c:pt>
                <c:pt idx="3">
                  <c:v>1.6</c:v>
                </c:pt>
                <c:pt idx="4">
                  <c:v>1.1000000000000001</c:v>
                </c:pt>
              </c:numCache>
            </c:numRef>
          </c:xVal>
          <c:yVal>
            <c:numRef>
              <c:f>'Stiff and Piper'!$BD$7:$BD$11</c:f>
              <c:numCache>
                <c:formatCode>General</c:formatCode>
                <c:ptCount val="5"/>
                <c:pt idx="0">
                  <c:v>0.17551651237807456</c:v>
                </c:pt>
                <c:pt idx="1">
                  <c:v>1.0530990742684474</c:v>
                </c:pt>
                <c:pt idx="2">
                  <c:v>1.9306816361588202</c:v>
                </c:pt>
                <c:pt idx="3">
                  <c:v>1.0530990742684474</c:v>
                </c:pt>
                <c:pt idx="4">
                  <c:v>0.17551651237807456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515-4BDB-B200-AFE9F6E89717}"/>
            </c:ext>
          </c:extLst>
        </c:ser>
        <c:ser>
          <c:idx val="17"/>
          <c:order val="16"/>
          <c:tx>
            <c:v>Right Axis Ticks-Diamond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Piper'!$BY$15:$BY$77</c:f>
              <c:numCache>
                <c:formatCode>0.00</c:formatCode>
                <c:ptCount val="63"/>
                <c:pt idx="0">
                  <c:v>1.6</c:v>
                </c:pt>
                <c:pt idx="1">
                  <c:v>1.6150000000000002</c:v>
                </c:pt>
                <c:pt idx="2">
                  <c:v>1.6</c:v>
                </c:pt>
                <c:pt idx="3">
                  <c:v>1.5499999999999998</c:v>
                </c:pt>
                <c:pt idx="4">
                  <c:v>1.5649999999999999</c:v>
                </c:pt>
                <c:pt idx="5">
                  <c:v>1.5499999999999998</c:v>
                </c:pt>
                <c:pt idx="6">
                  <c:v>1.5</c:v>
                </c:pt>
                <c:pt idx="7">
                  <c:v>1.5150000000000001</c:v>
                </c:pt>
                <c:pt idx="8">
                  <c:v>1.5</c:v>
                </c:pt>
                <c:pt idx="9">
                  <c:v>1.4500000000000002</c:v>
                </c:pt>
                <c:pt idx="10">
                  <c:v>1.4649999999999999</c:v>
                </c:pt>
                <c:pt idx="11">
                  <c:v>1.4500000000000002</c:v>
                </c:pt>
                <c:pt idx="12">
                  <c:v>1.4000000000000004</c:v>
                </c:pt>
                <c:pt idx="13">
                  <c:v>1.415</c:v>
                </c:pt>
                <c:pt idx="14">
                  <c:v>1.4000000000000004</c:v>
                </c:pt>
                <c:pt idx="15">
                  <c:v>1.35</c:v>
                </c:pt>
                <c:pt idx="16">
                  <c:v>1.3650000000000002</c:v>
                </c:pt>
                <c:pt idx="17">
                  <c:v>1.35</c:v>
                </c:pt>
                <c:pt idx="18">
                  <c:v>1.2999999999999998</c:v>
                </c:pt>
                <c:pt idx="19">
                  <c:v>1.3149999999999999</c:v>
                </c:pt>
                <c:pt idx="20">
                  <c:v>1.2999999999999998</c:v>
                </c:pt>
                <c:pt idx="21">
                  <c:v>1.25</c:v>
                </c:pt>
                <c:pt idx="22">
                  <c:v>1.2650000000000001</c:v>
                </c:pt>
                <c:pt idx="23">
                  <c:v>1.25</c:v>
                </c:pt>
                <c:pt idx="24">
                  <c:v>1.2000000000000002</c:v>
                </c:pt>
                <c:pt idx="25">
                  <c:v>1.2150000000000003</c:v>
                </c:pt>
                <c:pt idx="26">
                  <c:v>1.2000000000000002</c:v>
                </c:pt>
                <c:pt idx="27">
                  <c:v>1.1500000000000004</c:v>
                </c:pt>
                <c:pt idx="28">
                  <c:v>1.165</c:v>
                </c:pt>
                <c:pt idx="29">
                  <c:v>1.1500000000000004</c:v>
                </c:pt>
                <c:pt idx="30">
                  <c:v>1.1000000000000001</c:v>
                </c:pt>
                <c:pt idx="31">
                  <c:v>1.1150000000000002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</c:numCache>
            </c:numRef>
          </c:xVal>
          <c:yVal>
            <c:numRef>
              <c:f>'Stiff and Piper'!$BZ$15:$BZ$77</c:f>
              <c:numCache>
                <c:formatCode>0.00</c:formatCode>
                <c:ptCount val="63"/>
                <c:pt idx="0">
                  <c:v>1.0530990742684474</c:v>
                </c:pt>
                <c:pt idx="1">
                  <c:v>1.0794265511251586</c:v>
                </c:pt>
                <c:pt idx="2">
                  <c:v>1.0530990742684474</c:v>
                </c:pt>
                <c:pt idx="3">
                  <c:v>1.1408573304574845</c:v>
                </c:pt>
                <c:pt idx="4">
                  <c:v>1.1671848073141957</c:v>
                </c:pt>
                <c:pt idx="5">
                  <c:v>1.1408573304574845</c:v>
                </c:pt>
                <c:pt idx="6">
                  <c:v>1.228615586646522</c:v>
                </c:pt>
                <c:pt idx="7">
                  <c:v>1.2549430635032333</c:v>
                </c:pt>
                <c:pt idx="8">
                  <c:v>1.228615586646522</c:v>
                </c:pt>
                <c:pt idx="9">
                  <c:v>1.3163738428355591</c:v>
                </c:pt>
                <c:pt idx="10">
                  <c:v>1.3427013196922704</c:v>
                </c:pt>
                <c:pt idx="11">
                  <c:v>1.3163738428355591</c:v>
                </c:pt>
                <c:pt idx="12">
                  <c:v>1.4041320990245967</c:v>
                </c:pt>
                <c:pt idx="13">
                  <c:v>1.4304595758813079</c:v>
                </c:pt>
                <c:pt idx="14">
                  <c:v>1.4041320990245967</c:v>
                </c:pt>
                <c:pt idx="15">
                  <c:v>1.4918903552136338</c:v>
                </c:pt>
                <c:pt idx="16">
                  <c:v>1.518217832070345</c:v>
                </c:pt>
                <c:pt idx="17">
                  <c:v>1.4918903552136338</c:v>
                </c:pt>
                <c:pt idx="18">
                  <c:v>1.5796486114026709</c:v>
                </c:pt>
                <c:pt idx="19">
                  <c:v>1.6059760882593821</c:v>
                </c:pt>
                <c:pt idx="20">
                  <c:v>1.5796486114026709</c:v>
                </c:pt>
                <c:pt idx="21">
                  <c:v>1.6674068675917084</c:v>
                </c:pt>
                <c:pt idx="22">
                  <c:v>1.6937343444484196</c:v>
                </c:pt>
                <c:pt idx="23">
                  <c:v>1.6674068675917084</c:v>
                </c:pt>
                <c:pt idx="24">
                  <c:v>1.7551651237807455</c:v>
                </c:pt>
                <c:pt idx="25">
                  <c:v>1.7814926006374567</c:v>
                </c:pt>
                <c:pt idx="26">
                  <c:v>1.7551651237807455</c:v>
                </c:pt>
                <c:pt idx="27">
                  <c:v>1.8429233799697826</c:v>
                </c:pt>
                <c:pt idx="28">
                  <c:v>1.8692508568264943</c:v>
                </c:pt>
                <c:pt idx="29">
                  <c:v>1.8429233799697826</c:v>
                </c:pt>
                <c:pt idx="30">
                  <c:v>1.9306816361588202</c:v>
                </c:pt>
                <c:pt idx="31">
                  <c:v>1.9570091130155314</c:v>
                </c:pt>
                <c:pt idx="32">
                  <c:v>1.9306816361588202</c:v>
                </c:pt>
                <c:pt idx="33">
                  <c:v>1.9306816361588202</c:v>
                </c:pt>
                <c:pt idx="34">
                  <c:v>1.9306816361588202</c:v>
                </c:pt>
                <c:pt idx="35">
                  <c:v>1.9306816361588202</c:v>
                </c:pt>
                <c:pt idx="36">
                  <c:v>1.9306816361588202</c:v>
                </c:pt>
                <c:pt idx="37">
                  <c:v>1.9306816361588202</c:v>
                </c:pt>
                <c:pt idx="38">
                  <c:v>1.9306816361588202</c:v>
                </c:pt>
                <c:pt idx="39">
                  <c:v>1.9306816361588202</c:v>
                </c:pt>
                <c:pt idx="40">
                  <c:v>1.9306816361588202</c:v>
                </c:pt>
                <c:pt idx="41">
                  <c:v>1.9306816361588202</c:v>
                </c:pt>
                <c:pt idx="42">
                  <c:v>1.9306816361588202</c:v>
                </c:pt>
                <c:pt idx="43">
                  <c:v>1.9306816361588202</c:v>
                </c:pt>
                <c:pt idx="44">
                  <c:v>1.9306816361588202</c:v>
                </c:pt>
                <c:pt idx="45">
                  <c:v>1.9306816361588202</c:v>
                </c:pt>
                <c:pt idx="46">
                  <c:v>1.9306816361588202</c:v>
                </c:pt>
                <c:pt idx="47">
                  <c:v>1.9306816361588202</c:v>
                </c:pt>
                <c:pt idx="48">
                  <c:v>1.9306816361588202</c:v>
                </c:pt>
                <c:pt idx="49">
                  <c:v>1.9306816361588202</c:v>
                </c:pt>
                <c:pt idx="50">
                  <c:v>1.9306816361588202</c:v>
                </c:pt>
                <c:pt idx="51">
                  <c:v>1.9306816361588202</c:v>
                </c:pt>
                <c:pt idx="52">
                  <c:v>1.9306816361588202</c:v>
                </c:pt>
                <c:pt idx="53">
                  <c:v>1.9306816361588202</c:v>
                </c:pt>
                <c:pt idx="54">
                  <c:v>1.9306816361588202</c:v>
                </c:pt>
                <c:pt idx="55">
                  <c:v>1.9306816361588202</c:v>
                </c:pt>
                <c:pt idx="56">
                  <c:v>1.9306816361588202</c:v>
                </c:pt>
                <c:pt idx="57">
                  <c:v>1.9306816361588202</c:v>
                </c:pt>
                <c:pt idx="58">
                  <c:v>1.9306816361588202</c:v>
                </c:pt>
                <c:pt idx="59">
                  <c:v>1.9306816361588202</c:v>
                </c:pt>
                <c:pt idx="60">
                  <c:v>1.9306816361588202</c:v>
                </c:pt>
                <c:pt idx="61">
                  <c:v>1.9306816361588202</c:v>
                </c:pt>
                <c:pt idx="62">
                  <c:v>1.9306816361588202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15-4BDB-B200-AFE9F6E89717}"/>
            </c:ext>
          </c:extLst>
        </c:ser>
        <c:ser>
          <c:idx val="18"/>
          <c:order val="17"/>
          <c:tx>
            <c:v>Left Axis Ticks-Diamond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Piper'!$BW$15:$BW$77</c:f>
              <c:numCache>
                <c:formatCode>0.00</c:formatCode>
                <c:ptCount val="63"/>
                <c:pt idx="0">
                  <c:v>0.60000000000000009</c:v>
                </c:pt>
                <c:pt idx="1">
                  <c:v>0.58499999999999996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0.63500000000000001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0.68500000000000005</c:v>
                </c:pt>
                <c:pt idx="8">
                  <c:v>0.70000000000000018</c:v>
                </c:pt>
                <c:pt idx="9">
                  <c:v>0.75</c:v>
                </c:pt>
                <c:pt idx="10">
                  <c:v>0.7350000000000001</c:v>
                </c:pt>
                <c:pt idx="11">
                  <c:v>0.75</c:v>
                </c:pt>
                <c:pt idx="12">
                  <c:v>0.8</c:v>
                </c:pt>
                <c:pt idx="13">
                  <c:v>0.78499999999999992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0.83499999999999996</c:v>
                </c:pt>
                <c:pt idx="17">
                  <c:v>0.85000000000000009</c:v>
                </c:pt>
                <c:pt idx="18">
                  <c:v>0.90000000000000013</c:v>
                </c:pt>
                <c:pt idx="19">
                  <c:v>0.88500000000000001</c:v>
                </c:pt>
                <c:pt idx="20">
                  <c:v>0.90000000000000013</c:v>
                </c:pt>
                <c:pt idx="21">
                  <c:v>0.95000000000000018</c:v>
                </c:pt>
                <c:pt idx="22">
                  <c:v>0.93499999999999983</c:v>
                </c:pt>
                <c:pt idx="23">
                  <c:v>0.95000000000000018</c:v>
                </c:pt>
                <c:pt idx="24">
                  <c:v>1</c:v>
                </c:pt>
                <c:pt idx="25">
                  <c:v>0.9850000000000001</c:v>
                </c:pt>
                <c:pt idx="26">
                  <c:v>1</c:v>
                </c:pt>
                <c:pt idx="27">
                  <c:v>1.05</c:v>
                </c:pt>
                <c:pt idx="28">
                  <c:v>1.0349999999999999</c:v>
                </c:pt>
                <c:pt idx="29">
                  <c:v>1.05</c:v>
                </c:pt>
                <c:pt idx="30">
                  <c:v>1.1000000000000001</c:v>
                </c:pt>
                <c:pt idx="31">
                  <c:v>1.085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</c:numCache>
            </c:numRef>
          </c:xVal>
          <c:yVal>
            <c:numRef>
              <c:f>'Stiff and Piper'!$BX$15:$BX$77</c:f>
              <c:numCache>
                <c:formatCode>0.00</c:formatCode>
                <c:ptCount val="63"/>
                <c:pt idx="0">
                  <c:v>1.0530990742684474</c:v>
                </c:pt>
                <c:pt idx="1">
                  <c:v>1.0794265511251586</c:v>
                </c:pt>
                <c:pt idx="2">
                  <c:v>1.0530990742684474</c:v>
                </c:pt>
                <c:pt idx="3">
                  <c:v>1.1408573304574845</c:v>
                </c:pt>
                <c:pt idx="4">
                  <c:v>1.1671848073141957</c:v>
                </c:pt>
                <c:pt idx="5">
                  <c:v>1.1408573304574845</c:v>
                </c:pt>
                <c:pt idx="6">
                  <c:v>1.228615586646522</c:v>
                </c:pt>
                <c:pt idx="7">
                  <c:v>1.2549430635032333</c:v>
                </c:pt>
                <c:pt idx="8">
                  <c:v>1.228615586646522</c:v>
                </c:pt>
                <c:pt idx="9">
                  <c:v>1.3163738428355591</c:v>
                </c:pt>
                <c:pt idx="10">
                  <c:v>1.3427013196922704</c:v>
                </c:pt>
                <c:pt idx="11">
                  <c:v>1.3163738428355591</c:v>
                </c:pt>
                <c:pt idx="12">
                  <c:v>1.4041320990245967</c:v>
                </c:pt>
                <c:pt idx="13">
                  <c:v>1.4304595758813079</c:v>
                </c:pt>
                <c:pt idx="14">
                  <c:v>1.4041320990245967</c:v>
                </c:pt>
                <c:pt idx="15">
                  <c:v>1.4918903552136338</c:v>
                </c:pt>
                <c:pt idx="16">
                  <c:v>1.518217832070345</c:v>
                </c:pt>
                <c:pt idx="17">
                  <c:v>1.4918903552136338</c:v>
                </c:pt>
                <c:pt idx="18">
                  <c:v>1.5796486114026709</c:v>
                </c:pt>
                <c:pt idx="19">
                  <c:v>1.6059760882593821</c:v>
                </c:pt>
                <c:pt idx="20">
                  <c:v>1.5796486114026709</c:v>
                </c:pt>
                <c:pt idx="21">
                  <c:v>1.6674068675917084</c:v>
                </c:pt>
                <c:pt idx="22">
                  <c:v>1.6937343444484196</c:v>
                </c:pt>
                <c:pt idx="23">
                  <c:v>1.6674068675917084</c:v>
                </c:pt>
                <c:pt idx="24">
                  <c:v>1.7551651237807455</c:v>
                </c:pt>
                <c:pt idx="25">
                  <c:v>1.7814926006374567</c:v>
                </c:pt>
                <c:pt idx="26">
                  <c:v>1.7551651237807455</c:v>
                </c:pt>
                <c:pt idx="27">
                  <c:v>1.8429233799697826</c:v>
                </c:pt>
                <c:pt idx="28">
                  <c:v>1.8692508568264943</c:v>
                </c:pt>
                <c:pt idx="29">
                  <c:v>1.8429233799697826</c:v>
                </c:pt>
                <c:pt idx="30">
                  <c:v>1.9306816361588202</c:v>
                </c:pt>
                <c:pt idx="31">
                  <c:v>1.9570091130155314</c:v>
                </c:pt>
                <c:pt idx="32">
                  <c:v>1.9306816361588202</c:v>
                </c:pt>
                <c:pt idx="33">
                  <c:v>1.9306816361588202</c:v>
                </c:pt>
                <c:pt idx="34">
                  <c:v>1.9306816361588202</c:v>
                </c:pt>
                <c:pt idx="35">
                  <c:v>1.9306816361588202</c:v>
                </c:pt>
                <c:pt idx="36">
                  <c:v>1.9306816361588202</c:v>
                </c:pt>
                <c:pt idx="37">
                  <c:v>1.9306816361588202</c:v>
                </c:pt>
                <c:pt idx="38">
                  <c:v>1.9306816361588202</c:v>
                </c:pt>
                <c:pt idx="39">
                  <c:v>1.9306816361588202</c:v>
                </c:pt>
                <c:pt idx="40">
                  <c:v>1.9306816361588202</c:v>
                </c:pt>
                <c:pt idx="41">
                  <c:v>1.9306816361588202</c:v>
                </c:pt>
                <c:pt idx="42">
                  <c:v>1.9306816361588202</c:v>
                </c:pt>
                <c:pt idx="43">
                  <c:v>1.9306816361588202</c:v>
                </c:pt>
                <c:pt idx="44">
                  <c:v>1.9306816361588202</c:v>
                </c:pt>
                <c:pt idx="45">
                  <c:v>1.9306816361588202</c:v>
                </c:pt>
                <c:pt idx="46">
                  <c:v>1.9306816361588202</c:v>
                </c:pt>
                <c:pt idx="47">
                  <c:v>1.9306816361588202</c:v>
                </c:pt>
                <c:pt idx="48">
                  <c:v>1.9306816361588202</c:v>
                </c:pt>
                <c:pt idx="49">
                  <c:v>1.9306816361588202</c:v>
                </c:pt>
                <c:pt idx="50">
                  <c:v>1.9306816361588202</c:v>
                </c:pt>
                <c:pt idx="51">
                  <c:v>1.9306816361588202</c:v>
                </c:pt>
                <c:pt idx="52">
                  <c:v>1.9306816361588202</c:v>
                </c:pt>
                <c:pt idx="53">
                  <c:v>1.9306816361588202</c:v>
                </c:pt>
                <c:pt idx="54">
                  <c:v>1.9306816361588202</c:v>
                </c:pt>
                <c:pt idx="55">
                  <c:v>1.9306816361588202</c:v>
                </c:pt>
                <c:pt idx="56">
                  <c:v>1.9306816361588202</c:v>
                </c:pt>
                <c:pt idx="57">
                  <c:v>1.9306816361588202</c:v>
                </c:pt>
                <c:pt idx="58">
                  <c:v>1.9306816361588202</c:v>
                </c:pt>
                <c:pt idx="59">
                  <c:v>1.9306816361588202</c:v>
                </c:pt>
                <c:pt idx="60">
                  <c:v>1.9306816361588202</c:v>
                </c:pt>
                <c:pt idx="61">
                  <c:v>1.9306816361588202</c:v>
                </c:pt>
                <c:pt idx="62">
                  <c:v>1.9306816361588202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515-4BDB-B200-AFE9F6E89717}"/>
            </c:ext>
          </c:extLst>
        </c:ser>
        <c:ser>
          <c:idx val="19"/>
          <c:order val="18"/>
          <c:tx>
            <c:v>Left Axis Lines-Diamond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Piper'!$CA$15:$CA$77</c:f>
              <c:numCache>
                <c:formatCode>0.00</c:formatCode>
                <c:ptCount val="63"/>
                <c:pt idx="0">
                  <c:v>0.60000000000000009</c:v>
                </c:pt>
                <c:pt idx="1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1">
                  <c:v>0.60000000000000009</c:v>
                </c:pt>
                <c:pt idx="22">
                  <c:v>0.60000000000000009</c:v>
                </c:pt>
                <c:pt idx="24">
                  <c:v>0.60000000000000009</c:v>
                </c:pt>
                <c:pt idx="25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30">
                  <c:v>0.60000000000000009</c:v>
                </c:pt>
                <c:pt idx="31">
                  <c:v>0.60000000000000009</c:v>
                </c:pt>
                <c:pt idx="33">
                  <c:v>0.60000000000000009</c:v>
                </c:pt>
                <c:pt idx="34">
                  <c:v>0.60000000000000009</c:v>
                </c:pt>
                <c:pt idx="36">
                  <c:v>0.60000000000000009</c:v>
                </c:pt>
                <c:pt idx="37">
                  <c:v>0.60000000000000009</c:v>
                </c:pt>
                <c:pt idx="39">
                  <c:v>0.60000000000000009</c:v>
                </c:pt>
                <c:pt idx="40">
                  <c:v>0.60000000000000009</c:v>
                </c:pt>
                <c:pt idx="42">
                  <c:v>0.60000000000000009</c:v>
                </c:pt>
                <c:pt idx="43">
                  <c:v>0.60000000000000009</c:v>
                </c:pt>
                <c:pt idx="45">
                  <c:v>0.60000000000000009</c:v>
                </c:pt>
                <c:pt idx="46">
                  <c:v>0.60000000000000009</c:v>
                </c:pt>
                <c:pt idx="48">
                  <c:v>0.60000000000000009</c:v>
                </c:pt>
                <c:pt idx="49">
                  <c:v>0.60000000000000009</c:v>
                </c:pt>
                <c:pt idx="51">
                  <c:v>0.60000000000000009</c:v>
                </c:pt>
                <c:pt idx="52">
                  <c:v>0.60000000000000009</c:v>
                </c:pt>
                <c:pt idx="54">
                  <c:v>0.60000000000000009</c:v>
                </c:pt>
                <c:pt idx="55">
                  <c:v>0.60000000000000009</c:v>
                </c:pt>
                <c:pt idx="57">
                  <c:v>0.60000000000000009</c:v>
                </c:pt>
                <c:pt idx="58">
                  <c:v>0.60000000000000009</c:v>
                </c:pt>
                <c:pt idx="60">
                  <c:v>0.60000000000000009</c:v>
                </c:pt>
                <c:pt idx="61">
                  <c:v>0.60000000000000009</c:v>
                </c:pt>
              </c:numCache>
            </c:numRef>
          </c:xVal>
          <c:yVal>
            <c:numRef>
              <c:f>'Stiff and Piper'!$CB$15:$CB$77</c:f>
              <c:numCache>
                <c:formatCode>0.00</c:formatCode>
                <c:ptCount val="63"/>
                <c:pt idx="0">
                  <c:v>1.0530990742684474</c:v>
                </c:pt>
                <c:pt idx="1">
                  <c:v>1.0530990742684474</c:v>
                </c:pt>
                <c:pt idx="3">
                  <c:v>1.0530990742684474</c:v>
                </c:pt>
                <c:pt idx="4">
                  <c:v>1.0530990742684474</c:v>
                </c:pt>
                <c:pt idx="6">
                  <c:v>1.0530990742684474</c:v>
                </c:pt>
                <c:pt idx="7">
                  <c:v>1.0530990742684474</c:v>
                </c:pt>
                <c:pt idx="9">
                  <c:v>1.0530990742684474</c:v>
                </c:pt>
                <c:pt idx="10">
                  <c:v>1.0530990742684474</c:v>
                </c:pt>
                <c:pt idx="12">
                  <c:v>1.0530990742684474</c:v>
                </c:pt>
                <c:pt idx="13">
                  <c:v>1.0530990742684474</c:v>
                </c:pt>
                <c:pt idx="15">
                  <c:v>1.0530990742684474</c:v>
                </c:pt>
                <c:pt idx="16">
                  <c:v>1.0530990742684474</c:v>
                </c:pt>
                <c:pt idx="18">
                  <c:v>1.0530990742684474</c:v>
                </c:pt>
                <c:pt idx="19">
                  <c:v>1.0530990742684474</c:v>
                </c:pt>
                <c:pt idx="21">
                  <c:v>1.0530990742684474</c:v>
                </c:pt>
                <c:pt idx="22">
                  <c:v>1.0530990742684474</c:v>
                </c:pt>
                <c:pt idx="24">
                  <c:v>1.0530990742684474</c:v>
                </c:pt>
                <c:pt idx="25">
                  <c:v>1.0530990742684474</c:v>
                </c:pt>
                <c:pt idx="27">
                  <c:v>1.0530990742684474</c:v>
                </c:pt>
                <c:pt idx="28">
                  <c:v>1.0530990742684474</c:v>
                </c:pt>
                <c:pt idx="30">
                  <c:v>1.0530990742684474</c:v>
                </c:pt>
                <c:pt idx="31">
                  <c:v>1.0530990742684474</c:v>
                </c:pt>
                <c:pt idx="33">
                  <c:v>1.0530990742684474</c:v>
                </c:pt>
                <c:pt idx="34">
                  <c:v>1.0530990742684474</c:v>
                </c:pt>
                <c:pt idx="36">
                  <c:v>1.0530990742684474</c:v>
                </c:pt>
                <c:pt idx="37">
                  <c:v>1.0530990742684474</c:v>
                </c:pt>
                <c:pt idx="39">
                  <c:v>1.0530990742684474</c:v>
                </c:pt>
                <c:pt idx="40">
                  <c:v>1.0530990742684474</c:v>
                </c:pt>
                <c:pt idx="42">
                  <c:v>1.0530990742684474</c:v>
                </c:pt>
                <c:pt idx="43">
                  <c:v>1.0530990742684474</c:v>
                </c:pt>
                <c:pt idx="45">
                  <c:v>1.0530990742684474</c:v>
                </c:pt>
                <c:pt idx="46">
                  <c:v>1.0530990742684474</c:v>
                </c:pt>
                <c:pt idx="48">
                  <c:v>1.0530990742684474</c:v>
                </c:pt>
                <c:pt idx="49">
                  <c:v>1.0530990742684474</c:v>
                </c:pt>
                <c:pt idx="51">
                  <c:v>1.0530990742684474</c:v>
                </c:pt>
                <c:pt idx="52">
                  <c:v>1.0530990742684474</c:v>
                </c:pt>
                <c:pt idx="54">
                  <c:v>1.0530990742684474</c:v>
                </c:pt>
                <c:pt idx="55">
                  <c:v>1.0530990742684474</c:v>
                </c:pt>
                <c:pt idx="57">
                  <c:v>1.0530990742684474</c:v>
                </c:pt>
                <c:pt idx="58">
                  <c:v>1.0530990742684474</c:v>
                </c:pt>
                <c:pt idx="60">
                  <c:v>1.0530990742684474</c:v>
                </c:pt>
                <c:pt idx="61">
                  <c:v>1.0530990742684474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15-4BDB-B200-AFE9F6E89717}"/>
            </c:ext>
          </c:extLst>
        </c:ser>
        <c:ser>
          <c:idx val="20"/>
          <c:order val="19"/>
          <c:tx>
            <c:v>Right Axis Lines-Diamond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'Stiff and Piper'!$CC$15:$CC$77</c:f>
              <c:numCache>
                <c:formatCode>0.00</c:formatCode>
                <c:ptCount val="63"/>
                <c:pt idx="0">
                  <c:v>1.6</c:v>
                </c:pt>
                <c:pt idx="1">
                  <c:v>1.6</c:v>
                </c:pt>
                <c:pt idx="3">
                  <c:v>1.6</c:v>
                </c:pt>
                <c:pt idx="4">
                  <c:v>1.6</c:v>
                </c:pt>
                <c:pt idx="6">
                  <c:v>1.6</c:v>
                </c:pt>
                <c:pt idx="7">
                  <c:v>1.6</c:v>
                </c:pt>
                <c:pt idx="9">
                  <c:v>1.6</c:v>
                </c:pt>
                <c:pt idx="10">
                  <c:v>1.6</c:v>
                </c:pt>
                <c:pt idx="12">
                  <c:v>1.6</c:v>
                </c:pt>
                <c:pt idx="13">
                  <c:v>1.6</c:v>
                </c:pt>
                <c:pt idx="15">
                  <c:v>1.6</c:v>
                </c:pt>
                <c:pt idx="16">
                  <c:v>1.6</c:v>
                </c:pt>
                <c:pt idx="18">
                  <c:v>1.6</c:v>
                </c:pt>
                <c:pt idx="19">
                  <c:v>1.6</c:v>
                </c:pt>
                <c:pt idx="21">
                  <c:v>1.6</c:v>
                </c:pt>
                <c:pt idx="22">
                  <c:v>1.6</c:v>
                </c:pt>
                <c:pt idx="24">
                  <c:v>1.6</c:v>
                </c:pt>
                <c:pt idx="25">
                  <c:v>1.6</c:v>
                </c:pt>
                <c:pt idx="27">
                  <c:v>1.6</c:v>
                </c:pt>
                <c:pt idx="28">
                  <c:v>1.6</c:v>
                </c:pt>
                <c:pt idx="30">
                  <c:v>1.6</c:v>
                </c:pt>
                <c:pt idx="31">
                  <c:v>1.6</c:v>
                </c:pt>
                <c:pt idx="33">
                  <c:v>1.6</c:v>
                </c:pt>
                <c:pt idx="34">
                  <c:v>1.6</c:v>
                </c:pt>
                <c:pt idx="36">
                  <c:v>1.6</c:v>
                </c:pt>
                <c:pt idx="37">
                  <c:v>1.6</c:v>
                </c:pt>
                <c:pt idx="39">
                  <c:v>1.6</c:v>
                </c:pt>
                <c:pt idx="40">
                  <c:v>1.6</c:v>
                </c:pt>
                <c:pt idx="42">
                  <c:v>1.6</c:v>
                </c:pt>
                <c:pt idx="43">
                  <c:v>1.6</c:v>
                </c:pt>
                <c:pt idx="45">
                  <c:v>1.6</c:v>
                </c:pt>
                <c:pt idx="46">
                  <c:v>1.6</c:v>
                </c:pt>
                <c:pt idx="48">
                  <c:v>1.6</c:v>
                </c:pt>
                <c:pt idx="49">
                  <c:v>1.6</c:v>
                </c:pt>
                <c:pt idx="51">
                  <c:v>1.6</c:v>
                </c:pt>
                <c:pt idx="52">
                  <c:v>1.6</c:v>
                </c:pt>
                <c:pt idx="54">
                  <c:v>1.6</c:v>
                </c:pt>
                <c:pt idx="55">
                  <c:v>1.6</c:v>
                </c:pt>
                <c:pt idx="57">
                  <c:v>1.6</c:v>
                </c:pt>
                <c:pt idx="58">
                  <c:v>1.6</c:v>
                </c:pt>
                <c:pt idx="60">
                  <c:v>1.6</c:v>
                </c:pt>
                <c:pt idx="61">
                  <c:v>1.6</c:v>
                </c:pt>
              </c:numCache>
            </c:numRef>
          </c:xVal>
          <c:yVal>
            <c:numRef>
              <c:f>'Stiff and Piper'!$CD$15:$CD$77</c:f>
              <c:numCache>
                <c:formatCode>0.00</c:formatCode>
                <c:ptCount val="63"/>
                <c:pt idx="0">
                  <c:v>1.0530990742684474</c:v>
                </c:pt>
                <c:pt idx="1">
                  <c:v>1.0530990742684474</c:v>
                </c:pt>
                <c:pt idx="3">
                  <c:v>1.0530990742684474</c:v>
                </c:pt>
                <c:pt idx="4">
                  <c:v>1.0530990742684474</c:v>
                </c:pt>
                <c:pt idx="6">
                  <c:v>1.0530990742684474</c:v>
                </c:pt>
                <c:pt idx="7">
                  <c:v>1.0530990742684474</c:v>
                </c:pt>
                <c:pt idx="9">
                  <c:v>1.0530990742684474</c:v>
                </c:pt>
                <c:pt idx="10">
                  <c:v>1.0530990742684474</c:v>
                </c:pt>
                <c:pt idx="12">
                  <c:v>1.0530990742684474</c:v>
                </c:pt>
                <c:pt idx="13">
                  <c:v>1.0530990742684474</c:v>
                </c:pt>
                <c:pt idx="15">
                  <c:v>1.0530990742684474</c:v>
                </c:pt>
                <c:pt idx="16">
                  <c:v>1.0530990742684474</c:v>
                </c:pt>
                <c:pt idx="18">
                  <c:v>1.0530990742684474</c:v>
                </c:pt>
                <c:pt idx="19">
                  <c:v>1.0530990742684474</c:v>
                </c:pt>
                <c:pt idx="21">
                  <c:v>1.0530990742684474</c:v>
                </c:pt>
                <c:pt idx="22">
                  <c:v>1.0530990742684474</c:v>
                </c:pt>
                <c:pt idx="24">
                  <c:v>1.0530990742684474</c:v>
                </c:pt>
                <c:pt idx="25">
                  <c:v>1.0530990742684474</c:v>
                </c:pt>
                <c:pt idx="27">
                  <c:v>1.0530990742684474</c:v>
                </c:pt>
                <c:pt idx="28">
                  <c:v>1.0530990742684474</c:v>
                </c:pt>
                <c:pt idx="30">
                  <c:v>1.0530990742684474</c:v>
                </c:pt>
                <c:pt idx="31">
                  <c:v>1.0530990742684474</c:v>
                </c:pt>
                <c:pt idx="33">
                  <c:v>1.0530990742684474</c:v>
                </c:pt>
                <c:pt idx="34">
                  <c:v>1.0530990742684474</c:v>
                </c:pt>
                <c:pt idx="36">
                  <c:v>1.0530990742684474</c:v>
                </c:pt>
                <c:pt idx="37">
                  <c:v>1.0530990742684474</c:v>
                </c:pt>
                <c:pt idx="39">
                  <c:v>1.0530990742684474</c:v>
                </c:pt>
                <c:pt idx="40">
                  <c:v>1.0530990742684474</c:v>
                </c:pt>
                <c:pt idx="42">
                  <c:v>1.0530990742684474</c:v>
                </c:pt>
                <c:pt idx="43">
                  <c:v>1.0530990742684474</c:v>
                </c:pt>
                <c:pt idx="45">
                  <c:v>1.0530990742684474</c:v>
                </c:pt>
                <c:pt idx="46">
                  <c:v>1.0530990742684474</c:v>
                </c:pt>
                <c:pt idx="48">
                  <c:v>1.0530990742684474</c:v>
                </c:pt>
                <c:pt idx="49">
                  <c:v>1.0530990742684474</c:v>
                </c:pt>
                <c:pt idx="51">
                  <c:v>1.0530990742684474</c:v>
                </c:pt>
                <c:pt idx="52">
                  <c:v>1.0530990742684474</c:v>
                </c:pt>
                <c:pt idx="54">
                  <c:v>1.0530990742684474</c:v>
                </c:pt>
                <c:pt idx="55">
                  <c:v>1.0530990742684474</c:v>
                </c:pt>
                <c:pt idx="57">
                  <c:v>1.0530990742684474</c:v>
                </c:pt>
                <c:pt idx="58">
                  <c:v>1.0530990742684474</c:v>
                </c:pt>
                <c:pt idx="60">
                  <c:v>1.0530990742684474</c:v>
                </c:pt>
                <c:pt idx="61">
                  <c:v>1.0530990742684474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515-4BDB-B200-AFE9F6E89717}"/>
            </c:ext>
          </c:extLst>
        </c:ser>
        <c:ser>
          <c:idx val="30"/>
          <c:order val="20"/>
          <c:tx>
            <c:v>Labels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804A80DA-54FD-4697-869E-3D0F9AD98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515-4BDB-B200-AFE9F6E897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029271-067A-4894-B6C9-0525B212A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515-4BDB-B200-AFE9F6E897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DCAE7E-6A64-4B23-A1BA-3C13476F0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515-4BDB-B200-AFE9F6E897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8E0C55-2C58-46FD-A1B8-475344052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515-4BDB-B200-AFE9F6E897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ACBE4F-3147-48E2-8F03-C07747633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515-4BDB-B200-AFE9F6E897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36F15F-F589-436B-981D-F68B17CD4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515-4BDB-B200-AFE9F6E897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413666-AD18-452D-AD2C-6590D1999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515-4BDB-B200-AFE9F6E897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CF25DD-1203-4891-BC37-2EB6547A6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515-4BDB-B200-AFE9F6E89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'Stiff and Piper'!$BS$4:$BS$11</c:f>
              <c:numCache>
                <c:formatCode>General</c:formatCode>
                <c:ptCount val="8"/>
                <c:pt idx="0">
                  <c:v>0.06</c:v>
                </c:pt>
                <c:pt idx="1">
                  <c:v>0.38</c:v>
                </c:pt>
                <c:pt idx="2">
                  <c:v>1.0449999999999999</c:v>
                </c:pt>
                <c:pt idx="3">
                  <c:v>1.155</c:v>
                </c:pt>
                <c:pt idx="4">
                  <c:v>2.14</c:v>
                </c:pt>
                <c:pt idx="5">
                  <c:v>1.8199999999999998</c:v>
                </c:pt>
                <c:pt idx="6">
                  <c:v>0.99</c:v>
                </c:pt>
                <c:pt idx="7">
                  <c:v>1.2100000000000002</c:v>
                </c:pt>
              </c:numCache>
            </c:numRef>
          </c:xVal>
          <c:yVal>
            <c:numRef>
              <c:f>'Stiff and Piper'!$BT$4:$BT$11</c:f>
              <c:numCache>
                <c:formatCode>General</c:formatCode>
                <c:ptCount val="8"/>
                <c:pt idx="0">
                  <c:v>-0.10530990742684472</c:v>
                </c:pt>
                <c:pt idx="1">
                  <c:v>0.87758256189037276</c:v>
                </c:pt>
                <c:pt idx="2">
                  <c:v>0.10530990742684472</c:v>
                </c:pt>
                <c:pt idx="3">
                  <c:v>0.10530990742684472</c:v>
                </c:pt>
                <c:pt idx="4">
                  <c:v>-0.10530990742684472</c:v>
                </c:pt>
                <c:pt idx="5">
                  <c:v>0.87758256189037276</c:v>
                </c:pt>
                <c:pt idx="6">
                  <c:v>2.035991543585665</c:v>
                </c:pt>
                <c:pt idx="7">
                  <c:v>2.035991543585665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'Stiff and Piper'!$BR$4:$BR$11</c15:f>
                <c15:dlblRangeCache>
                  <c:ptCount val="8"/>
                  <c:pt idx="0">
                    <c:v>Ca</c:v>
                  </c:pt>
                  <c:pt idx="1">
                    <c:v>Mg</c:v>
                  </c:pt>
                  <c:pt idx="2">
                    <c:v>Na+K</c:v>
                  </c:pt>
                  <c:pt idx="3">
                    <c:v>HCO3</c:v>
                  </c:pt>
                  <c:pt idx="4">
                    <c:v>Cl</c:v>
                  </c:pt>
                  <c:pt idx="5">
                    <c:v>SO4</c:v>
                  </c:pt>
                  <c:pt idx="6">
                    <c:v>SO4+Cl</c:v>
                  </c:pt>
                  <c:pt idx="7">
                    <c:v>Ca+Mg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4515-4BDB-B200-AFE9F6E8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92368"/>
        <c:axId val="256313344"/>
      </c:scatterChart>
      <c:valAx>
        <c:axId val="259292368"/>
        <c:scaling>
          <c:orientation val="minMax"/>
          <c:min val="-0.1"/>
        </c:scaling>
        <c:delete val="1"/>
        <c:axPos val="b"/>
        <c:numFmt formatCode="General" sourceLinked="1"/>
        <c:majorTickMark val="out"/>
        <c:minorTickMark val="none"/>
        <c:tickLblPos val="nextTo"/>
        <c:crossAx val="256313344"/>
        <c:crosses val="autoZero"/>
        <c:crossBetween val="midCat"/>
      </c:valAx>
      <c:valAx>
        <c:axId val="256313344"/>
        <c:scaling>
          <c:orientation val="minMax"/>
          <c:min val="-0.2"/>
        </c:scaling>
        <c:delete val="1"/>
        <c:axPos val="l"/>
        <c:numFmt formatCode="General" sourceLinked="1"/>
        <c:majorTickMark val="out"/>
        <c:minorTickMark val="none"/>
        <c:tickLblPos val="nextTo"/>
        <c:crossAx val="25929236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72525774811820698"/>
          <c:y val="0.12433152775848746"/>
          <c:w val="8.4344751023769093E-2"/>
          <c:h val="0.2946350853639911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SBF7</a:t>
            </a:r>
            <a:r>
              <a:rPr lang="en-US" baseline="0"/>
              <a:t> 7/13</a:t>
            </a:r>
            <a:endParaRPr lang="en-US"/>
          </a:p>
        </c:rich>
      </c:tx>
      <c:layout>
        <c:manualLayout>
          <c:xMode val="edge"/>
          <c:yMode val="edge"/>
          <c:x val="0.3552389015889143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'Stiff and Piper'!$C$4</c:f>
              <c:strCache>
                <c:ptCount val="1"/>
                <c:pt idx="0">
                  <c:v>SBF7 7/2017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'Stiff and Piper'!$T$4:$AB$4</c:f>
              <c:numCache>
                <c:formatCode>General</c:formatCode>
                <c:ptCount val="9"/>
                <c:pt idx="0">
                  <c:v>0.41528729204150189</c:v>
                </c:pt>
                <c:pt idx="1">
                  <c:v>-0.17177671847234366</c:v>
                </c:pt>
                <c:pt idx="2">
                  <c:v>-4.3329015804166264</c:v>
                </c:pt>
                <c:pt idx="3">
                  <c:v>-1.0395304728375039</c:v>
                </c:pt>
                <c:pt idx="4">
                  <c:v>-1.8546921291704363E-2</c:v>
                </c:pt>
                <c:pt idx="5">
                  <c:v>1.6474169576506401E-4</c:v>
                </c:pt>
                <c:pt idx="6">
                  <c:v>3.553178358362477</c:v>
                </c:pt>
                <c:pt idx="7">
                  <c:v>1.9966066170966612</c:v>
                </c:pt>
                <c:pt idx="8">
                  <c:v>0.41528729204150189</c:v>
                </c:pt>
              </c:numCache>
            </c:numRef>
          </c:xVal>
          <c:yVal>
            <c:numRef>
              <c:f>'Stiff and Piper'!$BH$5:$BP$5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9-4D8E-BB61-11F34789610B}"/>
            </c:ext>
          </c:extLst>
        </c:ser>
        <c:ser>
          <c:idx val="1"/>
          <c:order val="1"/>
          <c:tx>
            <c:v>Labels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11810CD-CD66-4E05-9533-136989D90B6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{E11810CD-CD66-4E05-9533-136989D90B67}</c15:txfldGUID>
                      <c15:f>'Stiff and Piper'!$N$3</c15:f>
                      <c15:dlblFieldTableCache>
                        <c:ptCount val="1"/>
                        <c:pt idx="0">
                          <c:v>Na+K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289-4D8E-BB61-11F34789610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B5DA3CD-0B88-47F3-B9F1-8A3A18647C5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{EB5DA3CD-0B88-47F3-B9F1-8A3A18647C54}</c15:txfldGUID>
                      <c15:f>'Stiff and Piper'!$F$3</c15:f>
                      <c15:dlblFieldTableCache>
                        <c:ptCount val="1"/>
                        <c:pt idx="0">
                          <c:v>Ca++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289-4D8E-BB61-11F34789610B}"/>
                </c:ext>
              </c:extLst>
            </c:dLbl>
            <c:dLbl>
              <c:idx val="2"/>
              <c:layout>
                <c:manualLayout>
                  <c:x val="-6.2585034013605448E-2"/>
                  <c:y val="-9.2592592592593437E-3"/>
                </c:manualLayout>
              </c:layout>
              <c:tx>
                <c:rich>
                  <a:bodyPr/>
                  <a:lstStyle/>
                  <a:p>
                    <a:fld id="{520E34CE-5F21-4472-8090-DCA8073787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{520E34CE-5F21-4472-8090-DCA8073787FE}</c15:txfldGUID>
                      <c15:f>'Stiff and Piper'!$Z$3</c15:f>
                      <c15:dlblFieldTableCache>
                        <c:ptCount val="1"/>
                        <c:pt idx="0">
                          <c:v>Mg++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289-4D8E-BB61-11F34789610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4EE3A18-A47C-4767-AD61-3CC04FCCB9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{B4EE3A18-A47C-4767-AD61-3CC04FCCB9AD}</c15:txfldGUID>
                      <c15:f>'Stiff and Piper'!$Y$3</c15:f>
                      <c15:dlblFieldTableCache>
                        <c:ptCount val="1"/>
                        <c:pt idx="0">
                          <c:v>Fe++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289-4D8E-BB61-11F34789610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C3D2525-E73C-45FF-8799-8D7D34A73EE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{6C3D2525-E73C-45FF-8799-8D7D34A73EE0}</c15:txfldGUID>
                      <c15:f>'Stiff and Piper'!$X$3</c15:f>
                      <c15:dlblFieldTableCache>
                        <c:ptCount val="1"/>
                        <c:pt idx="0">
                          <c:v>NO3-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289-4D8E-BB61-11F34789610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4B0DCB1-F9AA-4F4A-8ABA-68D55720FD7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{64B0DCB1-F9AA-4F4A-8ABA-68D55720FD7F}</c15:txfldGUID>
                      <c15:f>'Stiff and Piper'!$W$3</c15:f>
                      <c15:dlblFieldTableCache>
                        <c:ptCount val="1"/>
                        <c:pt idx="0">
                          <c:v>SO4--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289-4D8E-BB61-11F34789610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169DA5-D112-47B1-99A1-DAD4496A26A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{C1169DA5-D112-47B1-99A1-DAD4496A26A1}</c15:txfldGUID>
                      <c15:f>'Stiff and Piper'!$V$3</c15:f>
                      <c15:dlblFieldTableCache>
                        <c:ptCount val="1"/>
                        <c:pt idx="0">
                          <c:v>HCO3-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289-4D8E-BB61-11F34789610B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BD20738-5821-4048-843C-7B1A5E5E0B2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{7BD20738-5821-4048-843C-7B1A5E5E0B26}</c15:txfldGUID>
                      <c15:f>'Stiff and Piper'!$U$3</c15:f>
                      <c15:dlblFieldTableCache>
                        <c:ptCount val="1"/>
                        <c:pt idx="0">
                          <c:v>Cl-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289-4D8E-BB61-11F34789610B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'Stiff and Piper'!$BI$4:$BP$4</c:f>
              <c:numCache>
                <c:formatCode>General</c:formatCode>
                <c:ptCount val="8"/>
                <c:pt idx="0">
                  <c:v>3.9084961941987251</c:v>
                </c:pt>
                <c:pt idx="1">
                  <c:v>3.9084961941987251</c:v>
                </c:pt>
                <c:pt idx="2">
                  <c:v>3.9084961941987251</c:v>
                </c:pt>
                <c:pt idx="3">
                  <c:v>3.9084961941987251</c:v>
                </c:pt>
                <c:pt idx="4">
                  <c:v>-4.7661917384582893</c:v>
                </c:pt>
                <c:pt idx="5">
                  <c:v>-4.7661917384582893</c:v>
                </c:pt>
                <c:pt idx="6">
                  <c:v>-4.7661917384582893</c:v>
                </c:pt>
                <c:pt idx="7">
                  <c:v>-4.7661917384582893</c:v>
                </c:pt>
              </c:numCache>
            </c:numRef>
          </c:xVal>
          <c:yVal>
            <c:numRef>
              <c:f>'Stiff and Piper'!$BI$5:$BP$5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89-4D8E-BB61-11F347896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6310600"/>
        <c:axId val="256311776"/>
      </c:scatterChart>
      <c:valAx>
        <c:axId val="2563106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meq</a:t>
                </a:r>
              </a:p>
            </c:rich>
          </c:tx>
          <c:layout>
            <c:manualLayout>
              <c:xMode val="edge"/>
              <c:yMode val="edge"/>
              <c:x val="0.46908245844269458"/>
              <c:y val="0.8760006561679789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256311776"/>
        <c:crossesAt val="-1"/>
        <c:crossBetween val="midCat"/>
      </c:valAx>
      <c:valAx>
        <c:axId val="256311776"/>
        <c:scaling>
          <c:orientation val="minMax"/>
          <c:max val="3.5"/>
          <c:min val="-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56310600"/>
        <c:crossesAt val="0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pH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'Bjerrum Plot'!$M$3:$M$1403</c:f>
              <c:numCache>
                <c:formatCode>General</c:formatCode>
                <c:ptCount val="1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</c:numCache>
            </c:numRef>
          </c:xVal>
          <c:yVal>
            <c:numRef>
              <c:f>'Bjerrum Plot'!$M$3:$M$1403</c:f>
              <c:numCache>
                <c:formatCode>General</c:formatCode>
                <c:ptCount val="1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488A-94B1-F22618A56F75}"/>
            </c:ext>
          </c:extLst>
        </c:ser>
        <c:ser>
          <c:idx val="1"/>
          <c:order val="1"/>
          <c:tx>
            <c:v>pOH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'Bjerrum Plot'!$M$3:$M$1403</c:f>
              <c:numCache>
                <c:formatCode>General</c:formatCode>
                <c:ptCount val="1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</c:numCache>
            </c:numRef>
          </c:xVal>
          <c:yVal>
            <c:numRef>
              <c:f>'Bjerrum Plot'!$N$3:$N$1403</c:f>
              <c:numCache>
                <c:formatCode>General</c:formatCode>
                <c:ptCount val="1401"/>
                <c:pt idx="0">
                  <c:v>14</c:v>
                </c:pt>
                <c:pt idx="1">
                  <c:v>13.99</c:v>
                </c:pt>
                <c:pt idx="2">
                  <c:v>13.98</c:v>
                </c:pt>
                <c:pt idx="3">
                  <c:v>13.97</c:v>
                </c:pt>
                <c:pt idx="4">
                  <c:v>13.96</c:v>
                </c:pt>
                <c:pt idx="5">
                  <c:v>13.95</c:v>
                </c:pt>
                <c:pt idx="6">
                  <c:v>13.94</c:v>
                </c:pt>
                <c:pt idx="7">
                  <c:v>13.93</c:v>
                </c:pt>
                <c:pt idx="8">
                  <c:v>13.92</c:v>
                </c:pt>
                <c:pt idx="9">
                  <c:v>13.91</c:v>
                </c:pt>
                <c:pt idx="10">
                  <c:v>13.9</c:v>
                </c:pt>
                <c:pt idx="11">
                  <c:v>13.89</c:v>
                </c:pt>
                <c:pt idx="12">
                  <c:v>13.88</c:v>
                </c:pt>
                <c:pt idx="13">
                  <c:v>13.87</c:v>
                </c:pt>
                <c:pt idx="14">
                  <c:v>13.86</c:v>
                </c:pt>
                <c:pt idx="15">
                  <c:v>13.85</c:v>
                </c:pt>
                <c:pt idx="16">
                  <c:v>13.84</c:v>
                </c:pt>
                <c:pt idx="17">
                  <c:v>13.83</c:v>
                </c:pt>
                <c:pt idx="18">
                  <c:v>13.82</c:v>
                </c:pt>
                <c:pt idx="19">
                  <c:v>13.81</c:v>
                </c:pt>
                <c:pt idx="20">
                  <c:v>13.8</c:v>
                </c:pt>
                <c:pt idx="21">
                  <c:v>13.79</c:v>
                </c:pt>
                <c:pt idx="22">
                  <c:v>13.78</c:v>
                </c:pt>
                <c:pt idx="23">
                  <c:v>13.77</c:v>
                </c:pt>
                <c:pt idx="24">
                  <c:v>13.76</c:v>
                </c:pt>
                <c:pt idx="25">
                  <c:v>13.75</c:v>
                </c:pt>
                <c:pt idx="26">
                  <c:v>13.74</c:v>
                </c:pt>
                <c:pt idx="27">
                  <c:v>13.73</c:v>
                </c:pt>
                <c:pt idx="28">
                  <c:v>13.72</c:v>
                </c:pt>
                <c:pt idx="29">
                  <c:v>13.71</c:v>
                </c:pt>
                <c:pt idx="30">
                  <c:v>13.7</c:v>
                </c:pt>
                <c:pt idx="31">
                  <c:v>13.69</c:v>
                </c:pt>
                <c:pt idx="32">
                  <c:v>13.68</c:v>
                </c:pt>
                <c:pt idx="33">
                  <c:v>13.67</c:v>
                </c:pt>
                <c:pt idx="34">
                  <c:v>13.66</c:v>
                </c:pt>
                <c:pt idx="35">
                  <c:v>13.65</c:v>
                </c:pt>
                <c:pt idx="36">
                  <c:v>13.64</c:v>
                </c:pt>
                <c:pt idx="37">
                  <c:v>13.63</c:v>
                </c:pt>
                <c:pt idx="38">
                  <c:v>13.62</c:v>
                </c:pt>
                <c:pt idx="39">
                  <c:v>13.61</c:v>
                </c:pt>
                <c:pt idx="40">
                  <c:v>13.6</c:v>
                </c:pt>
                <c:pt idx="41">
                  <c:v>13.59</c:v>
                </c:pt>
                <c:pt idx="42">
                  <c:v>13.58</c:v>
                </c:pt>
                <c:pt idx="43">
                  <c:v>13.57</c:v>
                </c:pt>
                <c:pt idx="44">
                  <c:v>13.56</c:v>
                </c:pt>
                <c:pt idx="45">
                  <c:v>13.55</c:v>
                </c:pt>
                <c:pt idx="46">
                  <c:v>13.54</c:v>
                </c:pt>
                <c:pt idx="47">
                  <c:v>13.53</c:v>
                </c:pt>
                <c:pt idx="48">
                  <c:v>13.52</c:v>
                </c:pt>
                <c:pt idx="49">
                  <c:v>13.51</c:v>
                </c:pt>
                <c:pt idx="50">
                  <c:v>13.5</c:v>
                </c:pt>
                <c:pt idx="51">
                  <c:v>13.49</c:v>
                </c:pt>
                <c:pt idx="52">
                  <c:v>13.48</c:v>
                </c:pt>
                <c:pt idx="53">
                  <c:v>13.47</c:v>
                </c:pt>
                <c:pt idx="54">
                  <c:v>13.46</c:v>
                </c:pt>
                <c:pt idx="55">
                  <c:v>13.45</c:v>
                </c:pt>
                <c:pt idx="56">
                  <c:v>13.44</c:v>
                </c:pt>
                <c:pt idx="57">
                  <c:v>13.43</c:v>
                </c:pt>
                <c:pt idx="58">
                  <c:v>13.42</c:v>
                </c:pt>
                <c:pt idx="59">
                  <c:v>13.41</c:v>
                </c:pt>
                <c:pt idx="60">
                  <c:v>13.4</c:v>
                </c:pt>
                <c:pt idx="61">
                  <c:v>13.39</c:v>
                </c:pt>
                <c:pt idx="62">
                  <c:v>13.38</c:v>
                </c:pt>
                <c:pt idx="63">
                  <c:v>13.37</c:v>
                </c:pt>
                <c:pt idx="64">
                  <c:v>13.36</c:v>
                </c:pt>
                <c:pt idx="65">
                  <c:v>13.35</c:v>
                </c:pt>
                <c:pt idx="66">
                  <c:v>13.34</c:v>
                </c:pt>
                <c:pt idx="67">
                  <c:v>13.33</c:v>
                </c:pt>
                <c:pt idx="68">
                  <c:v>13.32</c:v>
                </c:pt>
                <c:pt idx="69">
                  <c:v>13.31</c:v>
                </c:pt>
                <c:pt idx="70">
                  <c:v>13.3</c:v>
                </c:pt>
                <c:pt idx="71">
                  <c:v>13.29</c:v>
                </c:pt>
                <c:pt idx="72">
                  <c:v>13.28</c:v>
                </c:pt>
                <c:pt idx="73">
                  <c:v>13.27</c:v>
                </c:pt>
                <c:pt idx="74">
                  <c:v>13.26</c:v>
                </c:pt>
                <c:pt idx="75">
                  <c:v>13.25</c:v>
                </c:pt>
                <c:pt idx="76">
                  <c:v>13.24</c:v>
                </c:pt>
                <c:pt idx="77">
                  <c:v>13.23</c:v>
                </c:pt>
                <c:pt idx="78">
                  <c:v>13.22</c:v>
                </c:pt>
                <c:pt idx="79">
                  <c:v>13.21</c:v>
                </c:pt>
                <c:pt idx="80">
                  <c:v>13.2</c:v>
                </c:pt>
                <c:pt idx="81">
                  <c:v>13.19</c:v>
                </c:pt>
                <c:pt idx="82">
                  <c:v>13.18</c:v>
                </c:pt>
                <c:pt idx="83">
                  <c:v>13.17</c:v>
                </c:pt>
                <c:pt idx="84">
                  <c:v>13.16</c:v>
                </c:pt>
                <c:pt idx="85">
                  <c:v>13.15</c:v>
                </c:pt>
                <c:pt idx="86">
                  <c:v>13.14</c:v>
                </c:pt>
                <c:pt idx="87">
                  <c:v>13.13</c:v>
                </c:pt>
                <c:pt idx="88">
                  <c:v>13.12</c:v>
                </c:pt>
                <c:pt idx="89">
                  <c:v>13.11</c:v>
                </c:pt>
                <c:pt idx="90">
                  <c:v>13.1</c:v>
                </c:pt>
                <c:pt idx="91">
                  <c:v>13.09</c:v>
                </c:pt>
                <c:pt idx="92">
                  <c:v>13.08</c:v>
                </c:pt>
                <c:pt idx="93">
                  <c:v>13.07</c:v>
                </c:pt>
                <c:pt idx="94">
                  <c:v>13.06</c:v>
                </c:pt>
                <c:pt idx="95">
                  <c:v>13.05</c:v>
                </c:pt>
                <c:pt idx="96">
                  <c:v>13.04</c:v>
                </c:pt>
                <c:pt idx="97">
                  <c:v>13.03</c:v>
                </c:pt>
                <c:pt idx="98">
                  <c:v>13.02</c:v>
                </c:pt>
                <c:pt idx="99">
                  <c:v>13.01</c:v>
                </c:pt>
                <c:pt idx="100">
                  <c:v>13</c:v>
                </c:pt>
                <c:pt idx="101">
                  <c:v>12.99</c:v>
                </c:pt>
                <c:pt idx="102">
                  <c:v>12.98</c:v>
                </c:pt>
                <c:pt idx="103">
                  <c:v>12.97</c:v>
                </c:pt>
                <c:pt idx="104">
                  <c:v>12.96</c:v>
                </c:pt>
                <c:pt idx="105">
                  <c:v>12.95</c:v>
                </c:pt>
                <c:pt idx="106">
                  <c:v>12.94</c:v>
                </c:pt>
                <c:pt idx="107">
                  <c:v>12.93</c:v>
                </c:pt>
                <c:pt idx="108">
                  <c:v>12.92</c:v>
                </c:pt>
                <c:pt idx="109">
                  <c:v>12.91</c:v>
                </c:pt>
                <c:pt idx="110">
                  <c:v>12.9</c:v>
                </c:pt>
                <c:pt idx="111">
                  <c:v>12.89</c:v>
                </c:pt>
                <c:pt idx="112">
                  <c:v>12.879999999999999</c:v>
                </c:pt>
                <c:pt idx="113">
                  <c:v>12.870000000000001</c:v>
                </c:pt>
                <c:pt idx="114">
                  <c:v>12.86</c:v>
                </c:pt>
                <c:pt idx="115">
                  <c:v>12.85</c:v>
                </c:pt>
                <c:pt idx="116">
                  <c:v>12.84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12.79</c:v>
                </c:pt>
                <c:pt idx="122">
                  <c:v>12.78</c:v>
                </c:pt>
                <c:pt idx="123">
                  <c:v>12.77</c:v>
                </c:pt>
                <c:pt idx="124">
                  <c:v>12.76</c:v>
                </c:pt>
                <c:pt idx="125">
                  <c:v>12.75</c:v>
                </c:pt>
                <c:pt idx="126">
                  <c:v>12.74</c:v>
                </c:pt>
                <c:pt idx="127">
                  <c:v>12.73</c:v>
                </c:pt>
                <c:pt idx="128">
                  <c:v>12.72</c:v>
                </c:pt>
                <c:pt idx="129">
                  <c:v>12.71</c:v>
                </c:pt>
                <c:pt idx="130">
                  <c:v>12.7</c:v>
                </c:pt>
                <c:pt idx="131">
                  <c:v>12.69</c:v>
                </c:pt>
                <c:pt idx="132">
                  <c:v>12.68</c:v>
                </c:pt>
                <c:pt idx="133">
                  <c:v>12.67</c:v>
                </c:pt>
                <c:pt idx="134">
                  <c:v>12.66</c:v>
                </c:pt>
                <c:pt idx="135">
                  <c:v>12.65</c:v>
                </c:pt>
                <c:pt idx="136">
                  <c:v>12.64</c:v>
                </c:pt>
                <c:pt idx="137">
                  <c:v>12.629999999999999</c:v>
                </c:pt>
                <c:pt idx="138">
                  <c:v>12.620000000000001</c:v>
                </c:pt>
                <c:pt idx="139">
                  <c:v>12.61</c:v>
                </c:pt>
                <c:pt idx="140">
                  <c:v>12.6</c:v>
                </c:pt>
                <c:pt idx="141">
                  <c:v>12.59</c:v>
                </c:pt>
                <c:pt idx="142">
                  <c:v>12.58</c:v>
                </c:pt>
                <c:pt idx="143">
                  <c:v>12.57</c:v>
                </c:pt>
                <c:pt idx="144">
                  <c:v>12.56</c:v>
                </c:pt>
                <c:pt idx="145">
                  <c:v>12.55</c:v>
                </c:pt>
                <c:pt idx="146">
                  <c:v>12.54</c:v>
                </c:pt>
                <c:pt idx="147">
                  <c:v>12.53</c:v>
                </c:pt>
                <c:pt idx="148">
                  <c:v>12.52</c:v>
                </c:pt>
                <c:pt idx="149">
                  <c:v>12.51</c:v>
                </c:pt>
                <c:pt idx="150">
                  <c:v>12.5</c:v>
                </c:pt>
                <c:pt idx="151">
                  <c:v>12.49</c:v>
                </c:pt>
                <c:pt idx="152">
                  <c:v>12.48</c:v>
                </c:pt>
                <c:pt idx="153">
                  <c:v>12.47</c:v>
                </c:pt>
                <c:pt idx="154">
                  <c:v>12.46</c:v>
                </c:pt>
                <c:pt idx="155">
                  <c:v>12.45</c:v>
                </c:pt>
                <c:pt idx="156">
                  <c:v>12.44</c:v>
                </c:pt>
                <c:pt idx="157">
                  <c:v>12.43</c:v>
                </c:pt>
                <c:pt idx="158">
                  <c:v>12.42</c:v>
                </c:pt>
                <c:pt idx="159">
                  <c:v>12.41</c:v>
                </c:pt>
                <c:pt idx="160">
                  <c:v>12.4</c:v>
                </c:pt>
                <c:pt idx="161">
                  <c:v>12.39</c:v>
                </c:pt>
                <c:pt idx="162">
                  <c:v>12.379999999999999</c:v>
                </c:pt>
                <c:pt idx="163">
                  <c:v>12.370000000000001</c:v>
                </c:pt>
                <c:pt idx="164">
                  <c:v>12.36</c:v>
                </c:pt>
                <c:pt idx="165">
                  <c:v>12.35</c:v>
                </c:pt>
                <c:pt idx="166">
                  <c:v>12.34</c:v>
                </c:pt>
                <c:pt idx="167">
                  <c:v>12.33</c:v>
                </c:pt>
                <c:pt idx="168">
                  <c:v>12.32</c:v>
                </c:pt>
                <c:pt idx="169">
                  <c:v>12.31</c:v>
                </c:pt>
                <c:pt idx="170">
                  <c:v>12.3</c:v>
                </c:pt>
                <c:pt idx="171">
                  <c:v>12.29</c:v>
                </c:pt>
                <c:pt idx="172">
                  <c:v>12.28</c:v>
                </c:pt>
                <c:pt idx="173">
                  <c:v>12.27</c:v>
                </c:pt>
                <c:pt idx="174">
                  <c:v>12.26</c:v>
                </c:pt>
                <c:pt idx="175">
                  <c:v>12.25</c:v>
                </c:pt>
                <c:pt idx="176">
                  <c:v>12.24</c:v>
                </c:pt>
                <c:pt idx="177">
                  <c:v>12.23</c:v>
                </c:pt>
                <c:pt idx="178">
                  <c:v>12.22</c:v>
                </c:pt>
                <c:pt idx="179">
                  <c:v>12.21</c:v>
                </c:pt>
                <c:pt idx="180">
                  <c:v>12.2</c:v>
                </c:pt>
                <c:pt idx="181">
                  <c:v>12.19</c:v>
                </c:pt>
                <c:pt idx="182">
                  <c:v>12.18</c:v>
                </c:pt>
                <c:pt idx="183">
                  <c:v>12.17</c:v>
                </c:pt>
                <c:pt idx="184">
                  <c:v>12.16</c:v>
                </c:pt>
                <c:pt idx="185">
                  <c:v>12.15</c:v>
                </c:pt>
                <c:pt idx="186">
                  <c:v>12.14</c:v>
                </c:pt>
                <c:pt idx="187">
                  <c:v>12.129999999999999</c:v>
                </c:pt>
                <c:pt idx="188">
                  <c:v>12.120000000000001</c:v>
                </c:pt>
                <c:pt idx="189">
                  <c:v>12.11</c:v>
                </c:pt>
                <c:pt idx="190">
                  <c:v>12.1</c:v>
                </c:pt>
                <c:pt idx="191">
                  <c:v>12.09</c:v>
                </c:pt>
                <c:pt idx="192">
                  <c:v>12.08</c:v>
                </c:pt>
                <c:pt idx="193">
                  <c:v>12.07</c:v>
                </c:pt>
                <c:pt idx="194">
                  <c:v>12.06</c:v>
                </c:pt>
                <c:pt idx="195">
                  <c:v>12.05</c:v>
                </c:pt>
                <c:pt idx="196">
                  <c:v>12.04</c:v>
                </c:pt>
                <c:pt idx="197">
                  <c:v>12.03</c:v>
                </c:pt>
                <c:pt idx="198">
                  <c:v>12.02</c:v>
                </c:pt>
                <c:pt idx="199">
                  <c:v>12.01</c:v>
                </c:pt>
                <c:pt idx="200">
                  <c:v>12</c:v>
                </c:pt>
                <c:pt idx="201">
                  <c:v>11.99</c:v>
                </c:pt>
                <c:pt idx="202">
                  <c:v>11.98</c:v>
                </c:pt>
                <c:pt idx="203">
                  <c:v>11.97</c:v>
                </c:pt>
                <c:pt idx="204">
                  <c:v>11.96</c:v>
                </c:pt>
                <c:pt idx="205">
                  <c:v>11.95</c:v>
                </c:pt>
                <c:pt idx="206">
                  <c:v>11.94</c:v>
                </c:pt>
                <c:pt idx="207">
                  <c:v>11.93</c:v>
                </c:pt>
                <c:pt idx="208">
                  <c:v>11.92</c:v>
                </c:pt>
                <c:pt idx="209">
                  <c:v>11.91</c:v>
                </c:pt>
                <c:pt idx="210">
                  <c:v>11.9</c:v>
                </c:pt>
                <c:pt idx="211">
                  <c:v>11.89</c:v>
                </c:pt>
                <c:pt idx="212">
                  <c:v>11.879999999999999</c:v>
                </c:pt>
                <c:pt idx="213">
                  <c:v>11.870000000000001</c:v>
                </c:pt>
                <c:pt idx="214">
                  <c:v>11.86</c:v>
                </c:pt>
                <c:pt idx="215">
                  <c:v>11.85</c:v>
                </c:pt>
                <c:pt idx="216">
                  <c:v>11.84</c:v>
                </c:pt>
                <c:pt idx="217">
                  <c:v>11.83</c:v>
                </c:pt>
                <c:pt idx="218">
                  <c:v>11.82</c:v>
                </c:pt>
                <c:pt idx="219">
                  <c:v>11.81</c:v>
                </c:pt>
                <c:pt idx="220">
                  <c:v>11.8</c:v>
                </c:pt>
                <c:pt idx="221">
                  <c:v>11.79</c:v>
                </c:pt>
                <c:pt idx="222">
                  <c:v>11.78</c:v>
                </c:pt>
                <c:pt idx="223">
                  <c:v>11.77</c:v>
                </c:pt>
                <c:pt idx="224">
                  <c:v>11.76</c:v>
                </c:pt>
                <c:pt idx="225">
                  <c:v>11.75</c:v>
                </c:pt>
                <c:pt idx="226">
                  <c:v>11.74</c:v>
                </c:pt>
                <c:pt idx="227">
                  <c:v>11.73</c:v>
                </c:pt>
                <c:pt idx="228">
                  <c:v>11.72</c:v>
                </c:pt>
                <c:pt idx="229">
                  <c:v>11.71</c:v>
                </c:pt>
                <c:pt idx="230">
                  <c:v>11.7</c:v>
                </c:pt>
                <c:pt idx="231">
                  <c:v>11.69</c:v>
                </c:pt>
                <c:pt idx="232">
                  <c:v>11.68</c:v>
                </c:pt>
                <c:pt idx="233">
                  <c:v>11.67</c:v>
                </c:pt>
                <c:pt idx="234">
                  <c:v>11.66</c:v>
                </c:pt>
                <c:pt idx="235">
                  <c:v>11.65</c:v>
                </c:pt>
                <c:pt idx="236">
                  <c:v>11.64</c:v>
                </c:pt>
                <c:pt idx="237">
                  <c:v>11.629999999999999</c:v>
                </c:pt>
                <c:pt idx="238">
                  <c:v>11.620000000000001</c:v>
                </c:pt>
                <c:pt idx="239">
                  <c:v>11.61</c:v>
                </c:pt>
                <c:pt idx="240">
                  <c:v>11.6</c:v>
                </c:pt>
                <c:pt idx="241">
                  <c:v>11.59</c:v>
                </c:pt>
                <c:pt idx="242">
                  <c:v>11.58</c:v>
                </c:pt>
                <c:pt idx="243">
                  <c:v>11.57</c:v>
                </c:pt>
                <c:pt idx="244">
                  <c:v>11.56</c:v>
                </c:pt>
                <c:pt idx="245">
                  <c:v>11.55</c:v>
                </c:pt>
                <c:pt idx="246">
                  <c:v>11.54</c:v>
                </c:pt>
                <c:pt idx="247">
                  <c:v>11.53</c:v>
                </c:pt>
                <c:pt idx="248">
                  <c:v>11.52</c:v>
                </c:pt>
                <c:pt idx="249">
                  <c:v>11.51</c:v>
                </c:pt>
                <c:pt idx="250">
                  <c:v>11.5</c:v>
                </c:pt>
                <c:pt idx="251">
                  <c:v>11.49</c:v>
                </c:pt>
                <c:pt idx="252">
                  <c:v>11.48</c:v>
                </c:pt>
                <c:pt idx="253">
                  <c:v>11.47</c:v>
                </c:pt>
                <c:pt idx="254">
                  <c:v>11.46</c:v>
                </c:pt>
                <c:pt idx="255">
                  <c:v>11.45</c:v>
                </c:pt>
                <c:pt idx="256">
                  <c:v>11.44</c:v>
                </c:pt>
                <c:pt idx="257">
                  <c:v>11.43</c:v>
                </c:pt>
                <c:pt idx="258">
                  <c:v>11.42</c:v>
                </c:pt>
                <c:pt idx="259">
                  <c:v>11.41</c:v>
                </c:pt>
                <c:pt idx="260">
                  <c:v>11.4</c:v>
                </c:pt>
                <c:pt idx="261">
                  <c:v>11.39</c:v>
                </c:pt>
                <c:pt idx="262">
                  <c:v>11.379999999999999</c:v>
                </c:pt>
                <c:pt idx="263">
                  <c:v>11.370000000000001</c:v>
                </c:pt>
                <c:pt idx="264">
                  <c:v>11.36</c:v>
                </c:pt>
                <c:pt idx="265">
                  <c:v>11.35</c:v>
                </c:pt>
                <c:pt idx="266">
                  <c:v>11.34</c:v>
                </c:pt>
                <c:pt idx="267">
                  <c:v>11.33</c:v>
                </c:pt>
                <c:pt idx="268">
                  <c:v>11.32</c:v>
                </c:pt>
                <c:pt idx="269">
                  <c:v>11.31</c:v>
                </c:pt>
                <c:pt idx="270">
                  <c:v>11.3</c:v>
                </c:pt>
                <c:pt idx="271">
                  <c:v>11.29</c:v>
                </c:pt>
                <c:pt idx="272">
                  <c:v>11.28</c:v>
                </c:pt>
                <c:pt idx="273">
                  <c:v>11.27</c:v>
                </c:pt>
                <c:pt idx="274">
                  <c:v>11.26</c:v>
                </c:pt>
                <c:pt idx="275">
                  <c:v>11.25</c:v>
                </c:pt>
                <c:pt idx="276">
                  <c:v>11.24</c:v>
                </c:pt>
                <c:pt idx="277">
                  <c:v>11.23</c:v>
                </c:pt>
                <c:pt idx="278">
                  <c:v>11.22</c:v>
                </c:pt>
                <c:pt idx="279">
                  <c:v>11.21</c:v>
                </c:pt>
                <c:pt idx="280">
                  <c:v>11.2</c:v>
                </c:pt>
                <c:pt idx="281">
                  <c:v>11.19</c:v>
                </c:pt>
                <c:pt idx="282">
                  <c:v>11.18</c:v>
                </c:pt>
                <c:pt idx="283">
                  <c:v>11.17</c:v>
                </c:pt>
                <c:pt idx="284">
                  <c:v>11.16</c:v>
                </c:pt>
                <c:pt idx="285">
                  <c:v>11.15</c:v>
                </c:pt>
                <c:pt idx="286">
                  <c:v>11.14</c:v>
                </c:pt>
                <c:pt idx="287">
                  <c:v>11.129999999999999</c:v>
                </c:pt>
                <c:pt idx="288">
                  <c:v>11.120000000000001</c:v>
                </c:pt>
                <c:pt idx="289">
                  <c:v>11.11</c:v>
                </c:pt>
                <c:pt idx="290">
                  <c:v>11.1</c:v>
                </c:pt>
                <c:pt idx="291">
                  <c:v>11.09</c:v>
                </c:pt>
                <c:pt idx="292">
                  <c:v>11.08</c:v>
                </c:pt>
                <c:pt idx="293">
                  <c:v>11.07</c:v>
                </c:pt>
                <c:pt idx="294">
                  <c:v>11.06</c:v>
                </c:pt>
                <c:pt idx="295">
                  <c:v>11.05</c:v>
                </c:pt>
                <c:pt idx="296">
                  <c:v>11.04</c:v>
                </c:pt>
                <c:pt idx="297">
                  <c:v>11.03</c:v>
                </c:pt>
                <c:pt idx="298">
                  <c:v>11.02</c:v>
                </c:pt>
                <c:pt idx="299">
                  <c:v>11.01</c:v>
                </c:pt>
                <c:pt idx="300">
                  <c:v>11</c:v>
                </c:pt>
                <c:pt idx="301">
                  <c:v>10.99</c:v>
                </c:pt>
                <c:pt idx="302">
                  <c:v>10.98</c:v>
                </c:pt>
                <c:pt idx="303">
                  <c:v>10.97</c:v>
                </c:pt>
                <c:pt idx="304">
                  <c:v>10.96</c:v>
                </c:pt>
                <c:pt idx="305">
                  <c:v>10.95</c:v>
                </c:pt>
                <c:pt idx="306">
                  <c:v>10.94</c:v>
                </c:pt>
                <c:pt idx="307">
                  <c:v>10.93</c:v>
                </c:pt>
                <c:pt idx="308">
                  <c:v>10.92</c:v>
                </c:pt>
                <c:pt idx="309">
                  <c:v>10.91</c:v>
                </c:pt>
                <c:pt idx="310">
                  <c:v>10.9</c:v>
                </c:pt>
                <c:pt idx="311">
                  <c:v>10.89</c:v>
                </c:pt>
                <c:pt idx="312">
                  <c:v>10.879999999999999</c:v>
                </c:pt>
                <c:pt idx="313">
                  <c:v>10.870000000000001</c:v>
                </c:pt>
                <c:pt idx="314">
                  <c:v>10.86</c:v>
                </c:pt>
                <c:pt idx="315">
                  <c:v>10.85</c:v>
                </c:pt>
                <c:pt idx="316">
                  <c:v>10.84</c:v>
                </c:pt>
                <c:pt idx="317">
                  <c:v>10.83</c:v>
                </c:pt>
                <c:pt idx="318">
                  <c:v>10.82</c:v>
                </c:pt>
                <c:pt idx="319">
                  <c:v>10.81</c:v>
                </c:pt>
                <c:pt idx="320">
                  <c:v>10.8</c:v>
                </c:pt>
                <c:pt idx="321">
                  <c:v>10.79</c:v>
                </c:pt>
                <c:pt idx="322">
                  <c:v>10.78</c:v>
                </c:pt>
                <c:pt idx="323">
                  <c:v>10.77</c:v>
                </c:pt>
                <c:pt idx="324">
                  <c:v>10.76</c:v>
                </c:pt>
                <c:pt idx="325">
                  <c:v>10.75</c:v>
                </c:pt>
                <c:pt idx="326">
                  <c:v>10.74</c:v>
                </c:pt>
                <c:pt idx="327">
                  <c:v>10.73</c:v>
                </c:pt>
                <c:pt idx="328">
                  <c:v>10.72</c:v>
                </c:pt>
                <c:pt idx="329">
                  <c:v>10.71</c:v>
                </c:pt>
                <c:pt idx="330">
                  <c:v>10.7</c:v>
                </c:pt>
                <c:pt idx="331">
                  <c:v>10.69</c:v>
                </c:pt>
                <c:pt idx="332">
                  <c:v>10.68</c:v>
                </c:pt>
                <c:pt idx="333">
                  <c:v>10.67</c:v>
                </c:pt>
                <c:pt idx="334">
                  <c:v>10.66</c:v>
                </c:pt>
                <c:pt idx="335">
                  <c:v>10.65</c:v>
                </c:pt>
                <c:pt idx="336">
                  <c:v>10.64</c:v>
                </c:pt>
                <c:pt idx="337">
                  <c:v>10.629999999999999</c:v>
                </c:pt>
                <c:pt idx="338">
                  <c:v>10.620000000000001</c:v>
                </c:pt>
                <c:pt idx="339">
                  <c:v>10.61</c:v>
                </c:pt>
                <c:pt idx="340">
                  <c:v>10.6</c:v>
                </c:pt>
                <c:pt idx="341">
                  <c:v>10.59</c:v>
                </c:pt>
                <c:pt idx="342">
                  <c:v>10.58</c:v>
                </c:pt>
                <c:pt idx="343">
                  <c:v>10.57</c:v>
                </c:pt>
                <c:pt idx="344">
                  <c:v>10.56</c:v>
                </c:pt>
                <c:pt idx="345">
                  <c:v>10.55</c:v>
                </c:pt>
                <c:pt idx="346">
                  <c:v>10.54</c:v>
                </c:pt>
                <c:pt idx="347">
                  <c:v>10.53</c:v>
                </c:pt>
                <c:pt idx="348">
                  <c:v>10.52</c:v>
                </c:pt>
                <c:pt idx="349">
                  <c:v>10.51</c:v>
                </c:pt>
                <c:pt idx="350">
                  <c:v>10.5</c:v>
                </c:pt>
                <c:pt idx="351">
                  <c:v>10.49</c:v>
                </c:pt>
                <c:pt idx="352">
                  <c:v>10.48</c:v>
                </c:pt>
                <c:pt idx="353">
                  <c:v>10.47</c:v>
                </c:pt>
                <c:pt idx="354">
                  <c:v>10.46</c:v>
                </c:pt>
                <c:pt idx="355">
                  <c:v>10.45</c:v>
                </c:pt>
                <c:pt idx="356">
                  <c:v>10.44</c:v>
                </c:pt>
                <c:pt idx="357">
                  <c:v>10.43</c:v>
                </c:pt>
                <c:pt idx="358">
                  <c:v>10.42</c:v>
                </c:pt>
                <c:pt idx="359">
                  <c:v>10.41</c:v>
                </c:pt>
                <c:pt idx="360">
                  <c:v>10.4</c:v>
                </c:pt>
                <c:pt idx="361">
                  <c:v>10.39</c:v>
                </c:pt>
                <c:pt idx="362">
                  <c:v>10.379999999999999</c:v>
                </c:pt>
                <c:pt idx="363">
                  <c:v>10.370000000000001</c:v>
                </c:pt>
                <c:pt idx="364">
                  <c:v>10.36</c:v>
                </c:pt>
                <c:pt idx="365">
                  <c:v>10.35</c:v>
                </c:pt>
                <c:pt idx="366">
                  <c:v>10.34</c:v>
                </c:pt>
                <c:pt idx="367">
                  <c:v>10.33</c:v>
                </c:pt>
                <c:pt idx="368">
                  <c:v>10.32</c:v>
                </c:pt>
                <c:pt idx="369">
                  <c:v>10.31</c:v>
                </c:pt>
                <c:pt idx="370">
                  <c:v>10.3</c:v>
                </c:pt>
                <c:pt idx="371">
                  <c:v>10.29</c:v>
                </c:pt>
                <c:pt idx="372">
                  <c:v>10.28</c:v>
                </c:pt>
                <c:pt idx="373">
                  <c:v>10.27</c:v>
                </c:pt>
                <c:pt idx="374">
                  <c:v>10.26</c:v>
                </c:pt>
                <c:pt idx="375">
                  <c:v>10.25</c:v>
                </c:pt>
                <c:pt idx="376">
                  <c:v>10.24</c:v>
                </c:pt>
                <c:pt idx="377">
                  <c:v>10.23</c:v>
                </c:pt>
                <c:pt idx="378">
                  <c:v>10.220000000000001</c:v>
                </c:pt>
                <c:pt idx="379">
                  <c:v>10.210000000000001</c:v>
                </c:pt>
                <c:pt idx="380">
                  <c:v>10.199999999999999</c:v>
                </c:pt>
                <c:pt idx="381">
                  <c:v>10.19</c:v>
                </c:pt>
                <c:pt idx="382">
                  <c:v>10.18</c:v>
                </c:pt>
                <c:pt idx="383">
                  <c:v>10.17</c:v>
                </c:pt>
                <c:pt idx="384">
                  <c:v>10.16</c:v>
                </c:pt>
                <c:pt idx="385">
                  <c:v>10.15</c:v>
                </c:pt>
                <c:pt idx="386">
                  <c:v>10.14</c:v>
                </c:pt>
                <c:pt idx="387">
                  <c:v>10.129999999999999</c:v>
                </c:pt>
                <c:pt idx="388">
                  <c:v>10.120000000000001</c:v>
                </c:pt>
                <c:pt idx="389">
                  <c:v>10.11</c:v>
                </c:pt>
                <c:pt idx="390">
                  <c:v>10.1</c:v>
                </c:pt>
                <c:pt idx="391">
                  <c:v>10.09</c:v>
                </c:pt>
                <c:pt idx="392">
                  <c:v>10.08</c:v>
                </c:pt>
                <c:pt idx="393">
                  <c:v>10.07</c:v>
                </c:pt>
                <c:pt idx="394">
                  <c:v>10.06</c:v>
                </c:pt>
                <c:pt idx="395">
                  <c:v>10.050000000000001</c:v>
                </c:pt>
                <c:pt idx="396">
                  <c:v>10.039999999999999</c:v>
                </c:pt>
                <c:pt idx="397">
                  <c:v>10.029999999999999</c:v>
                </c:pt>
                <c:pt idx="398">
                  <c:v>10.02</c:v>
                </c:pt>
                <c:pt idx="399">
                  <c:v>10.01</c:v>
                </c:pt>
                <c:pt idx="400">
                  <c:v>10</c:v>
                </c:pt>
                <c:pt idx="401">
                  <c:v>9.99</c:v>
                </c:pt>
                <c:pt idx="402">
                  <c:v>9.98</c:v>
                </c:pt>
                <c:pt idx="403">
                  <c:v>9.9699999999999989</c:v>
                </c:pt>
                <c:pt idx="404">
                  <c:v>9.9600000000000009</c:v>
                </c:pt>
                <c:pt idx="405">
                  <c:v>9.9499999999999993</c:v>
                </c:pt>
                <c:pt idx="406">
                  <c:v>9.9400000000000013</c:v>
                </c:pt>
                <c:pt idx="407">
                  <c:v>9.93</c:v>
                </c:pt>
                <c:pt idx="408">
                  <c:v>9.92</c:v>
                </c:pt>
                <c:pt idx="409">
                  <c:v>9.91</c:v>
                </c:pt>
                <c:pt idx="410">
                  <c:v>9.9</c:v>
                </c:pt>
                <c:pt idx="411">
                  <c:v>9.89</c:v>
                </c:pt>
                <c:pt idx="412">
                  <c:v>9.879999999999999</c:v>
                </c:pt>
                <c:pt idx="413">
                  <c:v>9.870000000000001</c:v>
                </c:pt>
                <c:pt idx="414">
                  <c:v>9.86</c:v>
                </c:pt>
                <c:pt idx="415">
                  <c:v>9.85</c:v>
                </c:pt>
                <c:pt idx="416">
                  <c:v>9.84</c:v>
                </c:pt>
                <c:pt idx="417">
                  <c:v>9.83</c:v>
                </c:pt>
                <c:pt idx="418">
                  <c:v>9.82</c:v>
                </c:pt>
                <c:pt idx="419">
                  <c:v>9.8099999999999987</c:v>
                </c:pt>
                <c:pt idx="420">
                  <c:v>9.8000000000000007</c:v>
                </c:pt>
                <c:pt idx="421">
                  <c:v>9.7899999999999991</c:v>
                </c:pt>
                <c:pt idx="422">
                  <c:v>9.7800000000000011</c:v>
                </c:pt>
                <c:pt idx="423">
                  <c:v>9.77</c:v>
                </c:pt>
                <c:pt idx="424">
                  <c:v>9.76</c:v>
                </c:pt>
                <c:pt idx="425">
                  <c:v>9.75</c:v>
                </c:pt>
                <c:pt idx="426">
                  <c:v>9.74</c:v>
                </c:pt>
                <c:pt idx="427">
                  <c:v>9.73</c:v>
                </c:pt>
                <c:pt idx="428">
                  <c:v>9.7199999999999989</c:v>
                </c:pt>
                <c:pt idx="429">
                  <c:v>9.7100000000000009</c:v>
                </c:pt>
                <c:pt idx="430">
                  <c:v>9.6999999999999993</c:v>
                </c:pt>
                <c:pt idx="431">
                  <c:v>9.6900000000000013</c:v>
                </c:pt>
                <c:pt idx="432">
                  <c:v>9.68</c:v>
                </c:pt>
                <c:pt idx="433">
                  <c:v>9.67</c:v>
                </c:pt>
                <c:pt idx="434">
                  <c:v>9.66</c:v>
                </c:pt>
                <c:pt idx="435">
                  <c:v>9.65</c:v>
                </c:pt>
                <c:pt idx="436">
                  <c:v>9.64</c:v>
                </c:pt>
                <c:pt idx="437">
                  <c:v>9.629999999999999</c:v>
                </c:pt>
                <c:pt idx="438">
                  <c:v>9.620000000000001</c:v>
                </c:pt>
                <c:pt idx="439">
                  <c:v>9.61</c:v>
                </c:pt>
                <c:pt idx="440">
                  <c:v>9.6</c:v>
                </c:pt>
                <c:pt idx="441">
                  <c:v>9.59</c:v>
                </c:pt>
                <c:pt idx="442">
                  <c:v>9.58</c:v>
                </c:pt>
                <c:pt idx="443">
                  <c:v>9.57</c:v>
                </c:pt>
                <c:pt idx="444">
                  <c:v>9.5599999999999987</c:v>
                </c:pt>
                <c:pt idx="445">
                  <c:v>9.5500000000000007</c:v>
                </c:pt>
                <c:pt idx="446">
                  <c:v>9.5399999999999991</c:v>
                </c:pt>
                <c:pt idx="447">
                  <c:v>9.5300000000000011</c:v>
                </c:pt>
                <c:pt idx="448">
                  <c:v>9.52</c:v>
                </c:pt>
                <c:pt idx="449">
                  <c:v>9.51</c:v>
                </c:pt>
                <c:pt idx="450">
                  <c:v>9.5</c:v>
                </c:pt>
                <c:pt idx="451">
                  <c:v>9.49</c:v>
                </c:pt>
                <c:pt idx="452">
                  <c:v>9.48</c:v>
                </c:pt>
                <c:pt idx="453">
                  <c:v>9.4699999999999989</c:v>
                </c:pt>
                <c:pt idx="454">
                  <c:v>9.4600000000000009</c:v>
                </c:pt>
                <c:pt idx="455">
                  <c:v>9.4499999999999993</c:v>
                </c:pt>
                <c:pt idx="456">
                  <c:v>9.4400000000000013</c:v>
                </c:pt>
                <c:pt idx="457">
                  <c:v>9.43</c:v>
                </c:pt>
                <c:pt idx="458">
                  <c:v>9.42</c:v>
                </c:pt>
                <c:pt idx="459">
                  <c:v>9.41</c:v>
                </c:pt>
                <c:pt idx="460">
                  <c:v>9.4</c:v>
                </c:pt>
                <c:pt idx="461">
                  <c:v>9.39</c:v>
                </c:pt>
                <c:pt idx="462">
                  <c:v>9.379999999999999</c:v>
                </c:pt>
                <c:pt idx="463">
                  <c:v>9.370000000000001</c:v>
                </c:pt>
                <c:pt idx="464">
                  <c:v>9.36</c:v>
                </c:pt>
                <c:pt idx="465">
                  <c:v>9.35</c:v>
                </c:pt>
                <c:pt idx="466">
                  <c:v>9.34</c:v>
                </c:pt>
                <c:pt idx="467">
                  <c:v>9.33</c:v>
                </c:pt>
                <c:pt idx="468">
                  <c:v>9.32</c:v>
                </c:pt>
                <c:pt idx="469">
                  <c:v>9.3099999999999987</c:v>
                </c:pt>
                <c:pt idx="470">
                  <c:v>9.3000000000000007</c:v>
                </c:pt>
                <c:pt idx="471">
                  <c:v>9.2899999999999991</c:v>
                </c:pt>
                <c:pt idx="472">
                  <c:v>9.2800000000000011</c:v>
                </c:pt>
                <c:pt idx="473">
                  <c:v>9.27</c:v>
                </c:pt>
                <c:pt idx="474">
                  <c:v>9.26</c:v>
                </c:pt>
                <c:pt idx="475">
                  <c:v>9.25</c:v>
                </c:pt>
                <c:pt idx="476">
                  <c:v>9.24</c:v>
                </c:pt>
                <c:pt idx="477">
                  <c:v>9.23</c:v>
                </c:pt>
                <c:pt idx="478">
                  <c:v>9.2199999999999989</c:v>
                </c:pt>
                <c:pt idx="479">
                  <c:v>9.2100000000000009</c:v>
                </c:pt>
                <c:pt idx="480">
                  <c:v>9.1999999999999993</c:v>
                </c:pt>
                <c:pt idx="481">
                  <c:v>9.1900000000000013</c:v>
                </c:pt>
                <c:pt idx="482">
                  <c:v>9.18</c:v>
                </c:pt>
                <c:pt idx="483">
                  <c:v>9.17</c:v>
                </c:pt>
                <c:pt idx="484">
                  <c:v>9.16</c:v>
                </c:pt>
                <c:pt idx="485">
                  <c:v>9.15</c:v>
                </c:pt>
                <c:pt idx="486">
                  <c:v>9.14</c:v>
                </c:pt>
                <c:pt idx="487">
                  <c:v>9.129999999999999</c:v>
                </c:pt>
                <c:pt idx="488">
                  <c:v>9.120000000000001</c:v>
                </c:pt>
                <c:pt idx="489">
                  <c:v>9.11</c:v>
                </c:pt>
                <c:pt idx="490">
                  <c:v>9.1</c:v>
                </c:pt>
                <c:pt idx="491">
                  <c:v>9.09</c:v>
                </c:pt>
                <c:pt idx="492">
                  <c:v>9.08</c:v>
                </c:pt>
                <c:pt idx="493">
                  <c:v>9.07</c:v>
                </c:pt>
                <c:pt idx="494">
                  <c:v>9.0599999999999987</c:v>
                </c:pt>
                <c:pt idx="495">
                  <c:v>9.0500000000000007</c:v>
                </c:pt>
                <c:pt idx="496">
                  <c:v>9.0399999999999991</c:v>
                </c:pt>
                <c:pt idx="497">
                  <c:v>9.0300000000000011</c:v>
                </c:pt>
                <c:pt idx="498">
                  <c:v>9.02</c:v>
                </c:pt>
                <c:pt idx="499">
                  <c:v>9.01</c:v>
                </c:pt>
                <c:pt idx="500">
                  <c:v>9</c:v>
                </c:pt>
                <c:pt idx="501">
                  <c:v>8.99</c:v>
                </c:pt>
                <c:pt idx="502">
                  <c:v>8.98</c:v>
                </c:pt>
                <c:pt idx="503">
                  <c:v>8.9699999999999989</c:v>
                </c:pt>
                <c:pt idx="504">
                  <c:v>8.9600000000000009</c:v>
                </c:pt>
                <c:pt idx="505">
                  <c:v>8.9499999999999993</c:v>
                </c:pt>
                <c:pt idx="506">
                  <c:v>8.9400000000000013</c:v>
                </c:pt>
                <c:pt idx="507">
                  <c:v>8.93</c:v>
                </c:pt>
                <c:pt idx="508">
                  <c:v>8.92</c:v>
                </c:pt>
                <c:pt idx="509">
                  <c:v>8.91</c:v>
                </c:pt>
                <c:pt idx="510">
                  <c:v>8.9</c:v>
                </c:pt>
                <c:pt idx="511">
                  <c:v>8.89</c:v>
                </c:pt>
                <c:pt idx="512">
                  <c:v>8.879999999999999</c:v>
                </c:pt>
                <c:pt idx="513">
                  <c:v>8.870000000000001</c:v>
                </c:pt>
                <c:pt idx="514">
                  <c:v>8.86</c:v>
                </c:pt>
                <c:pt idx="515">
                  <c:v>8.85</c:v>
                </c:pt>
                <c:pt idx="516">
                  <c:v>8.84</c:v>
                </c:pt>
                <c:pt idx="517">
                  <c:v>8.83</c:v>
                </c:pt>
                <c:pt idx="518">
                  <c:v>8.82</c:v>
                </c:pt>
                <c:pt idx="519">
                  <c:v>8.8099999999999987</c:v>
                </c:pt>
                <c:pt idx="520">
                  <c:v>8.8000000000000007</c:v>
                </c:pt>
                <c:pt idx="521">
                  <c:v>8.7899999999999991</c:v>
                </c:pt>
                <c:pt idx="522">
                  <c:v>8.7800000000000011</c:v>
                </c:pt>
                <c:pt idx="523">
                  <c:v>8.77</c:v>
                </c:pt>
                <c:pt idx="524">
                  <c:v>8.76</c:v>
                </c:pt>
                <c:pt idx="525">
                  <c:v>8.75</c:v>
                </c:pt>
                <c:pt idx="526">
                  <c:v>8.74</c:v>
                </c:pt>
                <c:pt idx="527">
                  <c:v>8.73</c:v>
                </c:pt>
                <c:pt idx="528">
                  <c:v>8.7199999999999989</c:v>
                </c:pt>
                <c:pt idx="529">
                  <c:v>8.7100000000000009</c:v>
                </c:pt>
                <c:pt idx="530">
                  <c:v>8.6999999999999993</c:v>
                </c:pt>
                <c:pt idx="531">
                  <c:v>8.6900000000000013</c:v>
                </c:pt>
                <c:pt idx="532">
                  <c:v>8.68</c:v>
                </c:pt>
                <c:pt idx="533">
                  <c:v>8.67</c:v>
                </c:pt>
                <c:pt idx="534">
                  <c:v>8.66</c:v>
                </c:pt>
                <c:pt idx="535">
                  <c:v>8.65</c:v>
                </c:pt>
                <c:pt idx="536">
                  <c:v>8.64</c:v>
                </c:pt>
                <c:pt idx="537">
                  <c:v>8.629999999999999</c:v>
                </c:pt>
                <c:pt idx="538">
                  <c:v>8.620000000000001</c:v>
                </c:pt>
                <c:pt idx="539">
                  <c:v>8.61</c:v>
                </c:pt>
                <c:pt idx="540">
                  <c:v>8.6</c:v>
                </c:pt>
                <c:pt idx="541">
                  <c:v>8.59</c:v>
                </c:pt>
                <c:pt idx="542">
                  <c:v>8.58</c:v>
                </c:pt>
                <c:pt idx="543">
                  <c:v>8.57</c:v>
                </c:pt>
                <c:pt idx="544">
                  <c:v>8.5599999999999987</c:v>
                </c:pt>
                <c:pt idx="545">
                  <c:v>8.5500000000000007</c:v>
                </c:pt>
                <c:pt idx="546">
                  <c:v>8.5399999999999991</c:v>
                </c:pt>
                <c:pt idx="547">
                  <c:v>8.5300000000000011</c:v>
                </c:pt>
                <c:pt idx="548">
                  <c:v>8.52</c:v>
                </c:pt>
                <c:pt idx="549">
                  <c:v>8.51</c:v>
                </c:pt>
                <c:pt idx="550">
                  <c:v>8.5</c:v>
                </c:pt>
                <c:pt idx="551">
                  <c:v>8.49</c:v>
                </c:pt>
                <c:pt idx="552">
                  <c:v>8.48</c:v>
                </c:pt>
                <c:pt idx="553">
                  <c:v>8.4699999999999989</c:v>
                </c:pt>
                <c:pt idx="554">
                  <c:v>8.4600000000000009</c:v>
                </c:pt>
                <c:pt idx="555">
                  <c:v>8.4499999999999993</c:v>
                </c:pt>
                <c:pt idx="556">
                  <c:v>8.4400000000000013</c:v>
                </c:pt>
                <c:pt idx="557">
                  <c:v>8.43</c:v>
                </c:pt>
                <c:pt idx="558">
                  <c:v>8.42</c:v>
                </c:pt>
                <c:pt idx="559">
                  <c:v>8.41</c:v>
                </c:pt>
                <c:pt idx="560">
                  <c:v>8.4</c:v>
                </c:pt>
                <c:pt idx="561">
                  <c:v>8.39</c:v>
                </c:pt>
                <c:pt idx="562">
                  <c:v>8.379999999999999</c:v>
                </c:pt>
                <c:pt idx="563">
                  <c:v>8.370000000000001</c:v>
                </c:pt>
                <c:pt idx="564">
                  <c:v>8.36</c:v>
                </c:pt>
                <c:pt idx="565">
                  <c:v>8.35</c:v>
                </c:pt>
                <c:pt idx="566">
                  <c:v>8.34</c:v>
                </c:pt>
                <c:pt idx="567">
                  <c:v>8.33</c:v>
                </c:pt>
                <c:pt idx="568">
                  <c:v>8.32</c:v>
                </c:pt>
                <c:pt idx="569">
                  <c:v>8.3099999999999987</c:v>
                </c:pt>
                <c:pt idx="570">
                  <c:v>8.3000000000000007</c:v>
                </c:pt>
                <c:pt idx="571">
                  <c:v>8.2899999999999991</c:v>
                </c:pt>
                <c:pt idx="572">
                  <c:v>8.2800000000000011</c:v>
                </c:pt>
                <c:pt idx="573">
                  <c:v>8.27</c:v>
                </c:pt>
                <c:pt idx="574">
                  <c:v>8.26</c:v>
                </c:pt>
                <c:pt idx="575">
                  <c:v>8.25</c:v>
                </c:pt>
                <c:pt idx="576">
                  <c:v>8.24</c:v>
                </c:pt>
                <c:pt idx="577">
                  <c:v>8.23</c:v>
                </c:pt>
                <c:pt idx="578">
                  <c:v>8.2199999999999989</c:v>
                </c:pt>
                <c:pt idx="579">
                  <c:v>8.2100000000000009</c:v>
                </c:pt>
                <c:pt idx="580">
                  <c:v>8.1999999999999993</c:v>
                </c:pt>
                <c:pt idx="581">
                  <c:v>8.1900000000000013</c:v>
                </c:pt>
                <c:pt idx="582">
                  <c:v>8.18</c:v>
                </c:pt>
                <c:pt idx="583">
                  <c:v>8.17</c:v>
                </c:pt>
                <c:pt idx="584">
                  <c:v>8.16</c:v>
                </c:pt>
                <c:pt idx="585">
                  <c:v>8.15</c:v>
                </c:pt>
                <c:pt idx="586">
                  <c:v>8.14</c:v>
                </c:pt>
                <c:pt idx="587">
                  <c:v>8.129999999999999</c:v>
                </c:pt>
                <c:pt idx="588">
                  <c:v>8.120000000000001</c:v>
                </c:pt>
                <c:pt idx="589">
                  <c:v>8.11</c:v>
                </c:pt>
                <c:pt idx="590">
                  <c:v>8.1</c:v>
                </c:pt>
                <c:pt idx="591">
                  <c:v>8.09</c:v>
                </c:pt>
                <c:pt idx="592">
                  <c:v>8.08</c:v>
                </c:pt>
                <c:pt idx="593">
                  <c:v>8.07</c:v>
                </c:pt>
                <c:pt idx="594">
                  <c:v>8.0599999999999987</c:v>
                </c:pt>
                <c:pt idx="595">
                  <c:v>8.0500000000000007</c:v>
                </c:pt>
                <c:pt idx="596">
                  <c:v>8.0399999999999991</c:v>
                </c:pt>
                <c:pt idx="597">
                  <c:v>8.0300000000000011</c:v>
                </c:pt>
                <c:pt idx="598">
                  <c:v>8.02</c:v>
                </c:pt>
                <c:pt idx="599">
                  <c:v>8.01</c:v>
                </c:pt>
                <c:pt idx="600">
                  <c:v>8</c:v>
                </c:pt>
                <c:pt idx="601">
                  <c:v>7.99</c:v>
                </c:pt>
                <c:pt idx="602">
                  <c:v>7.98</c:v>
                </c:pt>
                <c:pt idx="603">
                  <c:v>7.97</c:v>
                </c:pt>
                <c:pt idx="604">
                  <c:v>7.96</c:v>
                </c:pt>
                <c:pt idx="605">
                  <c:v>7.95</c:v>
                </c:pt>
                <c:pt idx="606">
                  <c:v>7.94</c:v>
                </c:pt>
                <c:pt idx="607">
                  <c:v>7.93</c:v>
                </c:pt>
                <c:pt idx="608">
                  <c:v>7.92</c:v>
                </c:pt>
                <c:pt idx="609">
                  <c:v>7.91</c:v>
                </c:pt>
                <c:pt idx="610">
                  <c:v>7.9</c:v>
                </c:pt>
                <c:pt idx="611">
                  <c:v>7.89</c:v>
                </c:pt>
                <c:pt idx="612">
                  <c:v>7.88</c:v>
                </c:pt>
                <c:pt idx="613">
                  <c:v>7.87</c:v>
                </c:pt>
                <c:pt idx="614">
                  <c:v>7.86</c:v>
                </c:pt>
                <c:pt idx="615">
                  <c:v>7.85</c:v>
                </c:pt>
                <c:pt idx="616">
                  <c:v>7.84</c:v>
                </c:pt>
                <c:pt idx="617">
                  <c:v>7.83</c:v>
                </c:pt>
                <c:pt idx="618">
                  <c:v>7.82</c:v>
                </c:pt>
                <c:pt idx="619">
                  <c:v>7.81</c:v>
                </c:pt>
                <c:pt idx="620">
                  <c:v>7.8</c:v>
                </c:pt>
                <c:pt idx="621">
                  <c:v>7.79</c:v>
                </c:pt>
                <c:pt idx="622">
                  <c:v>7.78</c:v>
                </c:pt>
                <c:pt idx="623">
                  <c:v>7.77</c:v>
                </c:pt>
                <c:pt idx="624">
                  <c:v>7.76</c:v>
                </c:pt>
                <c:pt idx="625">
                  <c:v>7.75</c:v>
                </c:pt>
                <c:pt idx="626">
                  <c:v>7.74</c:v>
                </c:pt>
                <c:pt idx="627">
                  <c:v>7.73</c:v>
                </c:pt>
                <c:pt idx="628">
                  <c:v>7.72</c:v>
                </c:pt>
                <c:pt idx="629">
                  <c:v>7.71</c:v>
                </c:pt>
                <c:pt idx="630">
                  <c:v>7.7</c:v>
                </c:pt>
                <c:pt idx="631">
                  <c:v>7.69</c:v>
                </c:pt>
                <c:pt idx="632">
                  <c:v>7.68</c:v>
                </c:pt>
                <c:pt idx="633">
                  <c:v>7.67</c:v>
                </c:pt>
                <c:pt idx="634">
                  <c:v>7.66</c:v>
                </c:pt>
                <c:pt idx="635">
                  <c:v>7.65</c:v>
                </c:pt>
                <c:pt idx="636">
                  <c:v>7.64</c:v>
                </c:pt>
                <c:pt idx="637">
                  <c:v>7.63</c:v>
                </c:pt>
                <c:pt idx="638">
                  <c:v>7.62</c:v>
                </c:pt>
                <c:pt idx="639">
                  <c:v>7.61</c:v>
                </c:pt>
                <c:pt idx="640">
                  <c:v>7.6</c:v>
                </c:pt>
                <c:pt idx="641">
                  <c:v>7.59</c:v>
                </c:pt>
                <c:pt idx="642">
                  <c:v>7.58</c:v>
                </c:pt>
                <c:pt idx="643">
                  <c:v>7.57</c:v>
                </c:pt>
                <c:pt idx="644">
                  <c:v>7.56</c:v>
                </c:pt>
                <c:pt idx="645">
                  <c:v>7.55</c:v>
                </c:pt>
                <c:pt idx="646">
                  <c:v>7.54</c:v>
                </c:pt>
                <c:pt idx="647">
                  <c:v>7.53</c:v>
                </c:pt>
                <c:pt idx="648">
                  <c:v>7.52</c:v>
                </c:pt>
                <c:pt idx="649">
                  <c:v>7.51</c:v>
                </c:pt>
                <c:pt idx="650">
                  <c:v>7.5</c:v>
                </c:pt>
                <c:pt idx="651">
                  <c:v>7.49</c:v>
                </c:pt>
                <c:pt idx="652">
                  <c:v>7.48</c:v>
                </c:pt>
                <c:pt idx="653">
                  <c:v>7.47</c:v>
                </c:pt>
                <c:pt idx="654">
                  <c:v>7.46</c:v>
                </c:pt>
                <c:pt idx="655">
                  <c:v>7.45</c:v>
                </c:pt>
                <c:pt idx="656">
                  <c:v>7.44</c:v>
                </c:pt>
                <c:pt idx="657">
                  <c:v>7.43</c:v>
                </c:pt>
                <c:pt idx="658">
                  <c:v>7.42</c:v>
                </c:pt>
                <c:pt idx="659">
                  <c:v>7.41</c:v>
                </c:pt>
                <c:pt idx="660">
                  <c:v>7.4</c:v>
                </c:pt>
                <c:pt idx="661">
                  <c:v>7.39</c:v>
                </c:pt>
                <c:pt idx="662">
                  <c:v>7.38</c:v>
                </c:pt>
                <c:pt idx="663">
                  <c:v>7.37</c:v>
                </c:pt>
                <c:pt idx="664">
                  <c:v>7.36</c:v>
                </c:pt>
                <c:pt idx="665">
                  <c:v>7.35</c:v>
                </c:pt>
                <c:pt idx="666">
                  <c:v>7.34</c:v>
                </c:pt>
                <c:pt idx="667">
                  <c:v>7.33</c:v>
                </c:pt>
                <c:pt idx="668">
                  <c:v>7.32</c:v>
                </c:pt>
                <c:pt idx="669">
                  <c:v>7.31</c:v>
                </c:pt>
                <c:pt idx="670">
                  <c:v>7.3</c:v>
                </c:pt>
                <c:pt idx="671">
                  <c:v>7.29</c:v>
                </c:pt>
                <c:pt idx="672">
                  <c:v>7.28</c:v>
                </c:pt>
                <c:pt idx="673">
                  <c:v>7.27</c:v>
                </c:pt>
                <c:pt idx="674">
                  <c:v>7.26</c:v>
                </c:pt>
                <c:pt idx="675">
                  <c:v>7.25</c:v>
                </c:pt>
                <c:pt idx="676">
                  <c:v>7.24</c:v>
                </c:pt>
                <c:pt idx="677">
                  <c:v>7.23</c:v>
                </c:pt>
                <c:pt idx="678">
                  <c:v>7.22</c:v>
                </c:pt>
                <c:pt idx="679">
                  <c:v>7.21</c:v>
                </c:pt>
                <c:pt idx="680">
                  <c:v>7.2</c:v>
                </c:pt>
                <c:pt idx="681">
                  <c:v>7.19</c:v>
                </c:pt>
                <c:pt idx="682">
                  <c:v>7.18</c:v>
                </c:pt>
                <c:pt idx="683">
                  <c:v>7.17</c:v>
                </c:pt>
                <c:pt idx="684">
                  <c:v>7.16</c:v>
                </c:pt>
                <c:pt idx="685">
                  <c:v>7.15</c:v>
                </c:pt>
                <c:pt idx="686">
                  <c:v>7.14</c:v>
                </c:pt>
                <c:pt idx="687">
                  <c:v>7.13</c:v>
                </c:pt>
                <c:pt idx="688">
                  <c:v>7.12</c:v>
                </c:pt>
                <c:pt idx="689">
                  <c:v>7.11</c:v>
                </c:pt>
                <c:pt idx="690">
                  <c:v>7.1</c:v>
                </c:pt>
                <c:pt idx="691">
                  <c:v>7.09</c:v>
                </c:pt>
                <c:pt idx="692">
                  <c:v>7.08</c:v>
                </c:pt>
                <c:pt idx="693">
                  <c:v>7.07</c:v>
                </c:pt>
                <c:pt idx="694">
                  <c:v>7.06</c:v>
                </c:pt>
                <c:pt idx="695">
                  <c:v>7.05</c:v>
                </c:pt>
                <c:pt idx="696">
                  <c:v>7.04</c:v>
                </c:pt>
                <c:pt idx="697">
                  <c:v>7.03</c:v>
                </c:pt>
                <c:pt idx="698">
                  <c:v>7.02</c:v>
                </c:pt>
                <c:pt idx="699">
                  <c:v>7.01</c:v>
                </c:pt>
                <c:pt idx="700">
                  <c:v>7</c:v>
                </c:pt>
                <c:pt idx="701">
                  <c:v>6.99</c:v>
                </c:pt>
                <c:pt idx="702">
                  <c:v>6.98</c:v>
                </c:pt>
                <c:pt idx="703">
                  <c:v>6.97</c:v>
                </c:pt>
                <c:pt idx="704">
                  <c:v>6.96</c:v>
                </c:pt>
                <c:pt idx="705">
                  <c:v>6.95</c:v>
                </c:pt>
                <c:pt idx="706">
                  <c:v>6.94</c:v>
                </c:pt>
                <c:pt idx="707">
                  <c:v>6.93</c:v>
                </c:pt>
                <c:pt idx="708">
                  <c:v>6.92</c:v>
                </c:pt>
                <c:pt idx="709">
                  <c:v>6.91</c:v>
                </c:pt>
                <c:pt idx="710">
                  <c:v>6.9</c:v>
                </c:pt>
                <c:pt idx="711">
                  <c:v>6.89</c:v>
                </c:pt>
                <c:pt idx="712">
                  <c:v>6.88</c:v>
                </c:pt>
                <c:pt idx="713">
                  <c:v>6.87</c:v>
                </c:pt>
                <c:pt idx="714">
                  <c:v>6.86</c:v>
                </c:pt>
                <c:pt idx="715">
                  <c:v>6.85</c:v>
                </c:pt>
                <c:pt idx="716">
                  <c:v>6.84</c:v>
                </c:pt>
                <c:pt idx="717">
                  <c:v>6.83</c:v>
                </c:pt>
                <c:pt idx="718">
                  <c:v>6.82</c:v>
                </c:pt>
                <c:pt idx="719">
                  <c:v>6.81</c:v>
                </c:pt>
                <c:pt idx="720">
                  <c:v>6.8</c:v>
                </c:pt>
                <c:pt idx="721">
                  <c:v>6.79</c:v>
                </c:pt>
                <c:pt idx="722">
                  <c:v>6.78</c:v>
                </c:pt>
                <c:pt idx="723">
                  <c:v>6.77</c:v>
                </c:pt>
                <c:pt idx="724">
                  <c:v>6.76</c:v>
                </c:pt>
                <c:pt idx="725">
                  <c:v>6.75</c:v>
                </c:pt>
                <c:pt idx="726">
                  <c:v>6.74</c:v>
                </c:pt>
                <c:pt idx="727">
                  <c:v>6.73</c:v>
                </c:pt>
                <c:pt idx="728">
                  <c:v>6.72</c:v>
                </c:pt>
                <c:pt idx="729">
                  <c:v>6.71</c:v>
                </c:pt>
                <c:pt idx="730">
                  <c:v>6.7</c:v>
                </c:pt>
                <c:pt idx="731">
                  <c:v>6.69</c:v>
                </c:pt>
                <c:pt idx="732">
                  <c:v>6.68</c:v>
                </c:pt>
                <c:pt idx="733">
                  <c:v>6.67</c:v>
                </c:pt>
                <c:pt idx="734">
                  <c:v>6.66</c:v>
                </c:pt>
                <c:pt idx="735">
                  <c:v>6.65</c:v>
                </c:pt>
                <c:pt idx="736">
                  <c:v>6.64</c:v>
                </c:pt>
                <c:pt idx="737">
                  <c:v>6.63</c:v>
                </c:pt>
                <c:pt idx="738">
                  <c:v>6.62</c:v>
                </c:pt>
                <c:pt idx="739">
                  <c:v>6.61</c:v>
                </c:pt>
                <c:pt idx="740">
                  <c:v>6.6</c:v>
                </c:pt>
                <c:pt idx="741">
                  <c:v>6.59</c:v>
                </c:pt>
                <c:pt idx="742">
                  <c:v>6.58</c:v>
                </c:pt>
                <c:pt idx="743">
                  <c:v>6.57</c:v>
                </c:pt>
                <c:pt idx="744">
                  <c:v>6.56</c:v>
                </c:pt>
                <c:pt idx="745">
                  <c:v>6.55</c:v>
                </c:pt>
                <c:pt idx="746">
                  <c:v>6.54</c:v>
                </c:pt>
                <c:pt idx="747">
                  <c:v>6.53</c:v>
                </c:pt>
                <c:pt idx="748">
                  <c:v>6.52</c:v>
                </c:pt>
                <c:pt idx="749">
                  <c:v>6.51</c:v>
                </c:pt>
                <c:pt idx="750">
                  <c:v>6.5</c:v>
                </c:pt>
                <c:pt idx="751">
                  <c:v>6.49</c:v>
                </c:pt>
                <c:pt idx="752">
                  <c:v>6.48</c:v>
                </c:pt>
                <c:pt idx="753">
                  <c:v>6.47</c:v>
                </c:pt>
                <c:pt idx="754">
                  <c:v>6.46</c:v>
                </c:pt>
                <c:pt idx="755">
                  <c:v>6.45</c:v>
                </c:pt>
                <c:pt idx="756">
                  <c:v>6.44</c:v>
                </c:pt>
                <c:pt idx="757">
                  <c:v>6.43</c:v>
                </c:pt>
                <c:pt idx="758">
                  <c:v>6.42</c:v>
                </c:pt>
                <c:pt idx="759">
                  <c:v>6.41</c:v>
                </c:pt>
                <c:pt idx="760">
                  <c:v>6.4</c:v>
                </c:pt>
                <c:pt idx="761">
                  <c:v>6.39</c:v>
                </c:pt>
                <c:pt idx="762">
                  <c:v>6.38</c:v>
                </c:pt>
                <c:pt idx="763">
                  <c:v>6.37</c:v>
                </c:pt>
                <c:pt idx="764">
                  <c:v>6.36</c:v>
                </c:pt>
                <c:pt idx="765">
                  <c:v>6.35</c:v>
                </c:pt>
                <c:pt idx="766">
                  <c:v>6.34</c:v>
                </c:pt>
                <c:pt idx="767">
                  <c:v>6.33</c:v>
                </c:pt>
                <c:pt idx="768">
                  <c:v>6.32</c:v>
                </c:pt>
                <c:pt idx="769">
                  <c:v>6.31</c:v>
                </c:pt>
                <c:pt idx="770">
                  <c:v>6.3</c:v>
                </c:pt>
                <c:pt idx="771">
                  <c:v>6.29</c:v>
                </c:pt>
                <c:pt idx="772">
                  <c:v>6.28</c:v>
                </c:pt>
                <c:pt idx="773">
                  <c:v>6.27</c:v>
                </c:pt>
                <c:pt idx="774">
                  <c:v>6.26</c:v>
                </c:pt>
                <c:pt idx="775">
                  <c:v>6.25</c:v>
                </c:pt>
                <c:pt idx="776">
                  <c:v>6.24</c:v>
                </c:pt>
                <c:pt idx="777">
                  <c:v>6.23</c:v>
                </c:pt>
                <c:pt idx="778">
                  <c:v>6.22</c:v>
                </c:pt>
                <c:pt idx="779">
                  <c:v>6.21</c:v>
                </c:pt>
                <c:pt idx="780">
                  <c:v>6.2</c:v>
                </c:pt>
                <c:pt idx="781">
                  <c:v>6.19</c:v>
                </c:pt>
                <c:pt idx="782">
                  <c:v>6.18</c:v>
                </c:pt>
                <c:pt idx="783">
                  <c:v>6.17</c:v>
                </c:pt>
                <c:pt idx="784">
                  <c:v>6.16</c:v>
                </c:pt>
                <c:pt idx="785">
                  <c:v>6.15</c:v>
                </c:pt>
                <c:pt idx="786">
                  <c:v>6.14</c:v>
                </c:pt>
                <c:pt idx="787">
                  <c:v>6.13</c:v>
                </c:pt>
                <c:pt idx="788">
                  <c:v>6.12</c:v>
                </c:pt>
                <c:pt idx="789">
                  <c:v>6.11</c:v>
                </c:pt>
                <c:pt idx="790">
                  <c:v>6.1</c:v>
                </c:pt>
                <c:pt idx="791">
                  <c:v>6.09</c:v>
                </c:pt>
                <c:pt idx="792">
                  <c:v>6.08</c:v>
                </c:pt>
                <c:pt idx="793">
                  <c:v>6.07</c:v>
                </c:pt>
                <c:pt idx="794">
                  <c:v>6.06</c:v>
                </c:pt>
                <c:pt idx="795">
                  <c:v>6.05</c:v>
                </c:pt>
                <c:pt idx="796">
                  <c:v>6.04</c:v>
                </c:pt>
                <c:pt idx="797">
                  <c:v>6.03</c:v>
                </c:pt>
                <c:pt idx="798">
                  <c:v>6.02</c:v>
                </c:pt>
                <c:pt idx="799">
                  <c:v>6.01</c:v>
                </c:pt>
                <c:pt idx="800">
                  <c:v>6</c:v>
                </c:pt>
                <c:pt idx="801">
                  <c:v>5.99</c:v>
                </c:pt>
                <c:pt idx="802">
                  <c:v>5.98</c:v>
                </c:pt>
                <c:pt idx="803">
                  <c:v>5.9700000000000006</c:v>
                </c:pt>
                <c:pt idx="804">
                  <c:v>5.9600000000000009</c:v>
                </c:pt>
                <c:pt idx="805">
                  <c:v>5.9499999999999993</c:v>
                </c:pt>
                <c:pt idx="806">
                  <c:v>5.9399999999999995</c:v>
                </c:pt>
                <c:pt idx="807">
                  <c:v>5.93</c:v>
                </c:pt>
                <c:pt idx="808">
                  <c:v>5.92</c:v>
                </c:pt>
                <c:pt idx="809">
                  <c:v>5.91</c:v>
                </c:pt>
                <c:pt idx="810">
                  <c:v>5.9</c:v>
                </c:pt>
                <c:pt idx="811">
                  <c:v>5.8900000000000006</c:v>
                </c:pt>
                <c:pt idx="812">
                  <c:v>5.8800000000000008</c:v>
                </c:pt>
                <c:pt idx="813">
                  <c:v>5.8699999999999992</c:v>
                </c:pt>
                <c:pt idx="814">
                  <c:v>5.8599999999999994</c:v>
                </c:pt>
                <c:pt idx="815">
                  <c:v>5.85</c:v>
                </c:pt>
                <c:pt idx="816">
                  <c:v>5.84</c:v>
                </c:pt>
                <c:pt idx="817">
                  <c:v>5.83</c:v>
                </c:pt>
                <c:pt idx="818">
                  <c:v>5.82</c:v>
                </c:pt>
                <c:pt idx="819">
                  <c:v>5.8100000000000005</c:v>
                </c:pt>
                <c:pt idx="820">
                  <c:v>5.8000000000000007</c:v>
                </c:pt>
                <c:pt idx="821">
                  <c:v>5.7899999999999991</c:v>
                </c:pt>
                <c:pt idx="822">
                  <c:v>5.7799999999999994</c:v>
                </c:pt>
                <c:pt idx="823">
                  <c:v>5.77</c:v>
                </c:pt>
                <c:pt idx="824">
                  <c:v>5.76</c:v>
                </c:pt>
                <c:pt idx="825">
                  <c:v>5.75</c:v>
                </c:pt>
                <c:pt idx="826">
                  <c:v>5.74</c:v>
                </c:pt>
                <c:pt idx="827">
                  <c:v>5.73</c:v>
                </c:pt>
                <c:pt idx="828">
                  <c:v>5.7200000000000006</c:v>
                </c:pt>
                <c:pt idx="829">
                  <c:v>5.7100000000000009</c:v>
                </c:pt>
                <c:pt idx="830">
                  <c:v>5.6999999999999993</c:v>
                </c:pt>
                <c:pt idx="831">
                  <c:v>5.6899999999999995</c:v>
                </c:pt>
                <c:pt idx="832">
                  <c:v>5.68</c:v>
                </c:pt>
                <c:pt idx="833">
                  <c:v>5.67</c:v>
                </c:pt>
                <c:pt idx="834">
                  <c:v>5.66</c:v>
                </c:pt>
                <c:pt idx="835">
                  <c:v>5.65</c:v>
                </c:pt>
                <c:pt idx="836">
                  <c:v>5.6400000000000006</c:v>
                </c:pt>
                <c:pt idx="837">
                  <c:v>5.6300000000000008</c:v>
                </c:pt>
                <c:pt idx="838">
                  <c:v>5.6199999999999992</c:v>
                </c:pt>
                <c:pt idx="839">
                  <c:v>5.6099999999999994</c:v>
                </c:pt>
                <c:pt idx="840">
                  <c:v>5.6</c:v>
                </c:pt>
                <c:pt idx="841">
                  <c:v>5.59</c:v>
                </c:pt>
                <c:pt idx="842">
                  <c:v>5.58</c:v>
                </c:pt>
                <c:pt idx="843">
                  <c:v>5.57</c:v>
                </c:pt>
                <c:pt idx="844">
                  <c:v>5.5600000000000005</c:v>
                </c:pt>
                <c:pt idx="845">
                  <c:v>5.5500000000000007</c:v>
                </c:pt>
                <c:pt idx="846">
                  <c:v>5.5399999999999991</c:v>
                </c:pt>
                <c:pt idx="847">
                  <c:v>5.5299999999999994</c:v>
                </c:pt>
                <c:pt idx="848">
                  <c:v>5.52</c:v>
                </c:pt>
                <c:pt idx="849">
                  <c:v>5.51</c:v>
                </c:pt>
                <c:pt idx="850">
                  <c:v>5.5</c:v>
                </c:pt>
                <c:pt idx="851">
                  <c:v>5.49</c:v>
                </c:pt>
                <c:pt idx="852">
                  <c:v>5.48</c:v>
                </c:pt>
                <c:pt idx="853">
                  <c:v>5.4700000000000006</c:v>
                </c:pt>
                <c:pt idx="854">
                  <c:v>5.4600000000000009</c:v>
                </c:pt>
                <c:pt idx="855">
                  <c:v>5.4499999999999993</c:v>
                </c:pt>
                <c:pt idx="856">
                  <c:v>5.4399999999999995</c:v>
                </c:pt>
                <c:pt idx="857">
                  <c:v>5.43</c:v>
                </c:pt>
                <c:pt idx="858">
                  <c:v>5.42</c:v>
                </c:pt>
                <c:pt idx="859">
                  <c:v>5.41</c:v>
                </c:pt>
                <c:pt idx="860">
                  <c:v>5.4</c:v>
                </c:pt>
                <c:pt idx="861">
                  <c:v>5.3900000000000006</c:v>
                </c:pt>
                <c:pt idx="862">
                  <c:v>5.3800000000000008</c:v>
                </c:pt>
                <c:pt idx="863">
                  <c:v>5.3699999999999992</c:v>
                </c:pt>
                <c:pt idx="864">
                  <c:v>5.3599999999999994</c:v>
                </c:pt>
                <c:pt idx="865">
                  <c:v>5.35</c:v>
                </c:pt>
                <c:pt idx="866">
                  <c:v>5.34</c:v>
                </c:pt>
                <c:pt idx="867">
                  <c:v>5.33</c:v>
                </c:pt>
                <c:pt idx="868">
                  <c:v>5.32</c:v>
                </c:pt>
                <c:pt idx="869">
                  <c:v>5.3100000000000005</c:v>
                </c:pt>
                <c:pt idx="870">
                  <c:v>5.3000000000000007</c:v>
                </c:pt>
                <c:pt idx="871">
                  <c:v>5.2899999999999991</c:v>
                </c:pt>
                <c:pt idx="872">
                  <c:v>5.2799999999999994</c:v>
                </c:pt>
                <c:pt idx="873">
                  <c:v>5.27</c:v>
                </c:pt>
                <c:pt idx="874">
                  <c:v>5.26</c:v>
                </c:pt>
                <c:pt idx="875">
                  <c:v>5.25</c:v>
                </c:pt>
                <c:pt idx="876">
                  <c:v>5.24</c:v>
                </c:pt>
                <c:pt idx="877">
                  <c:v>5.23</c:v>
                </c:pt>
                <c:pt idx="878">
                  <c:v>5.2200000000000006</c:v>
                </c:pt>
                <c:pt idx="879">
                  <c:v>5.2100000000000009</c:v>
                </c:pt>
                <c:pt idx="880">
                  <c:v>5.1999999999999993</c:v>
                </c:pt>
                <c:pt idx="881">
                  <c:v>5.1899999999999995</c:v>
                </c:pt>
                <c:pt idx="882">
                  <c:v>5.18</c:v>
                </c:pt>
                <c:pt idx="883">
                  <c:v>5.17</c:v>
                </c:pt>
                <c:pt idx="884">
                  <c:v>5.16</c:v>
                </c:pt>
                <c:pt idx="885">
                  <c:v>5.15</c:v>
                </c:pt>
                <c:pt idx="886">
                  <c:v>5.1400000000000006</c:v>
                </c:pt>
                <c:pt idx="887">
                  <c:v>5.1300000000000008</c:v>
                </c:pt>
                <c:pt idx="888">
                  <c:v>5.1199999999999992</c:v>
                </c:pt>
                <c:pt idx="889">
                  <c:v>5.1099999999999994</c:v>
                </c:pt>
                <c:pt idx="890">
                  <c:v>5.0999999999999996</c:v>
                </c:pt>
                <c:pt idx="891">
                  <c:v>5.09</c:v>
                </c:pt>
                <c:pt idx="892">
                  <c:v>5.08</c:v>
                </c:pt>
                <c:pt idx="893">
                  <c:v>5.07</c:v>
                </c:pt>
                <c:pt idx="894">
                  <c:v>5.0600000000000005</c:v>
                </c:pt>
                <c:pt idx="895">
                  <c:v>5.0500000000000007</c:v>
                </c:pt>
                <c:pt idx="896">
                  <c:v>5.0399999999999991</c:v>
                </c:pt>
                <c:pt idx="897">
                  <c:v>5.0299999999999994</c:v>
                </c:pt>
                <c:pt idx="898">
                  <c:v>5.0199999999999996</c:v>
                </c:pt>
                <c:pt idx="899">
                  <c:v>5.01</c:v>
                </c:pt>
                <c:pt idx="900">
                  <c:v>5</c:v>
                </c:pt>
                <c:pt idx="901">
                  <c:v>4.99</c:v>
                </c:pt>
                <c:pt idx="902">
                  <c:v>4.9800000000000004</c:v>
                </c:pt>
                <c:pt idx="903">
                  <c:v>4.9700000000000006</c:v>
                </c:pt>
                <c:pt idx="904">
                  <c:v>4.9600000000000009</c:v>
                </c:pt>
                <c:pt idx="905">
                  <c:v>4.9499999999999993</c:v>
                </c:pt>
                <c:pt idx="906">
                  <c:v>4.9399999999999995</c:v>
                </c:pt>
                <c:pt idx="907">
                  <c:v>4.93</c:v>
                </c:pt>
                <c:pt idx="908">
                  <c:v>4.92</c:v>
                </c:pt>
                <c:pt idx="909">
                  <c:v>4.91</c:v>
                </c:pt>
                <c:pt idx="910">
                  <c:v>4.9000000000000004</c:v>
                </c:pt>
                <c:pt idx="911">
                  <c:v>4.8900000000000006</c:v>
                </c:pt>
                <c:pt idx="912">
                  <c:v>4.8800000000000008</c:v>
                </c:pt>
                <c:pt idx="913">
                  <c:v>4.8699999999999992</c:v>
                </c:pt>
                <c:pt idx="914">
                  <c:v>4.8599999999999994</c:v>
                </c:pt>
                <c:pt idx="915">
                  <c:v>4.8499999999999996</c:v>
                </c:pt>
                <c:pt idx="916">
                  <c:v>4.84</c:v>
                </c:pt>
                <c:pt idx="917">
                  <c:v>4.83</c:v>
                </c:pt>
                <c:pt idx="918">
                  <c:v>4.82</c:v>
                </c:pt>
                <c:pt idx="919">
                  <c:v>4.8100000000000005</c:v>
                </c:pt>
                <c:pt idx="920">
                  <c:v>4.8000000000000007</c:v>
                </c:pt>
                <c:pt idx="921">
                  <c:v>4.7899999999999991</c:v>
                </c:pt>
                <c:pt idx="922">
                  <c:v>4.7799999999999994</c:v>
                </c:pt>
                <c:pt idx="923">
                  <c:v>4.7699999999999996</c:v>
                </c:pt>
                <c:pt idx="924">
                  <c:v>4.76</c:v>
                </c:pt>
                <c:pt idx="925">
                  <c:v>4.75</c:v>
                </c:pt>
                <c:pt idx="926">
                  <c:v>4.74</c:v>
                </c:pt>
                <c:pt idx="927">
                  <c:v>4.7300000000000004</c:v>
                </c:pt>
                <c:pt idx="928">
                  <c:v>4.7200000000000006</c:v>
                </c:pt>
                <c:pt idx="929">
                  <c:v>4.7100000000000009</c:v>
                </c:pt>
                <c:pt idx="930">
                  <c:v>4.6999999999999993</c:v>
                </c:pt>
                <c:pt idx="931">
                  <c:v>4.6899999999999995</c:v>
                </c:pt>
                <c:pt idx="932">
                  <c:v>4.68</c:v>
                </c:pt>
                <c:pt idx="933">
                  <c:v>4.67</c:v>
                </c:pt>
                <c:pt idx="934">
                  <c:v>4.66</c:v>
                </c:pt>
                <c:pt idx="935">
                  <c:v>4.6500000000000004</c:v>
                </c:pt>
                <c:pt idx="936">
                  <c:v>4.6400000000000006</c:v>
                </c:pt>
                <c:pt idx="937">
                  <c:v>4.6300000000000008</c:v>
                </c:pt>
                <c:pt idx="938">
                  <c:v>4.6199999999999992</c:v>
                </c:pt>
                <c:pt idx="939">
                  <c:v>4.6099999999999994</c:v>
                </c:pt>
                <c:pt idx="940">
                  <c:v>4.5999999999999996</c:v>
                </c:pt>
                <c:pt idx="941">
                  <c:v>4.59</c:v>
                </c:pt>
                <c:pt idx="942">
                  <c:v>4.58</c:v>
                </c:pt>
                <c:pt idx="943">
                  <c:v>4.57</c:v>
                </c:pt>
                <c:pt idx="944">
                  <c:v>4.5600000000000005</c:v>
                </c:pt>
                <c:pt idx="945">
                  <c:v>4.5500000000000007</c:v>
                </c:pt>
                <c:pt idx="946">
                  <c:v>4.5399999999999991</c:v>
                </c:pt>
                <c:pt idx="947">
                  <c:v>4.5299999999999994</c:v>
                </c:pt>
                <c:pt idx="948">
                  <c:v>4.5199999999999996</c:v>
                </c:pt>
                <c:pt idx="949">
                  <c:v>4.51</c:v>
                </c:pt>
                <c:pt idx="950">
                  <c:v>4.5</c:v>
                </c:pt>
                <c:pt idx="951">
                  <c:v>4.49</c:v>
                </c:pt>
                <c:pt idx="952">
                  <c:v>4.4800000000000004</c:v>
                </c:pt>
                <c:pt idx="953">
                  <c:v>4.4700000000000006</c:v>
                </c:pt>
                <c:pt idx="954">
                  <c:v>4.4600000000000009</c:v>
                </c:pt>
                <c:pt idx="955">
                  <c:v>4.4499999999999993</c:v>
                </c:pt>
                <c:pt idx="956">
                  <c:v>4.4399999999999995</c:v>
                </c:pt>
                <c:pt idx="957">
                  <c:v>4.43</c:v>
                </c:pt>
                <c:pt idx="958">
                  <c:v>4.42</c:v>
                </c:pt>
                <c:pt idx="959">
                  <c:v>4.41</c:v>
                </c:pt>
                <c:pt idx="960">
                  <c:v>4.4000000000000004</c:v>
                </c:pt>
                <c:pt idx="961">
                  <c:v>4.3900000000000006</c:v>
                </c:pt>
                <c:pt idx="962">
                  <c:v>4.3800000000000008</c:v>
                </c:pt>
                <c:pt idx="963">
                  <c:v>4.3699999999999992</c:v>
                </c:pt>
                <c:pt idx="964">
                  <c:v>4.3599999999999994</c:v>
                </c:pt>
                <c:pt idx="965">
                  <c:v>4.3499999999999996</c:v>
                </c:pt>
                <c:pt idx="966">
                  <c:v>4.34</c:v>
                </c:pt>
                <c:pt idx="967">
                  <c:v>4.33</c:v>
                </c:pt>
                <c:pt idx="968">
                  <c:v>4.32</c:v>
                </c:pt>
                <c:pt idx="969">
                  <c:v>4.3100000000000005</c:v>
                </c:pt>
                <c:pt idx="970">
                  <c:v>4.3000000000000007</c:v>
                </c:pt>
                <c:pt idx="971">
                  <c:v>4.2899999999999991</c:v>
                </c:pt>
                <c:pt idx="972">
                  <c:v>4.2799999999999994</c:v>
                </c:pt>
                <c:pt idx="973">
                  <c:v>4.2699999999999996</c:v>
                </c:pt>
                <c:pt idx="974">
                  <c:v>4.26</c:v>
                </c:pt>
                <c:pt idx="975">
                  <c:v>4.25</c:v>
                </c:pt>
                <c:pt idx="976">
                  <c:v>4.24</c:v>
                </c:pt>
                <c:pt idx="977">
                  <c:v>4.2300000000000004</c:v>
                </c:pt>
                <c:pt idx="978">
                  <c:v>4.2200000000000006</c:v>
                </c:pt>
                <c:pt idx="979">
                  <c:v>4.2100000000000009</c:v>
                </c:pt>
                <c:pt idx="980">
                  <c:v>4.1999999999999993</c:v>
                </c:pt>
                <c:pt idx="981">
                  <c:v>4.1899999999999995</c:v>
                </c:pt>
                <c:pt idx="982">
                  <c:v>4.18</c:v>
                </c:pt>
                <c:pt idx="983">
                  <c:v>4.17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4.1400000000000006</c:v>
                </c:pt>
                <c:pt idx="987">
                  <c:v>4.1300000000000008</c:v>
                </c:pt>
                <c:pt idx="988">
                  <c:v>4.1199999999999992</c:v>
                </c:pt>
                <c:pt idx="989">
                  <c:v>4.1099999999999994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4.08</c:v>
                </c:pt>
                <c:pt idx="993">
                  <c:v>4.07</c:v>
                </c:pt>
                <c:pt idx="994">
                  <c:v>4.0600000000000005</c:v>
                </c:pt>
                <c:pt idx="995">
                  <c:v>4.0500000000000007</c:v>
                </c:pt>
                <c:pt idx="996">
                  <c:v>4.0399999999999991</c:v>
                </c:pt>
                <c:pt idx="997">
                  <c:v>4.0299999999999994</c:v>
                </c:pt>
                <c:pt idx="998">
                  <c:v>4.0199999999999996</c:v>
                </c:pt>
                <c:pt idx="999">
                  <c:v>4.01</c:v>
                </c:pt>
                <c:pt idx="1000">
                  <c:v>4</c:v>
                </c:pt>
                <c:pt idx="1001">
                  <c:v>3.99</c:v>
                </c:pt>
                <c:pt idx="1002">
                  <c:v>3.9800000000000004</c:v>
                </c:pt>
                <c:pt idx="1003">
                  <c:v>3.9700000000000006</c:v>
                </c:pt>
                <c:pt idx="1004">
                  <c:v>3.9600000000000009</c:v>
                </c:pt>
                <c:pt idx="1005">
                  <c:v>3.9499999999999993</c:v>
                </c:pt>
                <c:pt idx="1006">
                  <c:v>3.9399999999999995</c:v>
                </c:pt>
                <c:pt idx="1007">
                  <c:v>3.9299999999999997</c:v>
                </c:pt>
                <c:pt idx="1008">
                  <c:v>3.92</c:v>
                </c:pt>
                <c:pt idx="1009">
                  <c:v>3.91</c:v>
                </c:pt>
                <c:pt idx="1010">
                  <c:v>3.9000000000000004</c:v>
                </c:pt>
                <c:pt idx="1011">
                  <c:v>3.8900000000000006</c:v>
                </c:pt>
                <c:pt idx="1012">
                  <c:v>3.8800000000000008</c:v>
                </c:pt>
                <c:pt idx="1013">
                  <c:v>3.8699999999999992</c:v>
                </c:pt>
                <c:pt idx="1014">
                  <c:v>3.8599999999999994</c:v>
                </c:pt>
                <c:pt idx="1015">
                  <c:v>3.8499999999999996</c:v>
                </c:pt>
                <c:pt idx="1016">
                  <c:v>3.84</c:v>
                </c:pt>
                <c:pt idx="1017">
                  <c:v>3.83</c:v>
                </c:pt>
                <c:pt idx="1018">
                  <c:v>3.8200000000000003</c:v>
                </c:pt>
                <c:pt idx="1019">
                  <c:v>3.8100000000000005</c:v>
                </c:pt>
                <c:pt idx="1020">
                  <c:v>3.8000000000000007</c:v>
                </c:pt>
                <c:pt idx="1021">
                  <c:v>3.7899999999999991</c:v>
                </c:pt>
                <c:pt idx="1022">
                  <c:v>3.7799999999999994</c:v>
                </c:pt>
                <c:pt idx="1023">
                  <c:v>3.7699999999999996</c:v>
                </c:pt>
                <c:pt idx="1024">
                  <c:v>3.76</c:v>
                </c:pt>
                <c:pt idx="1025">
                  <c:v>3.75</c:v>
                </c:pt>
                <c:pt idx="1026">
                  <c:v>3.74</c:v>
                </c:pt>
                <c:pt idx="1027">
                  <c:v>3.7300000000000004</c:v>
                </c:pt>
                <c:pt idx="1028">
                  <c:v>3.7200000000000006</c:v>
                </c:pt>
                <c:pt idx="1029">
                  <c:v>3.7100000000000009</c:v>
                </c:pt>
                <c:pt idx="1030">
                  <c:v>3.6999999999999993</c:v>
                </c:pt>
                <c:pt idx="1031">
                  <c:v>3.6899999999999995</c:v>
                </c:pt>
                <c:pt idx="1032">
                  <c:v>3.6799999999999997</c:v>
                </c:pt>
                <c:pt idx="1033">
                  <c:v>3.67</c:v>
                </c:pt>
                <c:pt idx="1034">
                  <c:v>3.66</c:v>
                </c:pt>
                <c:pt idx="1035">
                  <c:v>3.6500000000000004</c:v>
                </c:pt>
                <c:pt idx="1036">
                  <c:v>3.6400000000000006</c:v>
                </c:pt>
                <c:pt idx="1037">
                  <c:v>3.6300000000000008</c:v>
                </c:pt>
                <c:pt idx="1038">
                  <c:v>3.6199999999999992</c:v>
                </c:pt>
                <c:pt idx="1039">
                  <c:v>3.6099999999999994</c:v>
                </c:pt>
                <c:pt idx="1040">
                  <c:v>3.5999999999999996</c:v>
                </c:pt>
                <c:pt idx="1041">
                  <c:v>3.59</c:v>
                </c:pt>
                <c:pt idx="1042">
                  <c:v>3.58</c:v>
                </c:pt>
                <c:pt idx="1043">
                  <c:v>3.5700000000000003</c:v>
                </c:pt>
                <c:pt idx="1044">
                  <c:v>3.5600000000000005</c:v>
                </c:pt>
                <c:pt idx="1045">
                  <c:v>3.5500000000000007</c:v>
                </c:pt>
                <c:pt idx="1046">
                  <c:v>3.5399999999999991</c:v>
                </c:pt>
                <c:pt idx="1047">
                  <c:v>3.5299999999999994</c:v>
                </c:pt>
                <c:pt idx="1048">
                  <c:v>3.5199999999999996</c:v>
                </c:pt>
                <c:pt idx="1049">
                  <c:v>3.51</c:v>
                </c:pt>
                <c:pt idx="1050">
                  <c:v>3.5</c:v>
                </c:pt>
                <c:pt idx="1051">
                  <c:v>3.49</c:v>
                </c:pt>
                <c:pt idx="1052">
                  <c:v>3.4800000000000004</c:v>
                </c:pt>
                <c:pt idx="1053">
                  <c:v>3.4700000000000006</c:v>
                </c:pt>
                <c:pt idx="1054">
                  <c:v>3.4600000000000009</c:v>
                </c:pt>
                <c:pt idx="1055">
                  <c:v>3.4499999999999993</c:v>
                </c:pt>
                <c:pt idx="1056">
                  <c:v>3.4399999999999995</c:v>
                </c:pt>
                <c:pt idx="1057">
                  <c:v>3.4299999999999997</c:v>
                </c:pt>
                <c:pt idx="1058">
                  <c:v>3.42</c:v>
                </c:pt>
                <c:pt idx="1059">
                  <c:v>3.41</c:v>
                </c:pt>
                <c:pt idx="1060">
                  <c:v>3.4000000000000004</c:v>
                </c:pt>
                <c:pt idx="1061">
                  <c:v>3.3900000000000006</c:v>
                </c:pt>
                <c:pt idx="1062">
                  <c:v>3.3800000000000008</c:v>
                </c:pt>
                <c:pt idx="1063">
                  <c:v>3.3699999999999992</c:v>
                </c:pt>
                <c:pt idx="1064">
                  <c:v>3.3599999999999994</c:v>
                </c:pt>
                <c:pt idx="1065">
                  <c:v>3.3499999999999996</c:v>
                </c:pt>
                <c:pt idx="1066">
                  <c:v>3.34</c:v>
                </c:pt>
                <c:pt idx="1067">
                  <c:v>3.33</c:v>
                </c:pt>
                <c:pt idx="1068">
                  <c:v>3.3200000000000003</c:v>
                </c:pt>
                <c:pt idx="1069">
                  <c:v>3.3100000000000005</c:v>
                </c:pt>
                <c:pt idx="1070">
                  <c:v>3.3000000000000007</c:v>
                </c:pt>
                <c:pt idx="1071">
                  <c:v>3.2899999999999991</c:v>
                </c:pt>
                <c:pt idx="1072">
                  <c:v>3.2799999999999994</c:v>
                </c:pt>
                <c:pt idx="1073">
                  <c:v>3.2699999999999996</c:v>
                </c:pt>
                <c:pt idx="1074">
                  <c:v>3.26</c:v>
                </c:pt>
                <c:pt idx="1075">
                  <c:v>3.25</c:v>
                </c:pt>
                <c:pt idx="1076">
                  <c:v>3.24</c:v>
                </c:pt>
                <c:pt idx="1077">
                  <c:v>3.2300000000000004</c:v>
                </c:pt>
                <c:pt idx="1078">
                  <c:v>3.2200000000000006</c:v>
                </c:pt>
                <c:pt idx="1079">
                  <c:v>3.2100000000000009</c:v>
                </c:pt>
                <c:pt idx="1080">
                  <c:v>3.1999999999999993</c:v>
                </c:pt>
                <c:pt idx="1081">
                  <c:v>3.1899999999999995</c:v>
                </c:pt>
                <c:pt idx="1082">
                  <c:v>3.1799999999999997</c:v>
                </c:pt>
                <c:pt idx="1083">
                  <c:v>3.17</c:v>
                </c:pt>
                <c:pt idx="1084">
                  <c:v>3.16</c:v>
                </c:pt>
                <c:pt idx="1085">
                  <c:v>3.1500000000000004</c:v>
                </c:pt>
                <c:pt idx="1086">
                  <c:v>3.1400000000000006</c:v>
                </c:pt>
                <c:pt idx="1087">
                  <c:v>3.1300000000000008</c:v>
                </c:pt>
                <c:pt idx="1088">
                  <c:v>3.1199999999999992</c:v>
                </c:pt>
                <c:pt idx="1089">
                  <c:v>3.1099999999999994</c:v>
                </c:pt>
                <c:pt idx="1090">
                  <c:v>3.0999999999999996</c:v>
                </c:pt>
                <c:pt idx="1091">
                  <c:v>3.09</c:v>
                </c:pt>
                <c:pt idx="1092">
                  <c:v>3.08</c:v>
                </c:pt>
                <c:pt idx="1093">
                  <c:v>3.0700000000000003</c:v>
                </c:pt>
                <c:pt idx="1094">
                  <c:v>3.0600000000000005</c:v>
                </c:pt>
                <c:pt idx="1095">
                  <c:v>3.0500000000000007</c:v>
                </c:pt>
                <c:pt idx="1096">
                  <c:v>3.0399999999999991</c:v>
                </c:pt>
                <c:pt idx="1097">
                  <c:v>3.0299999999999994</c:v>
                </c:pt>
                <c:pt idx="1098">
                  <c:v>3.0199999999999996</c:v>
                </c:pt>
                <c:pt idx="1099">
                  <c:v>3.01</c:v>
                </c:pt>
                <c:pt idx="1100">
                  <c:v>3</c:v>
                </c:pt>
                <c:pt idx="1101">
                  <c:v>2.99</c:v>
                </c:pt>
                <c:pt idx="1102">
                  <c:v>2.9800000000000004</c:v>
                </c:pt>
                <c:pt idx="1103">
                  <c:v>2.9700000000000006</c:v>
                </c:pt>
                <c:pt idx="1104">
                  <c:v>2.9600000000000009</c:v>
                </c:pt>
                <c:pt idx="1105">
                  <c:v>2.9499999999999993</c:v>
                </c:pt>
                <c:pt idx="1106">
                  <c:v>2.9399999999999995</c:v>
                </c:pt>
                <c:pt idx="1107">
                  <c:v>2.9299999999999997</c:v>
                </c:pt>
                <c:pt idx="1108">
                  <c:v>2.92</c:v>
                </c:pt>
                <c:pt idx="1109">
                  <c:v>2.91</c:v>
                </c:pt>
                <c:pt idx="1110">
                  <c:v>2.9000000000000004</c:v>
                </c:pt>
                <c:pt idx="1111">
                  <c:v>2.8900000000000006</c:v>
                </c:pt>
                <c:pt idx="1112">
                  <c:v>2.8800000000000008</c:v>
                </c:pt>
                <c:pt idx="1113">
                  <c:v>2.8699999999999992</c:v>
                </c:pt>
                <c:pt idx="1114">
                  <c:v>2.8599999999999994</c:v>
                </c:pt>
                <c:pt idx="1115">
                  <c:v>2.8499999999999996</c:v>
                </c:pt>
                <c:pt idx="1116">
                  <c:v>2.84</c:v>
                </c:pt>
                <c:pt idx="1117">
                  <c:v>2.83</c:v>
                </c:pt>
                <c:pt idx="1118">
                  <c:v>2.8200000000000003</c:v>
                </c:pt>
                <c:pt idx="1119">
                  <c:v>2.8100000000000005</c:v>
                </c:pt>
                <c:pt idx="1120">
                  <c:v>2.8000000000000007</c:v>
                </c:pt>
                <c:pt idx="1121">
                  <c:v>2.7899999999999991</c:v>
                </c:pt>
                <c:pt idx="1122">
                  <c:v>2.7799999999999994</c:v>
                </c:pt>
                <c:pt idx="1123">
                  <c:v>2.7699999999999996</c:v>
                </c:pt>
                <c:pt idx="1124">
                  <c:v>2.76</c:v>
                </c:pt>
                <c:pt idx="1125">
                  <c:v>2.75</c:v>
                </c:pt>
                <c:pt idx="1126">
                  <c:v>2.74</c:v>
                </c:pt>
                <c:pt idx="1127">
                  <c:v>2.7300000000000004</c:v>
                </c:pt>
                <c:pt idx="1128">
                  <c:v>2.7200000000000006</c:v>
                </c:pt>
                <c:pt idx="1129">
                  <c:v>2.7100000000000009</c:v>
                </c:pt>
                <c:pt idx="1130">
                  <c:v>2.6999999999999993</c:v>
                </c:pt>
                <c:pt idx="1131">
                  <c:v>2.6899999999999995</c:v>
                </c:pt>
                <c:pt idx="1132">
                  <c:v>2.6799999999999997</c:v>
                </c:pt>
                <c:pt idx="1133">
                  <c:v>2.67</c:v>
                </c:pt>
                <c:pt idx="1134">
                  <c:v>2.66</c:v>
                </c:pt>
                <c:pt idx="1135">
                  <c:v>2.6500000000000004</c:v>
                </c:pt>
                <c:pt idx="1136">
                  <c:v>2.6400000000000006</c:v>
                </c:pt>
                <c:pt idx="1137">
                  <c:v>2.6300000000000008</c:v>
                </c:pt>
                <c:pt idx="1138">
                  <c:v>2.6199999999999992</c:v>
                </c:pt>
                <c:pt idx="1139">
                  <c:v>2.6099999999999994</c:v>
                </c:pt>
                <c:pt idx="1140">
                  <c:v>2.5999999999999996</c:v>
                </c:pt>
                <c:pt idx="1141">
                  <c:v>2.59</c:v>
                </c:pt>
                <c:pt idx="1142">
                  <c:v>2.58</c:v>
                </c:pt>
                <c:pt idx="1143">
                  <c:v>2.5700000000000003</c:v>
                </c:pt>
                <c:pt idx="1144">
                  <c:v>2.5600000000000005</c:v>
                </c:pt>
                <c:pt idx="1145">
                  <c:v>2.5500000000000007</c:v>
                </c:pt>
                <c:pt idx="1146">
                  <c:v>2.5399999999999991</c:v>
                </c:pt>
                <c:pt idx="1147">
                  <c:v>2.5299999999999994</c:v>
                </c:pt>
                <c:pt idx="1148">
                  <c:v>2.5199999999999996</c:v>
                </c:pt>
                <c:pt idx="1149">
                  <c:v>2.5099999999999998</c:v>
                </c:pt>
                <c:pt idx="1150">
                  <c:v>2.5</c:v>
                </c:pt>
                <c:pt idx="1151">
                  <c:v>2.4900000000000002</c:v>
                </c:pt>
                <c:pt idx="1152">
                  <c:v>2.4800000000000004</c:v>
                </c:pt>
                <c:pt idx="1153">
                  <c:v>2.4700000000000006</c:v>
                </c:pt>
                <c:pt idx="1154">
                  <c:v>2.4600000000000009</c:v>
                </c:pt>
                <c:pt idx="1155">
                  <c:v>2.4499999999999993</c:v>
                </c:pt>
                <c:pt idx="1156">
                  <c:v>2.4399999999999995</c:v>
                </c:pt>
                <c:pt idx="1157">
                  <c:v>2.4299999999999997</c:v>
                </c:pt>
                <c:pt idx="1158">
                  <c:v>2.42</c:v>
                </c:pt>
                <c:pt idx="1159">
                  <c:v>2.41</c:v>
                </c:pt>
                <c:pt idx="1160">
                  <c:v>2.4000000000000004</c:v>
                </c:pt>
                <c:pt idx="1161">
                  <c:v>2.3900000000000006</c:v>
                </c:pt>
                <c:pt idx="1162">
                  <c:v>2.3800000000000008</c:v>
                </c:pt>
                <c:pt idx="1163">
                  <c:v>2.3699999999999992</c:v>
                </c:pt>
                <c:pt idx="1164">
                  <c:v>2.3599999999999994</c:v>
                </c:pt>
                <c:pt idx="1165">
                  <c:v>2.3499999999999996</c:v>
                </c:pt>
                <c:pt idx="1166">
                  <c:v>2.34</c:v>
                </c:pt>
                <c:pt idx="1167">
                  <c:v>2.33</c:v>
                </c:pt>
                <c:pt idx="1168">
                  <c:v>2.3200000000000003</c:v>
                </c:pt>
                <c:pt idx="1169">
                  <c:v>2.3100000000000005</c:v>
                </c:pt>
                <c:pt idx="1170">
                  <c:v>2.3000000000000007</c:v>
                </c:pt>
                <c:pt idx="1171">
                  <c:v>2.2899999999999991</c:v>
                </c:pt>
                <c:pt idx="1172">
                  <c:v>2.2799999999999994</c:v>
                </c:pt>
                <c:pt idx="1173">
                  <c:v>2.2699999999999996</c:v>
                </c:pt>
                <c:pt idx="1174">
                  <c:v>2.2599999999999998</c:v>
                </c:pt>
                <c:pt idx="1175">
                  <c:v>2.25</c:v>
                </c:pt>
                <c:pt idx="1176">
                  <c:v>2.2400000000000002</c:v>
                </c:pt>
                <c:pt idx="1177">
                  <c:v>2.2300000000000004</c:v>
                </c:pt>
                <c:pt idx="1178">
                  <c:v>2.2200000000000006</c:v>
                </c:pt>
                <c:pt idx="1179">
                  <c:v>2.2100000000000009</c:v>
                </c:pt>
                <c:pt idx="1180">
                  <c:v>2.1999999999999993</c:v>
                </c:pt>
                <c:pt idx="1181">
                  <c:v>2.1899999999999995</c:v>
                </c:pt>
                <c:pt idx="1182">
                  <c:v>2.1799999999999997</c:v>
                </c:pt>
                <c:pt idx="1183">
                  <c:v>2.17</c:v>
                </c:pt>
                <c:pt idx="1184">
                  <c:v>2.16</c:v>
                </c:pt>
                <c:pt idx="1185">
                  <c:v>2.1500000000000004</c:v>
                </c:pt>
                <c:pt idx="1186">
                  <c:v>2.1400000000000006</c:v>
                </c:pt>
                <c:pt idx="1187">
                  <c:v>2.1300000000000008</c:v>
                </c:pt>
                <c:pt idx="1188">
                  <c:v>2.1199999999999992</c:v>
                </c:pt>
                <c:pt idx="1189">
                  <c:v>2.1099999999999994</c:v>
                </c:pt>
                <c:pt idx="1190">
                  <c:v>2.0999999999999996</c:v>
                </c:pt>
                <c:pt idx="1191">
                  <c:v>2.09</c:v>
                </c:pt>
                <c:pt idx="1192">
                  <c:v>2.08</c:v>
                </c:pt>
                <c:pt idx="1193">
                  <c:v>2.0700000000000003</c:v>
                </c:pt>
                <c:pt idx="1194">
                  <c:v>2.0600000000000005</c:v>
                </c:pt>
                <c:pt idx="1195">
                  <c:v>2.0500000000000007</c:v>
                </c:pt>
                <c:pt idx="1196">
                  <c:v>2.0399999999999991</c:v>
                </c:pt>
                <c:pt idx="1197">
                  <c:v>2.0299999999999994</c:v>
                </c:pt>
                <c:pt idx="1198">
                  <c:v>2.0199999999999996</c:v>
                </c:pt>
                <c:pt idx="1199">
                  <c:v>2.0099999999999998</c:v>
                </c:pt>
                <c:pt idx="1200">
                  <c:v>2</c:v>
                </c:pt>
                <c:pt idx="1201">
                  <c:v>1.9900000000000002</c:v>
                </c:pt>
                <c:pt idx="1202">
                  <c:v>1.9800000000000004</c:v>
                </c:pt>
                <c:pt idx="1203">
                  <c:v>1.9700000000000006</c:v>
                </c:pt>
                <c:pt idx="1204">
                  <c:v>1.9600000000000009</c:v>
                </c:pt>
                <c:pt idx="1205">
                  <c:v>1.9499999999999993</c:v>
                </c:pt>
                <c:pt idx="1206">
                  <c:v>1.9399999999999995</c:v>
                </c:pt>
                <c:pt idx="1207">
                  <c:v>1.9299999999999997</c:v>
                </c:pt>
                <c:pt idx="1208">
                  <c:v>1.92</c:v>
                </c:pt>
                <c:pt idx="1209">
                  <c:v>1.9100000000000001</c:v>
                </c:pt>
                <c:pt idx="1210">
                  <c:v>1.9000000000000004</c:v>
                </c:pt>
                <c:pt idx="1211">
                  <c:v>1.8900000000000006</c:v>
                </c:pt>
                <c:pt idx="1212">
                  <c:v>1.8800000000000008</c:v>
                </c:pt>
                <c:pt idx="1213">
                  <c:v>1.8699999999999992</c:v>
                </c:pt>
                <c:pt idx="1214">
                  <c:v>1.8599999999999994</c:v>
                </c:pt>
                <c:pt idx="1215">
                  <c:v>1.8499999999999996</c:v>
                </c:pt>
                <c:pt idx="1216">
                  <c:v>1.8399999999999999</c:v>
                </c:pt>
                <c:pt idx="1217">
                  <c:v>1.83</c:v>
                </c:pt>
                <c:pt idx="1218">
                  <c:v>1.8200000000000003</c:v>
                </c:pt>
                <c:pt idx="1219">
                  <c:v>1.8100000000000005</c:v>
                </c:pt>
                <c:pt idx="1220">
                  <c:v>1.8000000000000007</c:v>
                </c:pt>
                <c:pt idx="1221">
                  <c:v>1.7899999999999991</c:v>
                </c:pt>
                <c:pt idx="1222">
                  <c:v>1.7799999999999994</c:v>
                </c:pt>
                <c:pt idx="1223">
                  <c:v>1.7699999999999996</c:v>
                </c:pt>
                <c:pt idx="1224">
                  <c:v>1.7599999999999998</c:v>
                </c:pt>
                <c:pt idx="1225">
                  <c:v>1.75</c:v>
                </c:pt>
                <c:pt idx="1226">
                  <c:v>1.7400000000000002</c:v>
                </c:pt>
                <c:pt idx="1227">
                  <c:v>1.7300000000000004</c:v>
                </c:pt>
                <c:pt idx="1228">
                  <c:v>1.7200000000000006</c:v>
                </c:pt>
                <c:pt idx="1229">
                  <c:v>1.7100000000000009</c:v>
                </c:pt>
                <c:pt idx="1230">
                  <c:v>1.6999999999999993</c:v>
                </c:pt>
                <c:pt idx="1231">
                  <c:v>1.6899999999999995</c:v>
                </c:pt>
                <c:pt idx="1232">
                  <c:v>1.6799999999999997</c:v>
                </c:pt>
                <c:pt idx="1233">
                  <c:v>1.67</c:v>
                </c:pt>
                <c:pt idx="1234">
                  <c:v>1.6600000000000001</c:v>
                </c:pt>
                <c:pt idx="1235">
                  <c:v>1.6500000000000004</c:v>
                </c:pt>
                <c:pt idx="1236">
                  <c:v>1.6400000000000006</c:v>
                </c:pt>
                <c:pt idx="1237">
                  <c:v>1.6300000000000008</c:v>
                </c:pt>
                <c:pt idx="1238">
                  <c:v>1.6199999999999992</c:v>
                </c:pt>
                <c:pt idx="1239">
                  <c:v>1.6099999999999994</c:v>
                </c:pt>
                <c:pt idx="1240">
                  <c:v>1.5999999999999996</c:v>
                </c:pt>
                <c:pt idx="1241">
                  <c:v>1.5899999999999999</c:v>
                </c:pt>
                <c:pt idx="1242">
                  <c:v>1.58</c:v>
                </c:pt>
                <c:pt idx="1243">
                  <c:v>1.5700000000000003</c:v>
                </c:pt>
                <c:pt idx="1244">
                  <c:v>1.5600000000000005</c:v>
                </c:pt>
                <c:pt idx="1245">
                  <c:v>1.5500000000000007</c:v>
                </c:pt>
                <c:pt idx="1246">
                  <c:v>1.5399999999999991</c:v>
                </c:pt>
                <c:pt idx="1247">
                  <c:v>1.5299999999999994</c:v>
                </c:pt>
                <c:pt idx="1248">
                  <c:v>1.5199999999999996</c:v>
                </c:pt>
                <c:pt idx="1249">
                  <c:v>1.5099999999999998</c:v>
                </c:pt>
                <c:pt idx="1250">
                  <c:v>1.5</c:v>
                </c:pt>
                <c:pt idx="1251">
                  <c:v>1.4900000000000002</c:v>
                </c:pt>
                <c:pt idx="1252">
                  <c:v>1.4800000000000004</c:v>
                </c:pt>
                <c:pt idx="1253">
                  <c:v>1.4700000000000006</c:v>
                </c:pt>
                <c:pt idx="1254">
                  <c:v>1.4600000000000009</c:v>
                </c:pt>
                <c:pt idx="1255">
                  <c:v>1.4499999999999993</c:v>
                </c:pt>
                <c:pt idx="1256">
                  <c:v>1.4399999999999995</c:v>
                </c:pt>
                <c:pt idx="1257">
                  <c:v>1.4299999999999997</c:v>
                </c:pt>
                <c:pt idx="1258">
                  <c:v>1.42</c:v>
                </c:pt>
                <c:pt idx="1259">
                  <c:v>1.4100000000000001</c:v>
                </c:pt>
                <c:pt idx="1260">
                  <c:v>1.4000000000000004</c:v>
                </c:pt>
                <c:pt idx="1261">
                  <c:v>1.3900000000000006</c:v>
                </c:pt>
                <c:pt idx="1262">
                  <c:v>1.3800000000000008</c:v>
                </c:pt>
                <c:pt idx="1263">
                  <c:v>1.3699999999999992</c:v>
                </c:pt>
                <c:pt idx="1264">
                  <c:v>1.3599999999999994</c:v>
                </c:pt>
                <c:pt idx="1265">
                  <c:v>1.3499999999999996</c:v>
                </c:pt>
                <c:pt idx="1266">
                  <c:v>1.3399999999999999</c:v>
                </c:pt>
                <c:pt idx="1267">
                  <c:v>1.33</c:v>
                </c:pt>
                <c:pt idx="1268">
                  <c:v>1.3200000000000003</c:v>
                </c:pt>
                <c:pt idx="1269">
                  <c:v>1.3100000000000005</c:v>
                </c:pt>
                <c:pt idx="1270">
                  <c:v>1.3000000000000007</c:v>
                </c:pt>
                <c:pt idx="1271">
                  <c:v>1.2899999999999991</c:v>
                </c:pt>
                <c:pt idx="1272">
                  <c:v>1.2799999999999994</c:v>
                </c:pt>
                <c:pt idx="1273">
                  <c:v>1.2699999999999996</c:v>
                </c:pt>
                <c:pt idx="1274">
                  <c:v>1.2599999999999998</c:v>
                </c:pt>
                <c:pt idx="1275">
                  <c:v>1.25</c:v>
                </c:pt>
                <c:pt idx="1276">
                  <c:v>1.2400000000000002</c:v>
                </c:pt>
                <c:pt idx="1277">
                  <c:v>1.2300000000000004</c:v>
                </c:pt>
                <c:pt idx="1278">
                  <c:v>1.2200000000000006</c:v>
                </c:pt>
                <c:pt idx="1279">
                  <c:v>1.2100000000000009</c:v>
                </c:pt>
                <c:pt idx="1280">
                  <c:v>1.1999999999999993</c:v>
                </c:pt>
                <c:pt idx="1281">
                  <c:v>1.1899999999999995</c:v>
                </c:pt>
                <c:pt idx="1282">
                  <c:v>1.1799999999999997</c:v>
                </c:pt>
                <c:pt idx="1283">
                  <c:v>1.17</c:v>
                </c:pt>
                <c:pt idx="1284">
                  <c:v>1.1600000000000001</c:v>
                </c:pt>
                <c:pt idx="1285">
                  <c:v>1.1500000000000004</c:v>
                </c:pt>
                <c:pt idx="1286">
                  <c:v>1.1400000000000006</c:v>
                </c:pt>
                <c:pt idx="1287">
                  <c:v>1.1300000000000008</c:v>
                </c:pt>
                <c:pt idx="1288">
                  <c:v>1.1199999999999992</c:v>
                </c:pt>
                <c:pt idx="1289">
                  <c:v>1.1099999999999994</c:v>
                </c:pt>
                <c:pt idx="1290">
                  <c:v>1.0999999999999996</c:v>
                </c:pt>
                <c:pt idx="1291">
                  <c:v>1.0899999999999999</c:v>
                </c:pt>
                <c:pt idx="1292">
                  <c:v>1.08</c:v>
                </c:pt>
                <c:pt idx="1293">
                  <c:v>1.0700000000000003</c:v>
                </c:pt>
                <c:pt idx="1294">
                  <c:v>1.0600000000000005</c:v>
                </c:pt>
                <c:pt idx="1295">
                  <c:v>1.0500000000000007</c:v>
                </c:pt>
                <c:pt idx="1296">
                  <c:v>1.0399999999999991</c:v>
                </c:pt>
                <c:pt idx="1297">
                  <c:v>1.0299999999999994</c:v>
                </c:pt>
                <c:pt idx="1298">
                  <c:v>1.0199999999999996</c:v>
                </c:pt>
                <c:pt idx="1299">
                  <c:v>1.0099999999999998</c:v>
                </c:pt>
                <c:pt idx="1300">
                  <c:v>1</c:v>
                </c:pt>
                <c:pt idx="1301">
                  <c:v>0.99000000000000021</c:v>
                </c:pt>
                <c:pt idx="1302">
                  <c:v>0.98000000000000043</c:v>
                </c:pt>
                <c:pt idx="1303">
                  <c:v>0.97000000000000064</c:v>
                </c:pt>
                <c:pt idx="1304">
                  <c:v>0.96000000000000085</c:v>
                </c:pt>
                <c:pt idx="1305">
                  <c:v>0.94999999999999929</c:v>
                </c:pt>
                <c:pt idx="1306">
                  <c:v>0.9399999999999995</c:v>
                </c:pt>
                <c:pt idx="1307">
                  <c:v>0.92999999999999972</c:v>
                </c:pt>
                <c:pt idx="1308">
                  <c:v>0.91999999999999993</c:v>
                </c:pt>
                <c:pt idx="1309">
                  <c:v>0.91000000000000014</c:v>
                </c:pt>
                <c:pt idx="1310">
                  <c:v>0.90000000000000036</c:v>
                </c:pt>
                <c:pt idx="1311">
                  <c:v>0.89000000000000057</c:v>
                </c:pt>
                <c:pt idx="1312">
                  <c:v>0.88000000000000078</c:v>
                </c:pt>
                <c:pt idx="1313">
                  <c:v>0.86999999999999922</c:v>
                </c:pt>
                <c:pt idx="1314">
                  <c:v>0.85999999999999943</c:v>
                </c:pt>
                <c:pt idx="1315">
                  <c:v>0.84999999999999964</c:v>
                </c:pt>
                <c:pt idx="1316">
                  <c:v>0.83999999999999986</c:v>
                </c:pt>
                <c:pt idx="1317">
                  <c:v>0.83000000000000007</c:v>
                </c:pt>
                <c:pt idx="1318">
                  <c:v>0.82000000000000028</c:v>
                </c:pt>
                <c:pt idx="1319">
                  <c:v>0.8100000000000005</c:v>
                </c:pt>
                <c:pt idx="1320">
                  <c:v>0.80000000000000071</c:v>
                </c:pt>
                <c:pt idx="1321">
                  <c:v>0.78999999999999915</c:v>
                </c:pt>
                <c:pt idx="1322">
                  <c:v>0.77999999999999936</c:v>
                </c:pt>
                <c:pt idx="1323">
                  <c:v>0.76999999999999957</c:v>
                </c:pt>
                <c:pt idx="1324">
                  <c:v>0.75999999999999979</c:v>
                </c:pt>
                <c:pt idx="1325">
                  <c:v>0.75</c:v>
                </c:pt>
                <c:pt idx="1326">
                  <c:v>0.74000000000000021</c:v>
                </c:pt>
                <c:pt idx="1327">
                  <c:v>0.73000000000000043</c:v>
                </c:pt>
                <c:pt idx="1328">
                  <c:v>0.72000000000000064</c:v>
                </c:pt>
                <c:pt idx="1329">
                  <c:v>0.71000000000000085</c:v>
                </c:pt>
                <c:pt idx="1330">
                  <c:v>0.69999999999999929</c:v>
                </c:pt>
                <c:pt idx="1331">
                  <c:v>0.6899999999999995</c:v>
                </c:pt>
                <c:pt idx="1332">
                  <c:v>0.67999999999999972</c:v>
                </c:pt>
                <c:pt idx="1333">
                  <c:v>0.66999999999999993</c:v>
                </c:pt>
                <c:pt idx="1334">
                  <c:v>0.66000000000000014</c:v>
                </c:pt>
                <c:pt idx="1335">
                  <c:v>0.65000000000000036</c:v>
                </c:pt>
                <c:pt idx="1336">
                  <c:v>0.64000000000000057</c:v>
                </c:pt>
                <c:pt idx="1337">
                  <c:v>0.63000000000000078</c:v>
                </c:pt>
                <c:pt idx="1338">
                  <c:v>0.61999999999999922</c:v>
                </c:pt>
                <c:pt idx="1339">
                  <c:v>0.60999999999999943</c:v>
                </c:pt>
                <c:pt idx="1340">
                  <c:v>0.59999999999999964</c:v>
                </c:pt>
                <c:pt idx="1341">
                  <c:v>0.58999999999999986</c:v>
                </c:pt>
                <c:pt idx="1342">
                  <c:v>0.58000000000000007</c:v>
                </c:pt>
                <c:pt idx="1343">
                  <c:v>0.57000000000000028</c:v>
                </c:pt>
                <c:pt idx="1344">
                  <c:v>0.5600000000000005</c:v>
                </c:pt>
                <c:pt idx="1345">
                  <c:v>0.55000000000000071</c:v>
                </c:pt>
                <c:pt idx="1346">
                  <c:v>0.53999999999999915</c:v>
                </c:pt>
                <c:pt idx="1347">
                  <c:v>0.52999999999999936</c:v>
                </c:pt>
                <c:pt idx="1348">
                  <c:v>0.51999999999999957</c:v>
                </c:pt>
                <c:pt idx="1349">
                  <c:v>0.50999999999999979</c:v>
                </c:pt>
                <c:pt idx="1350">
                  <c:v>0.5</c:v>
                </c:pt>
                <c:pt idx="1351">
                  <c:v>0.49000000000000021</c:v>
                </c:pt>
                <c:pt idx="1352">
                  <c:v>0.48000000000000043</c:v>
                </c:pt>
                <c:pt idx="1353">
                  <c:v>0.47000000000000064</c:v>
                </c:pt>
                <c:pt idx="1354">
                  <c:v>0.46000000000000085</c:v>
                </c:pt>
                <c:pt idx="1355">
                  <c:v>0.44999999999999929</c:v>
                </c:pt>
                <c:pt idx="1356">
                  <c:v>0.4399999999999995</c:v>
                </c:pt>
                <c:pt idx="1357">
                  <c:v>0.42999999999999972</c:v>
                </c:pt>
                <c:pt idx="1358">
                  <c:v>0.41999999999999993</c:v>
                </c:pt>
                <c:pt idx="1359">
                  <c:v>0.41000000000000014</c:v>
                </c:pt>
                <c:pt idx="1360">
                  <c:v>0.40000000000000036</c:v>
                </c:pt>
                <c:pt idx="1361">
                  <c:v>0.39000000000000057</c:v>
                </c:pt>
                <c:pt idx="1362">
                  <c:v>0.38000000000000078</c:v>
                </c:pt>
                <c:pt idx="1363">
                  <c:v>0.36999999999999922</c:v>
                </c:pt>
                <c:pt idx="1364">
                  <c:v>0.35999999999999943</c:v>
                </c:pt>
                <c:pt idx="1365">
                  <c:v>0.34999999999999964</c:v>
                </c:pt>
                <c:pt idx="1366">
                  <c:v>0.33999999999999986</c:v>
                </c:pt>
                <c:pt idx="1367">
                  <c:v>0.33000000000000007</c:v>
                </c:pt>
                <c:pt idx="1368">
                  <c:v>0.32000000000000028</c:v>
                </c:pt>
                <c:pt idx="1369">
                  <c:v>0.3100000000000005</c:v>
                </c:pt>
                <c:pt idx="1370">
                  <c:v>0.30000000000000071</c:v>
                </c:pt>
                <c:pt idx="1371">
                  <c:v>0.28999999999999915</c:v>
                </c:pt>
                <c:pt idx="1372">
                  <c:v>0.27999999999999936</c:v>
                </c:pt>
                <c:pt idx="1373">
                  <c:v>0.26999999999999957</c:v>
                </c:pt>
                <c:pt idx="1374">
                  <c:v>0.25999999999999979</c:v>
                </c:pt>
                <c:pt idx="1375">
                  <c:v>0.25</c:v>
                </c:pt>
                <c:pt idx="1376">
                  <c:v>0.24000000000000021</c:v>
                </c:pt>
                <c:pt idx="1377">
                  <c:v>0.23000000000000043</c:v>
                </c:pt>
                <c:pt idx="1378">
                  <c:v>0.22000000000000064</c:v>
                </c:pt>
                <c:pt idx="1379">
                  <c:v>0.21000000000000085</c:v>
                </c:pt>
                <c:pt idx="1380">
                  <c:v>0.19999999999999929</c:v>
                </c:pt>
                <c:pt idx="1381">
                  <c:v>0.1899999999999995</c:v>
                </c:pt>
                <c:pt idx="1382">
                  <c:v>0.17999999999999972</c:v>
                </c:pt>
                <c:pt idx="1383">
                  <c:v>0.16999999999999993</c:v>
                </c:pt>
                <c:pt idx="1384">
                  <c:v>0.16000000000000014</c:v>
                </c:pt>
                <c:pt idx="1385">
                  <c:v>0.15000000000000036</c:v>
                </c:pt>
                <c:pt idx="1386">
                  <c:v>0.14000000000000057</c:v>
                </c:pt>
                <c:pt idx="1387">
                  <c:v>0.13000000000000078</c:v>
                </c:pt>
                <c:pt idx="1388">
                  <c:v>0.11999999999999922</c:v>
                </c:pt>
                <c:pt idx="1389">
                  <c:v>0.10999999999999943</c:v>
                </c:pt>
                <c:pt idx="1390">
                  <c:v>9.9999999999999645E-2</c:v>
                </c:pt>
                <c:pt idx="1391">
                  <c:v>8.9999999999999858E-2</c:v>
                </c:pt>
                <c:pt idx="1392">
                  <c:v>8.0000000000000071E-2</c:v>
                </c:pt>
                <c:pt idx="1393">
                  <c:v>7.0000000000000284E-2</c:v>
                </c:pt>
                <c:pt idx="1394">
                  <c:v>6.0000000000000497E-2</c:v>
                </c:pt>
                <c:pt idx="1395">
                  <c:v>5.0000000000000711E-2</c:v>
                </c:pt>
                <c:pt idx="1396">
                  <c:v>3.9999999999999147E-2</c:v>
                </c:pt>
                <c:pt idx="1397">
                  <c:v>2.9999999999999361E-2</c:v>
                </c:pt>
                <c:pt idx="1398">
                  <c:v>1.9999999999999574E-2</c:v>
                </c:pt>
                <c:pt idx="1399">
                  <c:v>9.9999999999997868E-3</c:v>
                </c:pt>
                <c:pt idx="1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C-488A-94B1-F22618A56F75}"/>
            </c:ext>
          </c:extLst>
        </c:ser>
        <c:ser>
          <c:idx val="2"/>
          <c:order val="2"/>
          <c:tx>
            <c:strRef>
              <c:f>'Bjerrum Plot'!$O$2</c:f>
              <c:strCache>
                <c:ptCount val="1"/>
                <c:pt idx="0">
                  <c:v>pHA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'Bjerrum Plot'!$M$3:$M$1403</c:f>
              <c:numCache>
                <c:formatCode>General</c:formatCode>
                <c:ptCount val="1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</c:numCache>
            </c:numRef>
          </c:xVal>
          <c:yVal>
            <c:numRef>
              <c:f>'Bjerrum Plot'!$O$3:$O$1403</c:f>
              <c:numCache>
                <c:formatCode>General</c:formatCode>
                <c:ptCount val="1401"/>
                <c:pt idx="0">
                  <c:v>4.0000017289540324</c:v>
                </c:pt>
                <c:pt idx="1">
                  <c:v>4.0000017692264631</c:v>
                </c:pt>
                <c:pt idx="2">
                  <c:v>4.0000018104369559</c:v>
                </c:pt>
                <c:pt idx="3">
                  <c:v>4.00000185260736</c:v>
                </c:pt>
                <c:pt idx="4">
                  <c:v>4.0000018957600343</c:v>
                </c:pt>
                <c:pt idx="5">
                  <c:v>4.0000019399178592</c:v>
                </c:pt>
                <c:pt idx="6">
                  <c:v>4.0000019851042481</c:v>
                </c:pt>
                <c:pt idx="7">
                  <c:v>4.0000020313431577</c:v>
                </c:pt>
                <c:pt idx="8">
                  <c:v>4.0000020786591053</c:v>
                </c:pt>
                <c:pt idx="9">
                  <c:v>4.0000021270771775</c:v>
                </c:pt>
                <c:pt idx="10">
                  <c:v>4.0000021766230454</c:v>
                </c:pt>
                <c:pt idx="11">
                  <c:v>4.0000022273229785</c:v>
                </c:pt>
                <c:pt idx="12">
                  <c:v>4.0000022792038594</c:v>
                </c:pt>
                <c:pt idx="13">
                  <c:v>4.000002332293195</c:v>
                </c:pt>
                <c:pt idx="14">
                  <c:v>4.0000023866191334</c:v>
                </c:pt>
                <c:pt idx="15">
                  <c:v>4.0000024422104783</c:v>
                </c:pt>
                <c:pt idx="16">
                  <c:v>4.0000024990967038</c:v>
                </c:pt>
                <c:pt idx="17">
                  <c:v>4.0000025573079725</c:v>
                </c:pt>
                <c:pt idx="18">
                  <c:v>4.0000026168751486</c:v>
                </c:pt>
                <c:pt idx="19">
                  <c:v>4.000002677829813</c:v>
                </c:pt>
                <c:pt idx="20">
                  <c:v>4.0000027402042857</c:v>
                </c:pt>
                <c:pt idx="21">
                  <c:v>4.0000028040316371</c:v>
                </c:pt>
                <c:pt idx="22">
                  <c:v>4.0000028693457086</c:v>
                </c:pt>
                <c:pt idx="23">
                  <c:v>4.0000029361811293</c:v>
                </c:pt>
                <c:pt idx="24">
                  <c:v>4.0000030045733377</c:v>
                </c:pt>
                <c:pt idx="25">
                  <c:v>4.0000030745585935</c:v>
                </c:pt>
                <c:pt idx="26">
                  <c:v>4.0000031461740031</c:v>
                </c:pt>
                <c:pt idx="27">
                  <c:v>4.0000032194575388</c:v>
                </c:pt>
                <c:pt idx="28">
                  <c:v>4.0000032944480539</c:v>
                </c:pt>
                <c:pt idx="29">
                  <c:v>4.0000033711853087</c:v>
                </c:pt>
                <c:pt idx="30">
                  <c:v>4.0000034497099906</c:v>
                </c:pt>
                <c:pt idx="31">
                  <c:v>4.000003530063732</c:v>
                </c:pt>
                <c:pt idx="32">
                  <c:v>4.0000036122891371</c:v>
                </c:pt>
                <c:pt idx="33">
                  <c:v>4.0000036964298022</c:v>
                </c:pt>
                <c:pt idx="34">
                  <c:v>4.0000037825303387</c:v>
                </c:pt>
                <c:pt idx="35">
                  <c:v>4.0000038706363954</c:v>
                </c:pt>
                <c:pt idx="36">
                  <c:v>4.0000039607946887</c:v>
                </c:pt>
                <c:pt idx="37">
                  <c:v>4.0000040530530176</c:v>
                </c:pt>
                <c:pt idx="38">
                  <c:v>4.0000041474602996</c:v>
                </c:pt>
                <c:pt idx="39">
                  <c:v>4.0000042440665879</c:v>
                </c:pt>
                <c:pt idx="40">
                  <c:v>4.0000043429231047</c:v>
                </c:pt>
                <c:pt idx="41">
                  <c:v>4.0000044440822613</c:v>
                </c:pt>
                <c:pt idx="42">
                  <c:v>4.0000045475976931</c:v>
                </c:pt>
                <c:pt idx="43">
                  <c:v>4.0000046535242832</c:v>
                </c:pt>
                <c:pt idx="44">
                  <c:v>4.0000047619181949</c:v>
                </c:pt>
                <c:pt idx="45">
                  <c:v>4.0000048728368958</c:v>
                </c:pt>
                <c:pt idx="46">
                  <c:v>4.0000049863391967</c:v>
                </c:pt>
                <c:pt idx="47">
                  <c:v>4.0000051024852743</c:v>
                </c:pt>
                <c:pt idx="48">
                  <c:v>4.0000052213367105</c:v>
                </c:pt>
                <c:pt idx="49">
                  <c:v>4.0000053429565181</c:v>
                </c:pt>
                <c:pt idx="50">
                  <c:v>4.0000054674091796</c:v>
                </c:pt>
                <c:pt idx="51">
                  <c:v>4.0000055947606787</c:v>
                </c:pt>
                <c:pt idx="52">
                  <c:v>4.0000057250785375</c:v>
                </c:pt>
                <c:pt idx="53">
                  <c:v>4.0000058584318481</c:v>
                </c:pt>
                <c:pt idx="54">
                  <c:v>4.000005994891314</c:v>
                </c:pt>
                <c:pt idx="55">
                  <c:v>4.0000061345292846</c:v>
                </c:pt>
                <c:pt idx="56">
                  <c:v>4.0000062774197955</c:v>
                </c:pt>
                <c:pt idx="57">
                  <c:v>4.000006423638605</c:v>
                </c:pt>
                <c:pt idx="58">
                  <c:v>4.0000065732632368</c:v>
                </c:pt>
                <c:pt idx="59">
                  <c:v>4.0000067263730212</c:v>
                </c:pt>
                <c:pt idx="60">
                  <c:v>4.0000068830491342</c:v>
                </c:pt>
                <c:pt idx="61">
                  <c:v>4.0000070433746444</c:v>
                </c:pt>
                <c:pt idx="62">
                  <c:v>4.000007207434555</c:v>
                </c:pt>
                <c:pt idx="63">
                  <c:v>4.0000073753158469</c:v>
                </c:pt>
                <c:pt idx="64">
                  <c:v>4.0000075471075291</c:v>
                </c:pt>
                <c:pt idx="65">
                  <c:v>4.0000077229006834</c:v>
                </c:pt>
                <c:pt idx="66">
                  <c:v>4.0000079027885125</c:v>
                </c:pt>
                <c:pt idx="67">
                  <c:v>4.0000080868663908</c:v>
                </c:pt>
                <c:pt idx="68">
                  <c:v>4.0000082752319122</c:v>
                </c:pt>
                <c:pt idx="69">
                  <c:v>4.0000084679849461</c:v>
                </c:pt>
                <c:pt idx="70">
                  <c:v>4.0000086652276865</c:v>
                </c:pt>
                <c:pt idx="71">
                  <c:v>4.0000088670647074</c:v>
                </c:pt>
                <c:pt idx="72">
                  <c:v>4.00000907360302</c:v>
                </c:pt>
                <c:pt idx="73">
                  <c:v>4.0000092849521263</c:v>
                </c:pt>
                <c:pt idx="74">
                  <c:v>4.0000095012240786</c:v>
                </c:pt>
                <c:pt idx="75">
                  <c:v>4.00000972253354</c:v>
                </c:pt>
                <c:pt idx="76">
                  <c:v>4.0000099489978451</c:v>
                </c:pt>
                <c:pt idx="77">
                  <c:v>4.0000101807370587</c:v>
                </c:pt>
                <c:pt idx="78">
                  <c:v>4.0000104178740443</c:v>
                </c:pt>
                <c:pt idx="79">
                  <c:v>4.0000106605345254</c:v>
                </c:pt>
                <c:pt idx="80">
                  <c:v>4.0000109088471554</c:v>
                </c:pt>
                <c:pt idx="81">
                  <c:v>4.0000111629435819</c:v>
                </c:pt>
                <c:pt idx="82">
                  <c:v>4.0000114229585213</c:v>
                </c:pt>
                <c:pt idx="83">
                  <c:v>4.0000116890298258</c:v>
                </c:pt>
                <c:pt idx="84">
                  <c:v>4.0000119612985578</c:v>
                </c:pt>
                <c:pt idx="85">
                  <c:v>4.0000122399090667</c:v>
                </c:pt>
                <c:pt idx="86">
                  <c:v>4.0000125250090628</c:v>
                </c:pt>
                <c:pt idx="87">
                  <c:v>4.0000128167496971</c:v>
                </c:pt>
                <c:pt idx="88">
                  <c:v>4.0000131152856415</c:v>
                </c:pt>
                <c:pt idx="89">
                  <c:v>4.0000134207751685</c:v>
                </c:pt>
                <c:pt idx="90">
                  <c:v>4.0000137333802384</c:v>
                </c:pt>
                <c:pt idx="91">
                  <c:v>4.0000140532665824</c:v>
                </c:pt>
                <c:pt idx="92">
                  <c:v>4.0000143806037922</c:v>
                </c:pt>
                <c:pt idx="93">
                  <c:v>4.0000147155654107</c:v>
                </c:pt>
                <c:pt idx="94">
                  <c:v>4.0000150583290202</c:v>
                </c:pt>
                <c:pt idx="95">
                  <c:v>4.0000154090763393</c:v>
                </c:pt>
                <c:pt idx="96">
                  <c:v>4.0000157679933199</c:v>
                </c:pt>
                <c:pt idx="97">
                  <c:v>4.0000161352702435</c:v>
                </c:pt>
                <c:pt idx="98">
                  <c:v>4.0000165111018244</c:v>
                </c:pt>
                <c:pt idx="99">
                  <c:v>4.0000168956873114</c:v>
                </c:pt>
                <c:pt idx="100">
                  <c:v>4.0000172892305921</c:v>
                </c:pt>
                <c:pt idx="101">
                  <c:v>4.0000176919403039</c:v>
                </c:pt>
                <c:pt idx="102">
                  <c:v>4.0000181040299436</c:v>
                </c:pt>
                <c:pt idx="103">
                  <c:v>4.0000185257179792</c:v>
                </c:pt>
                <c:pt idx="104">
                  <c:v>4.000018957227967</c:v>
                </c:pt>
                <c:pt idx="105">
                  <c:v>4.0000193987886696</c:v>
                </c:pt>
                <c:pt idx="106">
                  <c:v>4.0000198506341782</c:v>
                </c:pt>
                <c:pt idx="107">
                  <c:v>4.0000203130040335</c:v>
                </c:pt>
                <c:pt idx="108">
                  <c:v>4.0000207861433568</c:v>
                </c:pt>
                <c:pt idx="109">
                  <c:v>4.0000212703029776</c:v>
                </c:pt>
                <c:pt idx="110">
                  <c:v>4.0000217657395654</c:v>
                </c:pt>
                <c:pt idx="111">
                  <c:v>4.0000222727157686</c:v>
                </c:pt>
                <c:pt idx="112">
                  <c:v>4.0000227915003528</c:v>
                </c:pt>
                <c:pt idx="113">
                  <c:v>4.0000233223683397</c:v>
                </c:pt>
                <c:pt idx="114">
                  <c:v>4.0000238656011593</c:v>
                </c:pt>
                <c:pt idx="115">
                  <c:v>4.0000244214867937</c:v>
                </c:pt>
                <c:pt idx="116">
                  <c:v>4.0000249903199308</c:v>
                </c:pt>
                <c:pt idx="117">
                  <c:v>4.0000255724021221</c:v>
                </c:pt>
                <c:pt idx="118">
                  <c:v>4.0000261680419422</c:v>
                </c:pt>
                <c:pt idx="119">
                  <c:v>4.000026777555151</c:v>
                </c:pt>
                <c:pt idx="120">
                  <c:v>4.0000274012648598</c:v>
                </c:pt>
                <c:pt idx="121">
                  <c:v>4.0000280395017072</c:v>
                </c:pt>
                <c:pt idx="122">
                  <c:v>4.0000286926040296</c:v>
                </c:pt>
                <c:pt idx="123">
                  <c:v>4.0000293609180426</c:v>
                </c:pt>
                <c:pt idx="124">
                  <c:v>4.0000300447980237</c:v>
                </c:pt>
                <c:pt idx="125">
                  <c:v>4.0000307446065015</c:v>
                </c:pt>
                <c:pt idx="126">
                  <c:v>4.0000314607144452</c:v>
                </c:pt>
                <c:pt idx="127">
                  <c:v>4.0000321935014638</c:v>
                </c:pt>
                <c:pt idx="128">
                  <c:v>4.000032943356004</c:v>
                </c:pt>
                <c:pt idx="129">
                  <c:v>4.0000337106755604</c:v>
                </c:pt>
                <c:pt idx="130">
                  <c:v>4.0000344958668821</c:v>
                </c:pt>
                <c:pt idx="131">
                  <c:v>4.0000352993461892</c:v>
                </c:pt>
                <c:pt idx="132">
                  <c:v>4.0000361215393951</c:v>
                </c:pt>
                <c:pt idx="133">
                  <c:v>4.0000369628823291</c:v>
                </c:pt>
                <c:pt idx="134">
                  <c:v>4.0000378238209713</c:v>
                </c:pt>
                <c:pt idx="135">
                  <c:v>4.0000387048116828</c:v>
                </c:pt>
                <c:pt idx="136">
                  <c:v>4.0000396063214545</c:v>
                </c:pt>
                <c:pt idx="137">
                  <c:v>4.0000405288281495</c:v>
                </c:pt>
                <c:pt idx="138">
                  <c:v>4.0000414728207563</c:v>
                </c:pt>
                <c:pt idx="139">
                  <c:v>4.0000424387996523</c:v>
                </c:pt>
                <c:pt idx="140">
                  <c:v>4.0000434272768626</c:v>
                </c:pt>
                <c:pt idx="141">
                  <c:v>4.0000444387763361</c:v>
                </c:pt>
                <c:pt idx="142">
                  <c:v>4.0000454738342199</c:v>
                </c:pt>
                <c:pt idx="143">
                  <c:v>4.0000465329991455</c:v>
                </c:pt>
                <c:pt idx="144">
                  <c:v>4.0000476168325179</c:v>
                </c:pt>
                <c:pt idx="145">
                  <c:v>4.0000487259088127</c:v>
                </c:pt>
                <c:pt idx="146">
                  <c:v>4.0000498608158805</c:v>
                </c:pt>
                <c:pt idx="147">
                  <c:v>4.0000510221552599</c:v>
                </c:pt>
                <c:pt idx="148">
                  <c:v>4.0000522105424929</c:v>
                </c:pt>
                <c:pt idx="149">
                  <c:v>4.0000534266074554</c:v>
                </c:pt>
                <c:pt idx="150">
                  <c:v>4.0000546709946843</c:v>
                </c:pt>
                <c:pt idx="151">
                  <c:v>4.0000559443637238</c:v>
                </c:pt>
                <c:pt idx="152">
                  <c:v>4.0000572473894733</c:v>
                </c:pt>
                <c:pt idx="153">
                  <c:v>4.0000585807625457</c:v>
                </c:pt>
                <c:pt idx="154">
                  <c:v>4.0000599451896273</c:v>
                </c:pt>
                <c:pt idx="155">
                  <c:v>4.0000613413938622</c:v>
                </c:pt>
                <c:pt idx="156">
                  <c:v>4.0000627701152238</c:v>
                </c:pt>
                <c:pt idx="157">
                  <c:v>4.0000642321109163</c:v>
                </c:pt>
                <c:pt idx="158">
                  <c:v>4.0000657281557679</c:v>
                </c:pt>
                <c:pt idx="159">
                  <c:v>4.0000672590426456</c:v>
                </c:pt>
                <c:pt idx="160">
                  <c:v>4.0000688255828738</c:v>
                </c:pt>
                <c:pt idx="161">
                  <c:v>4.0000704286066604</c:v>
                </c:pt>
                <c:pt idx="162">
                  <c:v>4.0000720689635436</c:v>
                </c:pt>
                <c:pt idx="163">
                  <c:v>4.0000737475228334</c:v>
                </c:pt>
                <c:pt idx="164">
                  <c:v>4.0000754651740751</c:v>
                </c:pt>
                <c:pt idx="165">
                  <c:v>4.000077222827521</c:v>
                </c:pt>
                <c:pt idx="166">
                  <c:v>4.0000790214146118</c:v>
                </c:pt>
                <c:pt idx="167">
                  <c:v>4.0000808618884669</c:v>
                </c:pt>
                <c:pt idx="168">
                  <c:v>4.0000827452243914</c:v>
                </c:pt>
                <c:pt idx="169">
                  <c:v>4.0000846724203898</c:v>
                </c:pt>
                <c:pt idx="170">
                  <c:v>4.0000866444976966</c:v>
                </c:pt>
                <c:pt idx="171">
                  <c:v>4.0000886625013141</c:v>
                </c:pt>
                <c:pt idx="172">
                  <c:v>4.0000907275005684</c:v>
                </c:pt>
                <c:pt idx="173">
                  <c:v>4.0000928405896694</c:v>
                </c:pt>
                <c:pt idx="174">
                  <c:v>4.0000950028882949</c:v>
                </c:pt>
                <c:pt idx="175">
                  <c:v>4.0000972155421817</c:v>
                </c:pt>
                <c:pt idx="176">
                  <c:v>4.0000994797237279</c:v>
                </c:pt>
                <c:pt idx="177">
                  <c:v>4.0001017966326176</c:v>
                </c:pt>
                <c:pt idx="178">
                  <c:v>4.0001041674964526</c:v>
                </c:pt>
                <c:pt idx="179">
                  <c:v>4.0001065935714015</c:v>
                </c:pt>
                <c:pt idx="180">
                  <c:v>4.0001090761428664</c:v>
                </c:pt>
                <c:pt idx="181">
                  <c:v>4.0001116165261585</c:v>
                </c:pt>
                <c:pt idx="182">
                  <c:v>4.0001142160671961</c:v>
                </c:pt>
                <c:pt idx="183">
                  <c:v>4.0001168761432151</c:v>
                </c:pt>
                <c:pt idx="184">
                  <c:v>4.0001195981634972</c:v>
                </c:pt>
                <c:pt idx="185">
                  <c:v>4.0001223835701154</c:v>
                </c:pt>
                <c:pt idx="186">
                  <c:v>4.0001252338386957</c:v>
                </c:pt>
                <c:pt idx="187">
                  <c:v>4.0001281504791946</c:v>
                </c:pt>
                <c:pt idx="188">
                  <c:v>4.0001311350367006</c:v>
                </c:pt>
                <c:pt idx="189">
                  <c:v>4.0001341890922495</c:v>
                </c:pt>
                <c:pt idx="190">
                  <c:v>4.0001373142636583</c:v>
                </c:pt>
                <c:pt idx="191">
                  <c:v>4.0001405122063804</c:v>
                </c:pt>
                <c:pt idx="192">
                  <c:v>4.0001437846143792</c:v>
                </c:pt>
                <c:pt idx="193">
                  <c:v>4.0001471332210281</c:v>
                </c:pt>
                <c:pt idx="194">
                  <c:v>4.0001505598000167</c:v>
                </c:pt>
                <c:pt idx="195">
                  <c:v>4.0001540661662967</c:v>
                </c:pt>
                <c:pt idx="196">
                  <c:v>4.0001576541770323</c:v>
                </c:pt>
                <c:pt idx="197">
                  <c:v>4.0001613257325888</c:v>
                </c:pt>
                <c:pt idx="198">
                  <c:v>4.000165082777527</c:v>
                </c:pt>
                <c:pt idx="199">
                  <c:v>4.0001689273016394</c:v>
                </c:pt>
                <c:pt idx="200">
                  <c:v>4.0001728613409906</c:v>
                </c:pt>
                <c:pt idx="201">
                  <c:v>4.0001768869789993</c:v>
                </c:pt>
                <c:pt idx="202">
                  <c:v>4.0001810063475336</c:v>
                </c:pt>
                <c:pt idx="203">
                  <c:v>4.0001852216280405</c:v>
                </c:pt>
                <c:pt idx="204">
                  <c:v>4.000189535052689</c:v>
                </c:pt>
                <c:pt idx="205">
                  <c:v>4.0001939489055554</c:v>
                </c:pt>
                <c:pt idx="206">
                  <c:v>4.0001984655238241</c:v>
                </c:pt>
                <c:pt idx="207">
                  <c:v>4.0002030872990213</c:v>
                </c:pt>
                <c:pt idx="208">
                  <c:v>4.0002078166782766</c:v>
                </c:pt>
                <c:pt idx="209">
                  <c:v>4.0002126561656119</c:v>
                </c:pt>
                <c:pt idx="210">
                  <c:v>4.0002176083232621</c:v>
                </c:pt>
                <c:pt idx="211">
                  <c:v>4.0002226757730259</c:v>
                </c:pt>
                <c:pt idx="212">
                  <c:v>4.0002278611976481</c:v>
                </c:pt>
                <c:pt idx="213">
                  <c:v>4.000233167342234</c:v>
                </c:pt>
                <c:pt idx="214">
                  <c:v>4.0002385970156933</c:v>
                </c:pt>
                <c:pt idx="215">
                  <c:v>4.0002441530922219</c:v>
                </c:pt>
                <c:pt idx="216">
                  <c:v>4.0002498385128158</c:v>
                </c:pt>
                <c:pt idx="217">
                  <c:v>4.0002556562868188</c:v>
                </c:pt>
                <c:pt idx="218">
                  <c:v>4.0002616094935091</c:v>
                </c:pt>
                <c:pt idx="219">
                  <c:v>4.00026770128372</c:v>
                </c:pt>
                <c:pt idx="220">
                  <c:v>4.0002739348814966</c:v>
                </c:pt>
                <c:pt idx="221">
                  <c:v>4.0002803135857956</c:v>
                </c:pt>
                <c:pt idx="222">
                  <c:v>4.0002868407722207</c:v>
                </c:pt>
                <c:pt idx="223">
                  <c:v>4.0002935198947958</c:v>
                </c:pt>
                <c:pt idx="224">
                  <c:v>4.0003003544877869</c:v>
                </c:pt>
                <c:pt idx="225">
                  <c:v>4.0003073481675573</c:v>
                </c:pt>
                <c:pt idx="226">
                  <c:v>4.0003145046344688</c:v>
                </c:pt>
                <c:pt idx="227">
                  <c:v>4.0003218276748322</c:v>
                </c:pt>
                <c:pt idx="228">
                  <c:v>4.0003293211628925</c:v>
                </c:pt>
                <c:pt idx="229">
                  <c:v>4.0003369890628653</c:v>
                </c:pt>
                <c:pt idx="230">
                  <c:v>4.0003448354310249</c:v>
                </c:pt>
                <c:pt idx="231">
                  <c:v>4.0003528644178292</c:v>
                </c:pt>
                <c:pt idx="232">
                  <c:v>4.0003610802701015</c:v>
                </c:pt>
                <c:pt idx="233">
                  <c:v>4.0003694873332636</c:v>
                </c:pt>
                <c:pt idx="234">
                  <c:v>4.0003780900536121</c:v>
                </c:pt>
                <c:pt idx="235">
                  <c:v>4.0003868929806554</c:v>
                </c:pt>
                <c:pt idx="236">
                  <c:v>4.0003959007695</c:v>
                </c:pt>
                <c:pt idx="237">
                  <c:v>4.0004051181832949</c:v>
                </c:pt>
                <c:pt idx="238">
                  <c:v>4.0004145500957247</c:v>
                </c:pt>
                <c:pt idx="239">
                  <c:v>4.00042420149357</c:v>
                </c:pt>
                <c:pt idx="240">
                  <c:v>4.0004340774793183</c:v>
                </c:pt>
                <c:pt idx="241">
                  <c:v>4.0004441832738422</c:v>
                </c:pt>
                <c:pt idx="242">
                  <c:v>4.0004545242191289</c:v>
                </c:pt>
                <c:pt idx="243">
                  <c:v>4.0004651057810827</c:v>
                </c:pt>
                <c:pt idx="244">
                  <c:v>4.0004759335523881</c:v>
                </c:pt>
                <c:pt idx="245">
                  <c:v>4.0004870132554311</c:v>
                </c:pt>
                <c:pt idx="246">
                  <c:v>4.0004983507453016</c:v>
                </c:pt>
                <c:pt idx="247">
                  <c:v>4.0005099520128518</c:v>
                </c:pt>
                <c:pt idx="248">
                  <c:v>4.0005218231878308</c:v>
                </c:pt>
                <c:pt idx="249">
                  <c:v>4.0005339705420884</c:v>
                </c:pt>
                <c:pt idx="250">
                  <c:v>4.0005464004928575</c:v>
                </c:pt>
                <c:pt idx="251">
                  <c:v>4.0005591196060992</c:v>
                </c:pt>
                <c:pt idx="252">
                  <c:v>4.000572134599941</c:v>
                </c:pt>
                <c:pt idx="253">
                  <c:v>4.0005854523481776</c:v>
                </c:pt>
                <c:pt idx="254">
                  <c:v>4.0005990798838624</c:v>
                </c:pt>
                <c:pt idx="255">
                  <c:v>4.0006130244029752</c:v>
                </c:pt>
                <c:pt idx="256">
                  <c:v>4.0006272932681775</c:v>
                </c:pt>
                <c:pt idx="257">
                  <c:v>4.0006418940126487</c:v>
                </c:pt>
                <c:pt idx="258">
                  <c:v>4.0006568343440119</c:v>
                </c:pt>
                <c:pt idx="259">
                  <c:v>4.0006721221483525</c:v>
                </c:pt>
                <c:pt idx="260">
                  <c:v>4.0006877654943187</c:v>
                </c:pt>
                <c:pt idx="261">
                  <c:v>4.0007037726373271</c:v>
                </c:pt>
                <c:pt idx="262">
                  <c:v>4.0007201520238551</c:v>
                </c:pt>
                <c:pt idx="263">
                  <c:v>4.0007369122958334</c:v>
                </c:pt>
                <c:pt idx="264">
                  <c:v>4.0007540622951367</c:v>
                </c:pt>
                <c:pt idx="265">
                  <c:v>4.0007716110681812</c:v>
                </c:pt>
                <c:pt idx="266">
                  <c:v>4.00078956787062</c:v>
                </c:pt>
                <c:pt idx="267">
                  <c:v>4.0008079421721483</c:v>
                </c:pt>
                <c:pt idx="268">
                  <c:v>4.0008267436614151</c:v>
                </c:pt>
                <c:pt idx="269">
                  <c:v>4.0008459822510485</c:v>
                </c:pt>
                <c:pt idx="270">
                  <c:v>4.0008656680827936</c:v>
                </c:pt>
                <c:pt idx="271">
                  <c:v>4.000885811532763</c:v>
                </c:pt>
                <c:pt idx="272">
                  <c:v>4.0009064232168114</c:v>
                </c:pt>
                <c:pt idx="273">
                  <c:v>4.0009275139960279</c:v>
                </c:pt>
                <c:pt idx="274">
                  <c:v>4.0009490949823521</c:v>
                </c:pt>
                <c:pt idx="275">
                  <c:v>4.000971177544316</c:v>
                </c:pt>
                <c:pt idx="276">
                  <c:v>4.0009937733129188</c:v>
                </c:pt>
                <c:pt idx="277">
                  <c:v>4.0010168941876261</c:v>
                </c:pt>
                <c:pt idx="278">
                  <c:v>4.0010405523425137</c:v>
                </c:pt>
                <c:pt idx="279">
                  <c:v>4.0010647602325387</c:v>
                </c:pt>
                <c:pt idx="280">
                  <c:v>4.0010895305999616</c:v>
                </c:pt>
                <c:pt idx="281">
                  <c:v>4.0011148764809006</c:v>
                </c:pt>
                <c:pt idx="282">
                  <c:v>4.0011408112120428</c:v>
                </c:pt>
                <c:pt idx="283">
                  <c:v>4.0011673484374999</c:v>
                </c:pt>
                <c:pt idx="284">
                  <c:v>4.0011945021158164</c:v>
                </c:pt>
                <c:pt idx="285">
                  <c:v>4.0012222865271383</c:v>
                </c:pt>
                <c:pt idx="286">
                  <c:v>4.0012507162805351</c:v>
                </c:pt>
                <c:pt idx="287">
                  <c:v>4.0012798063214898</c:v>
                </c:pt>
                <c:pt idx="288">
                  <c:v>4.0013095719395553</c:v>
                </c:pt>
                <c:pt idx="289">
                  <c:v>4.0013400287761751</c:v>
                </c:pt>
                <c:pt idx="290">
                  <c:v>4.0013711928326829</c:v>
                </c:pt>
                <c:pt idx="291">
                  <c:v>4.0014030804784806</c:v>
                </c:pt>
                <c:pt idx="292">
                  <c:v>4.001435708459387</c:v>
                </c:pt>
                <c:pt idx="293">
                  <c:v>4.0014690939061843</c:v>
                </c:pt>
                <c:pt idx="294">
                  <c:v>4.0015032543433442</c:v>
                </c:pt>
                <c:pt idx="295">
                  <c:v>4.001538207697946</c:v>
                </c:pt>
                <c:pt idx="296">
                  <c:v>4.0015739723087984</c:v>
                </c:pt>
                <c:pt idx="297">
                  <c:v>4.001610566935752</c:v>
                </c:pt>
                <c:pt idx="298">
                  <c:v>4.0016480107692232</c:v>
                </c:pt>
                <c:pt idx="299">
                  <c:v>4.0016863234399205</c:v>
                </c:pt>
                <c:pt idx="300">
                  <c:v>4.0017255250287924</c:v>
                </c:pt>
                <c:pt idx="301">
                  <c:v>4.0017656360771818</c:v>
                </c:pt>
                <c:pt idx="302">
                  <c:v>4.0018066775972079</c:v>
                </c:pt>
                <c:pt idx="303">
                  <c:v>4.0018486710823744</c:v>
                </c:pt>
                <c:pt idx="304">
                  <c:v>4.0018916385184067</c:v>
                </c:pt>
                <c:pt idx="305">
                  <c:v>4.0019356023943207</c:v>
                </c:pt>
                <c:pt idx="306">
                  <c:v>4.0019805857137376</c:v>
                </c:pt>
                <c:pt idx="307">
                  <c:v>4.0020266120064383</c:v>
                </c:pt>
                <c:pt idx="308">
                  <c:v>4.0020737053401687</c:v>
                </c:pt>
                <c:pt idx="309">
                  <c:v>4.0021218903326998</c:v>
                </c:pt>
                <c:pt idx="310">
                  <c:v>4.0021711921641447</c:v>
                </c:pt>
                <c:pt idx="311">
                  <c:v>4.0022216365895433</c:v>
                </c:pt>
                <c:pt idx="312">
                  <c:v>4.0022732499517089</c:v>
                </c:pt>
                <c:pt idx="313">
                  <c:v>4.0023260591943606</c:v>
                </c:pt>
                <c:pt idx="314">
                  <c:v>4.0023800918755219</c:v>
                </c:pt>
                <c:pt idx="315">
                  <c:v>4.002435376181217</c:v>
                </c:pt>
                <c:pt idx="316">
                  <c:v>4.0024919409394464</c:v>
                </c:pt>
                <c:pt idx="317">
                  <c:v>4.0025498156344677</c:v>
                </c:pt>
                <c:pt idx="318">
                  <c:v>4.0026090304213673</c:v>
                </c:pt>
                <c:pt idx="319">
                  <c:v>4.0026696161409525</c:v>
                </c:pt>
                <c:pt idx="320">
                  <c:v>4.0027316043349392</c:v>
                </c:pt>
                <c:pt idx="321">
                  <c:v>4.0027950272614738</c:v>
                </c:pt>
                <c:pt idx="322">
                  <c:v>4.0028599179109703</c:v>
                </c:pt>
                <c:pt idx="323">
                  <c:v>4.0029263100222758</c:v>
                </c:pt>
                <c:pt idx="324">
                  <c:v>4.0029942380991805</c:v>
                </c:pt>
                <c:pt idx="325">
                  <c:v>4.0030637374272589</c:v>
                </c:pt>
                <c:pt idx="326">
                  <c:v>4.0031348440910648</c:v>
                </c:pt>
                <c:pt idx="327">
                  <c:v>4.0032075949916797</c:v>
                </c:pt>
                <c:pt idx="328">
                  <c:v>4.0032820278646204</c:v>
                </c:pt>
                <c:pt idx="329">
                  <c:v>4.0033581812981112</c:v>
                </c:pt>
                <c:pt idx="330">
                  <c:v>4.003436094751728</c:v>
                </c:pt>
                <c:pt idx="331">
                  <c:v>4.0035158085754263</c:v>
                </c:pt>
                <c:pt idx="332">
                  <c:v>4.0035973640289466</c:v>
                </c:pt>
                <c:pt idx="333">
                  <c:v>4.0036808033016138</c:v>
                </c:pt>
                <c:pt idx="334">
                  <c:v>4.0037661695325379</c:v>
                </c:pt>
                <c:pt idx="335">
                  <c:v>4.003853506831212</c:v>
                </c:pt>
                <c:pt idx="336">
                  <c:v>4.0039428602985252</c:v>
                </c:pt>
                <c:pt idx="337">
                  <c:v>4.0040342760481886</c:v>
                </c:pt>
                <c:pt idx="338">
                  <c:v>4.0041278012285906</c:v>
                </c:pt>
                <c:pt idx="339">
                  <c:v>4.0042234840450703</c:v>
                </c:pt>
                <c:pt idx="340">
                  <c:v>4.0043213737826422</c:v>
                </c:pt>
                <c:pt idx="341">
                  <c:v>4.0044215208291494</c:v>
                </c:pt>
                <c:pt idx="342">
                  <c:v>4.0045239766988718</c:v>
                </c:pt>
                <c:pt idx="343">
                  <c:v>4.0046287940565932</c:v>
                </c:pt>
                <c:pt idx="344">
                  <c:v>4.004736026742119</c:v>
                </c:pt>
                <c:pt idx="345">
                  <c:v>4.0048457297952771</c:v>
                </c:pt>
                <c:pt idx="346">
                  <c:v>4.0049579594813745</c:v>
                </c:pt>
                <c:pt idx="347">
                  <c:v>4.0050727733171554</c:v>
                </c:pt>
                <c:pt idx="348">
                  <c:v>4.0051902300972246</c:v>
                </c:pt>
                <c:pt idx="349">
                  <c:v>4.0053103899209832</c:v>
                </c:pt>
                <c:pt idx="350">
                  <c:v>4.0054333142200456</c:v>
                </c:pt>
                <c:pt idx="351">
                  <c:v>4.0055590657861782</c:v>
                </c:pt>
                <c:pt idx="352">
                  <c:v>4.0056877087997327</c:v>
                </c:pt>
                <c:pt idx="353">
                  <c:v>4.0058193088586069</c:v>
                </c:pt>
                <c:pt idx="354">
                  <c:v>4.0059539330077261</c:v>
                </c:pt>
                <c:pt idx="355">
                  <c:v>4.0060916497690418</c:v>
                </c:pt>
                <c:pt idx="356">
                  <c:v>4.0062325291720811</c:v>
                </c:pt>
                <c:pt idx="357">
                  <c:v>4.006376642785014</c:v>
                </c:pt>
                <c:pt idx="358">
                  <c:v>4.0065240637462791</c:v>
                </c:pt>
                <c:pt idx="359">
                  <c:v>4.0066748667967502</c:v>
                </c:pt>
                <c:pt idx="360">
                  <c:v>4.0068291283124529</c:v>
                </c:pt>
                <c:pt idx="361">
                  <c:v>4.0069869263378415</c:v>
                </c:pt>
                <c:pt idx="362">
                  <c:v>4.0071483406196364</c:v>
                </c:pt>
                <c:pt idx="363">
                  <c:v>4.0073134526412231</c:v>
                </c:pt>
                <c:pt idx="364">
                  <c:v>4.0074823456576176</c:v>
                </c:pt>
                <c:pt idx="365">
                  <c:v>4.0076551047310085</c:v>
                </c:pt>
                <c:pt idx="366">
                  <c:v>4.0078318167668678</c:v>
                </c:pt>
                <c:pt idx="367">
                  <c:v>4.0080125705506369</c:v>
                </c:pt>
                <c:pt idx="368">
                  <c:v>4.0081974567849956</c:v>
                </c:pt>
                <c:pt idx="369">
                  <c:v>4.0083865681277047</c:v>
                </c:pt>
                <c:pt idx="370">
                  <c:v>4.0085799992300357</c:v>
                </c:pt>
                <c:pt idx="371">
                  <c:v>4.0087778467757786</c:v>
                </c:pt>
                <c:pt idx="372">
                  <c:v>4.0089802095208311</c:v>
                </c:pt>
                <c:pt idx="373">
                  <c:v>4.0091871883333718</c:v>
                </c:pt>
                <c:pt idx="374">
                  <c:v>4.0093988862346155</c:v>
                </c:pt>
                <c:pt idx="375">
                  <c:v>4.0096154084401414</c:v>
                </c:pt>
                <c:pt idx="376">
                  <c:v>4.0098368624018086</c:v>
                </c:pt>
                <c:pt idx="377">
                  <c:v>4.0100633578502398</c:v>
                </c:pt>
                <c:pt idx="378">
                  <c:v>4.0102950068378762</c:v>
                </c:pt>
                <c:pt idx="379">
                  <c:v>4.010531923782608</c:v>
                </c:pt>
                <c:pt idx="380">
                  <c:v>4.0107742255119572</c:v>
                </c:pt>
                <c:pt idx="381">
                  <c:v>4.0110220313078226</c:v>
                </c:pt>
                <c:pt idx="382">
                  <c:v>4.0112754629517813</c:v>
                </c:pt>
                <c:pt idx="383">
                  <c:v>4.0115346447709213</c:v>
                </c:pt>
                <c:pt idx="384">
                  <c:v>4.0117997036842192</c:v>
                </c:pt>
                <c:pt idx="385">
                  <c:v>4.0120707692494433</c:v>
                </c:pt>
                <c:pt idx="386">
                  <c:v>4.0123479737105665</c:v>
                </c:pt>
                <c:pt idx="387">
                  <c:v>4.0126314520456905</c:v>
                </c:pt>
                <c:pt idx="388">
                  <c:v>4.0129213420154599</c:v>
                </c:pt>
                <c:pt idx="389">
                  <c:v>4.0132177842119523</c:v>
                </c:pt>
                <c:pt idx="390">
                  <c:v>4.0135209221080377</c:v>
                </c:pt>
                <c:pt idx="391">
                  <c:v>4.013830902107185</c:v>
                </c:pt>
                <c:pt idx="392">
                  <c:v>4.014147873593692</c:v>
                </c:pt>
                <c:pt idx="393">
                  <c:v>4.0144719889833409</c:v>
                </c:pt>
                <c:pt idx="394">
                  <c:v>4.014803403774434</c:v>
                </c:pt>
                <c:pt idx="395">
                  <c:v>4.0151422765992066</c:v>
                </c:pt>
                <c:pt idx="396">
                  <c:v>4.0154887692755858</c:v>
                </c:pt>
                <c:pt idx="397">
                  <c:v>4.0158430468592705</c:v>
                </c:pt>
                <c:pt idx="398">
                  <c:v>4.0162052776961108</c:v>
                </c:pt>
                <c:pt idx="399">
                  <c:v>4.016575633474754</c:v>
                </c:pt>
                <c:pt idx="400">
                  <c:v>4.0169542892795329</c:v>
                </c:pt>
                <c:pt idx="401">
                  <c:v>4.0173414236435523</c:v>
                </c:pt>
                <c:pt idx="402">
                  <c:v>4.0177372186019591</c:v>
                </c:pt>
                <c:pt idx="403">
                  <c:v>4.018141859745346</c:v>
                </c:pt>
                <c:pt idx="404">
                  <c:v>4.0185555362732535</c:v>
                </c:pt>
                <c:pt idx="405">
                  <c:v>4.0189784410477349</c:v>
                </c:pt>
                <c:pt idx="406">
                  <c:v>4.0194107706469406</c:v>
                </c:pt>
                <c:pt idx="407">
                  <c:v>4.0198527254186773</c:v>
                </c:pt>
                <c:pt idx="408">
                  <c:v>4.020304509533891</c:v>
                </c:pt>
                <c:pt idx="409">
                  <c:v>4.0207663310400319</c:v>
                </c:pt>
                <c:pt idx="410">
                  <c:v>4.0212384019142551</c:v>
                </c:pt>
                <c:pt idx="411">
                  <c:v>4.0217209381163803</c:v>
                </c:pt>
                <c:pt idx="412">
                  <c:v>4.0222141596415844</c:v>
                </c:pt>
                <c:pt idx="413">
                  <c:v>4.0227182905727448</c:v>
                </c:pt>
                <c:pt idx="414">
                  <c:v>4.0232335591323825</c:v>
                </c:pt>
                <c:pt idx="415">
                  <c:v>4.0237601977341404</c:v>
                </c:pt>
                <c:pt idx="416">
                  <c:v>4.0242984430337243</c:v>
                </c:pt>
                <c:pt idx="417">
                  <c:v>4.0248485359792445</c:v>
                </c:pt>
                <c:pt idx="418">
                  <c:v>4.025410721860875</c:v>
                </c:pt>
                <c:pt idx="419">
                  <c:v>4.0259852503597617</c:v>
                </c:pt>
                <c:pt idx="420">
                  <c:v>4.0265723755961025</c:v>
                </c:pt>
                <c:pt idx="421">
                  <c:v>4.0271723561763073</c:v>
                </c:pt>
                <c:pt idx="422">
                  <c:v>4.0277854552391599</c:v>
                </c:pt>
                <c:pt idx="423">
                  <c:v>4.0284119405008987</c:v>
                </c:pt>
                <c:pt idx="424">
                  <c:v>4.0290520842991038</c:v>
                </c:pt>
                <c:pt idx="425">
                  <c:v>4.0297061636353275</c:v>
                </c:pt>
                <c:pt idx="426">
                  <c:v>4.0303744602163354</c:v>
                </c:pt>
                <c:pt idx="427">
                  <c:v>4.0310572604938848</c:v>
                </c:pt>
                <c:pt idx="428">
                  <c:v>4.0317548557029204</c:v>
                </c:pt>
                <c:pt idx="429">
                  <c:v>4.0324675418980851</c:v>
                </c:pt>
                <c:pt idx="430">
                  <c:v>4.0331956199884278</c:v>
                </c:pt>
                <c:pt idx="431">
                  <c:v>4.0339393957702034</c:v>
                </c:pt>
                <c:pt idx="432">
                  <c:v>4.0346991799576415</c:v>
                </c:pt>
                <c:pt idx="433">
                  <c:v>4.0354752882115621</c:v>
                </c:pt>
                <c:pt idx="434">
                  <c:v>4.0362680411657168</c:v>
                </c:pt>
                <c:pt idx="435">
                  <c:v>4.0370777644507196</c:v>
                </c:pt>
                <c:pt idx="436">
                  <c:v>4.0379047887154575</c:v>
                </c:pt>
                <c:pt idx="437">
                  <c:v>4.0387494496458141</c:v>
                </c:pt>
                <c:pt idx="438">
                  <c:v>4.0396120879806068</c:v>
                </c:pt>
                <c:pt idx="439">
                  <c:v>4.0404930495245637</c:v>
                </c:pt>
                <c:pt idx="440">
                  <c:v>4.0413926851582254</c:v>
                </c:pt>
                <c:pt idx="441">
                  <c:v>4.0423113508446074</c:v>
                </c:pt>
                <c:pt idx="442">
                  <c:v>4.0432494076324854</c:v>
                </c:pt>
                <c:pt idx="443">
                  <c:v>4.044207221656154</c:v>
                </c:pt>
                <c:pt idx="444">
                  <c:v>4.045185164131496</c:v>
                </c:pt>
                <c:pt idx="445">
                  <c:v>4.0461836113482237</c:v>
                </c:pt>
                <c:pt idx="446">
                  <c:v>4.0472029446581228</c:v>
                </c:pt>
                <c:pt idx="447">
                  <c:v>4.0482435504591514</c:v>
                </c:pt>
                <c:pt idx="448">
                  <c:v>4.0493058201752232</c:v>
                </c:pt>
                <c:pt idx="449">
                  <c:v>4.0503901502315314</c:v>
                </c:pt>
                <c:pt idx="450">
                  <c:v>4.0514969420252305</c:v>
                </c:pt>
                <c:pt idx="451">
                  <c:v>4.0526266018913386</c:v>
                </c:pt>
                <c:pt idx="452">
                  <c:v>4.053779541063677</c:v>
                </c:pt>
                <c:pt idx="453">
                  <c:v>4.0549561756307</c:v>
                </c:pt>
                <c:pt idx="454">
                  <c:v>4.0561569264860404</c:v>
                </c:pt>
                <c:pt idx="455">
                  <c:v>4.0573822192736291</c:v>
                </c:pt>
                <c:pt idx="456">
                  <c:v>4.0586324843272052</c:v>
                </c:pt>
                <c:pt idx="457">
                  <c:v>4.0599081566040782</c:v>
                </c:pt>
                <c:pt idx="458">
                  <c:v>4.0612096756129779</c:v>
                </c:pt>
                <c:pt idx="459">
                  <c:v>4.0625374853358407</c:v>
                </c:pt>
                <c:pt idx="460">
                  <c:v>4.0638920341433797</c:v>
                </c:pt>
                <c:pt idx="461">
                  <c:v>4.0652737747042922</c:v>
                </c:pt>
                <c:pt idx="462">
                  <c:v>4.0666831638879666</c:v>
                </c:pt>
                <c:pt idx="463">
                  <c:v>4.0681206626605437</c:v>
                </c:pt>
                <c:pt idx="464">
                  <c:v>4.0695867359742008</c:v>
                </c:pt>
                <c:pt idx="465">
                  <c:v>4.0710818526495327</c:v>
                </c:pt>
                <c:pt idx="466">
                  <c:v>4.0726064852509065</c:v>
                </c:pt>
                <c:pt idx="467">
                  <c:v>4.0741611099546802</c:v>
                </c:pt>
                <c:pt idx="468">
                  <c:v>4.0757462064101642</c:v>
                </c:pt>
                <c:pt idx="469">
                  <c:v>4.0773622575932444</c:v>
                </c:pt>
                <c:pt idx="470">
                  <c:v>4.0790097496525668</c:v>
                </c:pt>
                <c:pt idx="471">
                  <c:v>4.0806891717481975</c:v>
                </c:pt>
                <c:pt idx="472">
                  <c:v>4.0824010158827058</c:v>
                </c:pt>
                <c:pt idx="473">
                  <c:v>4.0841457767245837</c:v>
                </c:pt>
                <c:pt idx="474">
                  <c:v>4.0859239514239762</c:v>
                </c:pt>
                <c:pt idx="475">
                  <c:v>4.0877360394206752</c:v>
                </c:pt>
                <c:pt idx="476">
                  <c:v>4.0895825422443526</c:v>
                </c:pt>
                <c:pt idx="477">
                  <c:v>4.0914639633070209</c:v>
                </c:pt>
                <c:pt idx="478">
                  <c:v>4.0933808076877343</c:v>
                </c:pt>
                <c:pt idx="479">
                  <c:v>4.0953335819095376</c:v>
                </c:pt>
                <c:pt idx="480">
                  <c:v>4.0973227937086953</c:v>
                </c:pt>
                <c:pt idx="481">
                  <c:v>4.0993489517962658</c:v>
                </c:pt>
                <c:pt idx="482">
                  <c:v>4.1014125656120672</c:v>
                </c:pt>
                <c:pt idx="483">
                  <c:v>4.1035141450711299</c:v>
                </c:pt>
                <c:pt idx="484">
                  <c:v>4.1056542003027365</c:v>
                </c:pt>
                <c:pt idx="485">
                  <c:v>4.1078332413821572</c:v>
                </c:pt>
                <c:pt idx="486">
                  <c:v>4.1100517780552384</c:v>
                </c:pt>
                <c:pt idx="487">
                  <c:v>4.112310319455978</c:v>
                </c:pt>
                <c:pt idx="488">
                  <c:v>4.1146093738172826</c:v>
                </c:pt>
                <c:pt idx="489">
                  <c:v>4.1169494481750926</c:v>
                </c:pt>
                <c:pt idx="490">
                  <c:v>4.119331048066095</c:v>
                </c:pt>
                <c:pt idx="491">
                  <c:v>4.1217546772192586</c:v>
                </c:pt>
                <c:pt idx="492">
                  <c:v>4.1242208372414595</c:v>
                </c:pt>
                <c:pt idx="493">
                  <c:v>4.1267300272974525</c:v>
                </c:pt>
                <c:pt idx="494">
                  <c:v>4.1292827437845157</c:v>
                </c:pt>
                <c:pt idx="495">
                  <c:v>4.1318794800020617</c:v>
                </c:pt>
                <c:pt idx="496">
                  <c:v>4.1345207258165813</c:v>
                </c:pt>
                <c:pt idx="497">
                  <c:v>4.1372069673222533</c:v>
                </c:pt>
                <c:pt idx="498">
                  <c:v>4.1399386864976293</c:v>
                </c:pt>
                <c:pt idx="499">
                  <c:v>4.1427163608587749</c:v>
                </c:pt>
                <c:pt idx="500">
                  <c:v>4.1455404631092936</c:v>
                </c:pt>
                <c:pt idx="501">
                  <c:v>4.148411460787683</c:v>
                </c:pt>
                <c:pt idx="502">
                  <c:v>4.1513298159124625</c:v>
                </c:pt>
                <c:pt idx="503">
                  <c:v>4.1542959846255716</c:v>
                </c:pt>
                <c:pt idx="504">
                  <c:v>4.1573104168345099</c:v>
                </c:pt>
                <c:pt idx="505">
                  <c:v>4.1603735558537469</c:v>
                </c:pt>
                <c:pt idx="506">
                  <c:v>4.1634858380459168</c:v>
                </c:pt>
                <c:pt idx="507">
                  <c:v>4.1666476924633331</c:v>
                </c:pt>
                <c:pt idx="508">
                  <c:v>4.1698595404903926</c:v>
                </c:pt>
                <c:pt idx="509">
                  <c:v>4.1731217954874111</c:v>
                </c:pt>
                <c:pt idx="510">
                  <c:v>4.1764348624364853</c:v>
                </c:pt>
                <c:pt idx="511">
                  <c:v>4.1797991375899475</c:v>
                </c:pt>
                <c:pt idx="512">
                  <c:v>4.183215008122021</c:v>
                </c:pt>
                <c:pt idx="513">
                  <c:v>4.1866828517842682</c:v>
                </c:pt>
                <c:pt idx="514">
                  <c:v>4.1902030365654248</c:v>
                </c:pt>
                <c:pt idx="515">
                  <c:v>4.1937759203562495</c:v>
                </c:pt>
                <c:pt idx="516">
                  <c:v>4.1974018506199711</c:v>
                </c:pt>
                <c:pt idx="517">
                  <c:v>4.2010811640689614</c:v>
                </c:pt>
                <c:pt idx="518">
                  <c:v>4.2048141863482291</c:v>
                </c:pt>
                <c:pt idx="519">
                  <c:v>4.2086012317263366</c:v>
                </c:pt>
                <c:pt idx="520">
                  <c:v>4.2124426027943391</c:v>
                </c:pt>
                <c:pt idx="521">
                  <c:v>4.2163385901733363</c:v>
                </c:pt>
                <c:pt idx="522">
                  <c:v>4.2202894722312054</c:v>
                </c:pt>
                <c:pt idx="523">
                  <c:v>4.2242955148090982</c:v>
                </c:pt>
                <c:pt idx="524">
                  <c:v>4.2283569709582389</c:v>
                </c:pt>
                <c:pt idx="525">
                  <c:v>4.2324740806875862</c:v>
                </c:pt>
                <c:pt idx="526">
                  <c:v>4.2366470707228503</c:v>
                </c:pt>
                <c:pt idx="527">
                  <c:v>4.2408761542773981</c:v>
                </c:pt>
                <c:pt idx="528">
                  <c:v>4.245161530835512</c:v>
                </c:pt>
                <c:pt idx="529">
                  <c:v>4.2495033859484668</c:v>
                </c:pt>
                <c:pt idx="530">
                  <c:v>4.2539018910438671</c:v>
                </c:pt>
                <c:pt idx="531">
                  <c:v>4.2583572032486519</c:v>
                </c:pt>
                <c:pt idx="532">
                  <c:v>4.2628694652261476</c:v>
                </c:pt>
                <c:pt idx="533">
                  <c:v>4.2674388050275338</c:v>
                </c:pt>
                <c:pt idx="534">
                  <c:v>4.2720653359580423</c:v>
                </c:pt>
                <c:pt idx="535">
                  <c:v>4.2767491564581865</c:v>
                </c:pt>
                <c:pt idx="536">
                  <c:v>4.2814903500002881</c:v>
                </c:pt>
                <c:pt idx="537">
                  <c:v>4.2862889850005192</c:v>
                </c:pt>
                <c:pt idx="538">
                  <c:v>4.2911451147466755</c:v>
                </c:pt>
                <c:pt idx="539">
                  <c:v>4.2960587773418286</c:v>
                </c:pt>
                <c:pt idx="540">
                  <c:v>4.3010299956639813</c:v>
                </c:pt>
                <c:pt idx="541">
                  <c:v>4.3060587773418293</c:v>
                </c:pt>
                <c:pt idx="542">
                  <c:v>4.3111451147466759</c:v>
                </c:pt>
                <c:pt idx="543">
                  <c:v>4.3162889850005186</c:v>
                </c:pt>
                <c:pt idx="544">
                  <c:v>4.3214903500002881</c:v>
                </c:pt>
                <c:pt idx="545">
                  <c:v>4.3267491564581873</c:v>
                </c:pt>
                <c:pt idx="546">
                  <c:v>4.3320653359580419</c:v>
                </c:pt>
                <c:pt idx="547">
                  <c:v>4.3374388050275341</c:v>
                </c:pt>
                <c:pt idx="548">
                  <c:v>4.3428694652261477</c:v>
                </c:pt>
                <c:pt idx="549">
                  <c:v>4.3483572032486517</c:v>
                </c:pt>
                <c:pt idx="550">
                  <c:v>4.3539018910438667</c:v>
                </c:pt>
                <c:pt idx="551">
                  <c:v>4.3595033859484662</c:v>
                </c:pt>
                <c:pt idx="552">
                  <c:v>4.3651615308355112</c:v>
                </c:pt>
                <c:pt idx="553">
                  <c:v>4.3708761542773988</c:v>
                </c:pt>
                <c:pt idx="554">
                  <c:v>4.37664707072285</c:v>
                </c:pt>
                <c:pt idx="555">
                  <c:v>4.3824740806875857</c:v>
                </c:pt>
                <c:pt idx="556">
                  <c:v>4.3883569709582391</c:v>
                </c:pt>
                <c:pt idx="557">
                  <c:v>4.3942955148090981</c:v>
                </c:pt>
                <c:pt idx="558">
                  <c:v>4.400289472231206</c:v>
                </c:pt>
                <c:pt idx="559">
                  <c:v>4.4063385901733367</c:v>
                </c:pt>
                <c:pt idx="560">
                  <c:v>4.4124426027943393</c:v>
                </c:pt>
                <c:pt idx="561">
                  <c:v>4.4186012317263366</c:v>
                </c:pt>
                <c:pt idx="562">
                  <c:v>4.4248141863482289</c:v>
                </c:pt>
                <c:pt idx="563">
                  <c:v>4.4310811640689609</c:v>
                </c:pt>
                <c:pt idx="564">
                  <c:v>4.4374018506199704</c:v>
                </c:pt>
                <c:pt idx="565">
                  <c:v>4.4437759203562495</c:v>
                </c:pt>
                <c:pt idx="566">
                  <c:v>4.4502030365654246</c:v>
                </c:pt>
                <c:pt idx="567">
                  <c:v>4.4566828517842678</c:v>
                </c:pt>
                <c:pt idx="568">
                  <c:v>4.4632150081220212</c:v>
                </c:pt>
                <c:pt idx="569">
                  <c:v>4.4697991375899475</c:v>
                </c:pt>
                <c:pt idx="570">
                  <c:v>4.4764348624364851</c:v>
                </c:pt>
                <c:pt idx="571">
                  <c:v>4.4831217954874116</c:v>
                </c:pt>
                <c:pt idx="572">
                  <c:v>4.489859540490392</c:v>
                </c:pt>
                <c:pt idx="573">
                  <c:v>4.4966476924633332</c:v>
                </c:pt>
                <c:pt idx="574">
                  <c:v>4.5034858380459166</c:v>
                </c:pt>
                <c:pt idx="575">
                  <c:v>4.5103735558537466</c:v>
                </c:pt>
                <c:pt idx="576">
                  <c:v>4.5173104168345093</c:v>
                </c:pt>
                <c:pt idx="577">
                  <c:v>4.5242959846255708</c:v>
                </c:pt>
                <c:pt idx="578">
                  <c:v>4.5313298159124624</c:v>
                </c:pt>
                <c:pt idx="579">
                  <c:v>4.5384114607876826</c:v>
                </c:pt>
                <c:pt idx="580">
                  <c:v>4.5455404631092931</c:v>
                </c:pt>
                <c:pt idx="581">
                  <c:v>4.5527163608587742</c:v>
                </c:pt>
                <c:pt idx="582">
                  <c:v>4.5599386864976292</c:v>
                </c:pt>
                <c:pt idx="583">
                  <c:v>4.5672069673222531</c:v>
                </c:pt>
                <c:pt idx="584">
                  <c:v>4.5745207258165808</c:v>
                </c:pt>
                <c:pt idx="585">
                  <c:v>4.5818794800020619</c:v>
                </c:pt>
                <c:pt idx="586">
                  <c:v>4.5892827437845156</c:v>
                </c:pt>
                <c:pt idx="587">
                  <c:v>4.5967300272974532</c:v>
                </c:pt>
                <c:pt idx="588">
                  <c:v>4.604220837241459</c:v>
                </c:pt>
                <c:pt idx="589">
                  <c:v>4.6117546772192588</c:v>
                </c:pt>
                <c:pt idx="590">
                  <c:v>4.619331048066095</c:v>
                </c:pt>
                <c:pt idx="591">
                  <c:v>4.6269494481750932</c:v>
                </c:pt>
                <c:pt idx="592">
                  <c:v>4.6346093738172831</c:v>
                </c:pt>
                <c:pt idx="593">
                  <c:v>4.6423103194559783</c:v>
                </c:pt>
                <c:pt idx="594">
                  <c:v>4.6500517780552384</c:v>
                </c:pt>
                <c:pt idx="595">
                  <c:v>4.657833241382157</c:v>
                </c:pt>
                <c:pt idx="596">
                  <c:v>4.6656542003027361</c:v>
                </c:pt>
                <c:pt idx="597">
                  <c:v>4.6735141450711302</c:v>
                </c:pt>
                <c:pt idx="598">
                  <c:v>4.6814125656120673</c:v>
                </c:pt>
                <c:pt idx="599">
                  <c:v>4.6893489517962657</c:v>
                </c:pt>
                <c:pt idx="600">
                  <c:v>4.697322793708695</c:v>
                </c:pt>
                <c:pt idx="601">
                  <c:v>4.705333581909537</c:v>
                </c:pt>
                <c:pt idx="602">
                  <c:v>4.7133808076877344</c:v>
                </c:pt>
                <c:pt idx="603">
                  <c:v>4.7214639633070208</c:v>
                </c:pt>
                <c:pt idx="604">
                  <c:v>4.7295825422443523</c:v>
                </c:pt>
                <c:pt idx="605">
                  <c:v>4.7377360394206756</c:v>
                </c:pt>
                <c:pt idx="606">
                  <c:v>4.7459239514239755</c:v>
                </c:pt>
                <c:pt idx="607">
                  <c:v>4.7541457767245836</c:v>
                </c:pt>
                <c:pt idx="608">
                  <c:v>4.7624010158827055</c:v>
                </c:pt>
                <c:pt idx="609">
                  <c:v>4.7706891717481978</c:v>
                </c:pt>
                <c:pt idx="610">
                  <c:v>4.7790097496525661</c:v>
                </c:pt>
                <c:pt idx="611">
                  <c:v>4.7873622575932444</c:v>
                </c:pt>
                <c:pt idx="612">
                  <c:v>4.7957462064101639</c:v>
                </c:pt>
                <c:pt idx="613">
                  <c:v>4.8041611099546806</c:v>
                </c:pt>
                <c:pt idx="614">
                  <c:v>4.8126064852509067</c:v>
                </c:pt>
                <c:pt idx="615">
                  <c:v>4.8210818526495327</c:v>
                </c:pt>
                <c:pt idx="616">
                  <c:v>4.8295867359742006</c:v>
                </c:pt>
                <c:pt idx="617">
                  <c:v>4.8381206626605433</c:v>
                </c:pt>
                <c:pt idx="618">
                  <c:v>4.8466831638879659</c:v>
                </c:pt>
                <c:pt idx="619">
                  <c:v>4.8552737747042922</c:v>
                </c:pt>
                <c:pt idx="620">
                  <c:v>4.8638920341433796</c:v>
                </c:pt>
                <c:pt idx="621">
                  <c:v>4.8725374853358403</c:v>
                </c:pt>
                <c:pt idx="622">
                  <c:v>4.8812096756129773</c:v>
                </c:pt>
                <c:pt idx="623">
                  <c:v>4.8899081566040783</c:v>
                </c:pt>
                <c:pt idx="624">
                  <c:v>4.8986324843272051</c:v>
                </c:pt>
                <c:pt idx="625">
                  <c:v>4.9073822192736296</c:v>
                </c:pt>
                <c:pt idx="626">
                  <c:v>4.9161569264860407</c:v>
                </c:pt>
                <c:pt idx="627">
                  <c:v>4.9249561756306992</c:v>
                </c:pt>
                <c:pt idx="628">
                  <c:v>4.9337795410636778</c:v>
                </c:pt>
                <c:pt idx="629">
                  <c:v>4.9426266018913383</c:v>
                </c:pt>
                <c:pt idx="630">
                  <c:v>4.9514969420252299</c:v>
                </c:pt>
                <c:pt idx="631">
                  <c:v>4.9603901502315306</c:v>
                </c:pt>
                <c:pt idx="632">
                  <c:v>4.9693058201752232</c:v>
                </c:pt>
                <c:pt idx="633">
                  <c:v>4.9782435504591511</c:v>
                </c:pt>
                <c:pt idx="634">
                  <c:v>4.9872029446581223</c:v>
                </c:pt>
                <c:pt idx="635">
                  <c:v>4.996183611348223</c:v>
                </c:pt>
                <c:pt idx="636">
                  <c:v>5.0051851641314968</c:v>
                </c:pt>
                <c:pt idx="637">
                  <c:v>5.0142072216561546</c:v>
                </c:pt>
                <c:pt idx="638">
                  <c:v>5.0232494076324858</c:v>
                </c:pt>
                <c:pt idx="639">
                  <c:v>5.0323113508446067</c:v>
                </c:pt>
                <c:pt idx="640">
                  <c:v>5.0413926851582254</c:v>
                </c:pt>
                <c:pt idx="641">
                  <c:v>5.0504930495245635</c:v>
                </c:pt>
                <c:pt idx="642">
                  <c:v>5.0596120879806064</c:v>
                </c:pt>
                <c:pt idx="643">
                  <c:v>5.0687494496458134</c:v>
                </c:pt>
                <c:pt idx="644">
                  <c:v>5.0779047887154576</c:v>
                </c:pt>
                <c:pt idx="645">
                  <c:v>5.0870777644507195</c:v>
                </c:pt>
                <c:pt idx="646">
                  <c:v>5.0962680411657164</c:v>
                </c:pt>
                <c:pt idx="647">
                  <c:v>5.1054752882115624</c:v>
                </c:pt>
                <c:pt idx="648">
                  <c:v>5.1146991799576416</c:v>
                </c:pt>
                <c:pt idx="649">
                  <c:v>5.1239393957702033</c:v>
                </c:pt>
                <c:pt idx="650">
                  <c:v>5.1331956199884274</c:v>
                </c:pt>
                <c:pt idx="651">
                  <c:v>5.1424675418980845</c:v>
                </c:pt>
                <c:pt idx="652">
                  <c:v>5.1517548557029205</c:v>
                </c:pt>
                <c:pt idx="653">
                  <c:v>5.1610572604938847</c:v>
                </c:pt>
                <c:pt idx="654">
                  <c:v>5.1703744602163351</c:v>
                </c:pt>
                <c:pt idx="655">
                  <c:v>5.179706163635327</c:v>
                </c:pt>
                <c:pt idx="656">
                  <c:v>5.1890520842991039</c:v>
                </c:pt>
                <c:pt idx="657">
                  <c:v>5.1984119405008986</c:v>
                </c:pt>
                <c:pt idx="658">
                  <c:v>5.2077854552391596</c:v>
                </c:pt>
                <c:pt idx="659">
                  <c:v>5.2171723561763068</c:v>
                </c:pt>
                <c:pt idx="660">
                  <c:v>5.2265723755961018</c:v>
                </c:pt>
                <c:pt idx="661">
                  <c:v>5.2359852503597617</c:v>
                </c:pt>
                <c:pt idx="662">
                  <c:v>5.2454107218608748</c:v>
                </c:pt>
                <c:pt idx="663">
                  <c:v>5.254848535979245</c:v>
                </c:pt>
                <c:pt idx="664">
                  <c:v>5.2642984430337245</c:v>
                </c:pt>
                <c:pt idx="665">
                  <c:v>5.2737601977341404</c:v>
                </c:pt>
                <c:pt idx="666">
                  <c:v>5.2832335591323822</c:v>
                </c:pt>
                <c:pt idx="667">
                  <c:v>5.2927182905727443</c:v>
                </c:pt>
                <c:pt idx="668">
                  <c:v>5.3022141596415846</c:v>
                </c:pt>
                <c:pt idx="669">
                  <c:v>5.3117209381163812</c:v>
                </c:pt>
                <c:pt idx="670">
                  <c:v>5.3212384019142549</c:v>
                </c:pt>
                <c:pt idx="671">
                  <c:v>5.3307663310400324</c:v>
                </c:pt>
                <c:pt idx="672">
                  <c:v>5.3403045095338904</c:v>
                </c:pt>
                <c:pt idx="673">
                  <c:v>5.3498527254186783</c:v>
                </c:pt>
                <c:pt idx="674">
                  <c:v>5.3594107706469414</c:v>
                </c:pt>
                <c:pt idx="675">
                  <c:v>5.3689784410477346</c:v>
                </c:pt>
                <c:pt idx="676">
                  <c:v>5.3785555362732529</c:v>
                </c:pt>
                <c:pt idx="677">
                  <c:v>5.3881418597453452</c:v>
                </c:pt>
                <c:pt idx="678">
                  <c:v>5.397737218601959</c:v>
                </c:pt>
                <c:pt idx="679">
                  <c:v>5.407341423643552</c:v>
                </c:pt>
                <c:pt idx="680">
                  <c:v>5.4169542892795324</c:v>
                </c:pt>
                <c:pt idx="681">
                  <c:v>5.4265756334747541</c:v>
                </c:pt>
                <c:pt idx="682">
                  <c:v>5.4362052776961107</c:v>
                </c:pt>
                <c:pt idx="683">
                  <c:v>5.4458430468592702</c:v>
                </c:pt>
                <c:pt idx="684">
                  <c:v>5.4554887692755853</c:v>
                </c:pt>
                <c:pt idx="685">
                  <c:v>5.4651422765992059</c:v>
                </c:pt>
                <c:pt idx="686">
                  <c:v>5.474803403774434</c:v>
                </c:pt>
                <c:pt idx="687">
                  <c:v>5.4844719889833407</c:v>
                </c:pt>
                <c:pt idx="688">
                  <c:v>5.4941478735936915</c:v>
                </c:pt>
                <c:pt idx="689">
                  <c:v>5.5038309021071843</c:v>
                </c:pt>
                <c:pt idx="690">
                  <c:v>5.5135209221080386</c:v>
                </c:pt>
                <c:pt idx="691">
                  <c:v>5.5232177842119521</c:v>
                </c:pt>
                <c:pt idx="692">
                  <c:v>5.5329213420154595</c:v>
                </c:pt>
                <c:pt idx="693">
                  <c:v>5.5426314520456899</c:v>
                </c:pt>
                <c:pt idx="694">
                  <c:v>5.5523479737105665</c:v>
                </c:pt>
                <c:pt idx="695">
                  <c:v>5.5620707692494431</c:v>
                </c:pt>
                <c:pt idx="696">
                  <c:v>5.5717997036842188</c:v>
                </c:pt>
                <c:pt idx="697">
                  <c:v>5.5815346447709207</c:v>
                </c:pt>
                <c:pt idx="698">
                  <c:v>5.5912754629517813</c:v>
                </c:pt>
                <c:pt idx="699">
                  <c:v>5.6010220313078234</c:v>
                </c:pt>
                <c:pt idx="700">
                  <c:v>5.6107742255119568</c:v>
                </c:pt>
                <c:pt idx="701">
                  <c:v>5.6205319237826075</c:v>
                </c:pt>
                <c:pt idx="702">
                  <c:v>5.6302950068378763</c:v>
                </c:pt>
                <c:pt idx="703">
                  <c:v>5.6400633578502397</c:v>
                </c:pt>
                <c:pt idx="704">
                  <c:v>5.6498368624018083</c:v>
                </c:pt>
                <c:pt idx="705">
                  <c:v>5.6596154084401409</c:v>
                </c:pt>
                <c:pt idx="706">
                  <c:v>5.6693988862346147</c:v>
                </c:pt>
                <c:pt idx="707">
                  <c:v>5.6791871883333718</c:v>
                </c:pt>
                <c:pt idx="708">
                  <c:v>5.6889802095208308</c:v>
                </c:pt>
                <c:pt idx="709">
                  <c:v>5.6987778467757781</c:v>
                </c:pt>
                <c:pt idx="710">
                  <c:v>5.708579999230035</c:v>
                </c:pt>
                <c:pt idx="711">
                  <c:v>5.7183865681277046</c:v>
                </c:pt>
                <c:pt idx="712">
                  <c:v>5.7281974567849954</c:v>
                </c:pt>
                <c:pt idx="713">
                  <c:v>5.7380125705506373</c:v>
                </c:pt>
                <c:pt idx="714">
                  <c:v>5.7478318167668672</c:v>
                </c:pt>
                <c:pt idx="715">
                  <c:v>5.7576551047310094</c:v>
                </c:pt>
                <c:pt idx="716">
                  <c:v>5.7674823456576174</c:v>
                </c:pt>
                <c:pt idx="717">
                  <c:v>5.7773134526412226</c:v>
                </c:pt>
                <c:pt idx="718">
                  <c:v>5.7871483406196367</c:v>
                </c:pt>
                <c:pt idx="719">
                  <c:v>5.7969869263378424</c:v>
                </c:pt>
                <c:pt idx="720">
                  <c:v>5.8068291283124527</c:v>
                </c:pt>
                <c:pt idx="721">
                  <c:v>5.8166748667967507</c:v>
                </c:pt>
                <c:pt idx="722">
                  <c:v>5.8265240637462785</c:v>
                </c:pt>
                <c:pt idx="723">
                  <c:v>5.8363766427850141</c:v>
                </c:pt>
                <c:pt idx="724">
                  <c:v>5.8462325291720809</c:v>
                </c:pt>
                <c:pt idx="725">
                  <c:v>5.8560916497690423</c:v>
                </c:pt>
                <c:pt idx="726">
                  <c:v>5.8659539330077255</c:v>
                </c:pt>
                <c:pt idx="727">
                  <c:v>5.875819308858607</c:v>
                </c:pt>
                <c:pt idx="728">
                  <c:v>5.8856877087997326</c:v>
                </c:pt>
                <c:pt idx="729">
                  <c:v>5.8955590657861778</c:v>
                </c:pt>
                <c:pt idx="730">
                  <c:v>5.9054333142200459</c:v>
                </c:pt>
                <c:pt idx="731">
                  <c:v>5.9153103899209825</c:v>
                </c:pt>
                <c:pt idx="732">
                  <c:v>5.9251902300972246</c:v>
                </c:pt>
                <c:pt idx="733">
                  <c:v>5.9350727733171551</c:v>
                </c:pt>
                <c:pt idx="734">
                  <c:v>5.9449579594813748</c:v>
                </c:pt>
                <c:pt idx="735">
                  <c:v>5.9548457297952764</c:v>
                </c:pt>
                <c:pt idx="736">
                  <c:v>5.964736026742119</c:v>
                </c:pt>
                <c:pt idx="737">
                  <c:v>5.974628794056593</c:v>
                </c:pt>
                <c:pt idx="738">
                  <c:v>5.9845239766988723</c:v>
                </c:pt>
                <c:pt idx="739">
                  <c:v>5.9944215208291487</c:v>
                </c:pt>
                <c:pt idx="740">
                  <c:v>6.0043213737826422</c:v>
                </c:pt>
                <c:pt idx="741">
                  <c:v>6.014223484045071</c:v>
                </c:pt>
                <c:pt idx="742">
                  <c:v>6.0241278012285902</c:v>
                </c:pt>
                <c:pt idx="743">
                  <c:v>6.0340342760481889</c:v>
                </c:pt>
                <c:pt idx="744">
                  <c:v>6.0439428602985252</c:v>
                </c:pt>
                <c:pt idx="745">
                  <c:v>6.0538535068312118</c:v>
                </c:pt>
                <c:pt idx="746">
                  <c:v>6.0637661695325376</c:v>
                </c:pt>
                <c:pt idx="747">
                  <c:v>6.0736808033016132</c:v>
                </c:pt>
                <c:pt idx="748">
                  <c:v>6.0835973640289467</c:v>
                </c:pt>
                <c:pt idx="749">
                  <c:v>6.0935158085754271</c:v>
                </c:pt>
                <c:pt idx="750">
                  <c:v>6.1034360947517285</c:v>
                </c:pt>
                <c:pt idx="751">
                  <c:v>6.1133581812981106</c:v>
                </c:pt>
                <c:pt idx="752">
                  <c:v>6.1232820278646196</c:v>
                </c:pt>
                <c:pt idx="753">
                  <c:v>6.1332075949916796</c:v>
                </c:pt>
                <c:pt idx="754">
                  <c:v>6.1431348440910645</c:v>
                </c:pt>
                <c:pt idx="755">
                  <c:v>6.1530637374272583</c:v>
                </c:pt>
                <c:pt idx="756">
                  <c:v>6.1629942380991798</c:v>
                </c:pt>
                <c:pt idx="757">
                  <c:v>6.1729263100222767</c:v>
                </c:pt>
                <c:pt idx="758">
                  <c:v>6.18285991791097</c:v>
                </c:pt>
                <c:pt idx="759">
                  <c:v>6.1927950272614734</c:v>
                </c:pt>
                <c:pt idx="760">
                  <c:v>6.2027316043349385</c:v>
                </c:pt>
                <c:pt idx="761">
                  <c:v>6.2126696161409525</c:v>
                </c:pt>
                <c:pt idx="762">
                  <c:v>6.2226090304213679</c:v>
                </c:pt>
                <c:pt idx="763">
                  <c:v>6.2325498156344672</c:v>
                </c:pt>
                <c:pt idx="764">
                  <c:v>6.2424919409394457</c:v>
                </c:pt>
                <c:pt idx="765">
                  <c:v>6.252435376181217</c:v>
                </c:pt>
                <c:pt idx="766">
                  <c:v>6.2623800918755217</c:v>
                </c:pt>
                <c:pt idx="767">
                  <c:v>6.2723260591943601</c:v>
                </c:pt>
                <c:pt idx="768">
                  <c:v>6.2822732499517091</c:v>
                </c:pt>
                <c:pt idx="769">
                  <c:v>6.2922216365895434</c:v>
                </c:pt>
                <c:pt idx="770">
                  <c:v>6.3021711921641455</c:v>
                </c:pt>
                <c:pt idx="771">
                  <c:v>6.3121218903326994</c:v>
                </c:pt>
                <c:pt idx="772">
                  <c:v>6.3220737053401681</c:v>
                </c:pt>
                <c:pt idx="773">
                  <c:v>6.3320266120064383</c:v>
                </c:pt>
                <c:pt idx="774">
                  <c:v>6.3419805857137375</c:v>
                </c:pt>
                <c:pt idx="775">
                  <c:v>6.3519356023943212</c:v>
                </c:pt>
                <c:pt idx="776">
                  <c:v>6.3618916385184061</c:v>
                </c:pt>
                <c:pt idx="777">
                  <c:v>6.3718486710823745</c:v>
                </c:pt>
                <c:pt idx="778">
                  <c:v>6.3818066775972078</c:v>
                </c:pt>
                <c:pt idx="779">
                  <c:v>6.3917656360771815</c:v>
                </c:pt>
                <c:pt idx="780">
                  <c:v>6.4017255250287928</c:v>
                </c:pt>
                <c:pt idx="781">
                  <c:v>6.4116863234399206</c:v>
                </c:pt>
                <c:pt idx="782">
                  <c:v>6.4216480107692231</c:v>
                </c:pt>
                <c:pt idx="783">
                  <c:v>6.4316105669357526</c:v>
                </c:pt>
                <c:pt idx="784">
                  <c:v>6.4415739723087988</c:v>
                </c:pt>
                <c:pt idx="785">
                  <c:v>6.4515382076979453</c:v>
                </c:pt>
                <c:pt idx="786">
                  <c:v>6.4615032543433442</c:v>
                </c:pt>
                <c:pt idx="787">
                  <c:v>6.471469093906185</c:v>
                </c:pt>
                <c:pt idx="788">
                  <c:v>6.4814357084593865</c:v>
                </c:pt>
                <c:pt idx="789">
                  <c:v>6.4914030804784799</c:v>
                </c:pt>
                <c:pt idx="790">
                  <c:v>6.5013711928326838</c:v>
                </c:pt>
                <c:pt idx="791">
                  <c:v>6.5113400287761749</c:v>
                </c:pt>
                <c:pt idx="792">
                  <c:v>6.5213095719395557</c:v>
                </c:pt>
                <c:pt idx="793">
                  <c:v>6.5312798063214901</c:v>
                </c:pt>
                <c:pt idx="794">
                  <c:v>6.5412507162805351</c:v>
                </c:pt>
                <c:pt idx="795">
                  <c:v>6.551222286527139</c:v>
                </c:pt>
                <c:pt idx="796">
                  <c:v>6.561194502115816</c:v>
                </c:pt>
                <c:pt idx="797">
                  <c:v>6.5711673484374993</c:v>
                </c:pt>
                <c:pt idx="798">
                  <c:v>6.5811408112120429</c:v>
                </c:pt>
                <c:pt idx="799">
                  <c:v>6.5911148764809004</c:v>
                </c:pt>
                <c:pt idx="800">
                  <c:v>6.6010895305999613</c:v>
                </c:pt>
                <c:pt idx="801">
                  <c:v>6.6110647602325381</c:v>
                </c:pt>
                <c:pt idx="802">
                  <c:v>6.6210405523425129</c:v>
                </c:pt>
                <c:pt idx="803">
                  <c:v>6.6310168941876251</c:v>
                </c:pt>
                <c:pt idx="804">
                  <c:v>6.6409937733129176</c:v>
                </c:pt>
                <c:pt idx="805">
                  <c:v>6.6509711775443172</c:v>
                </c:pt>
                <c:pt idx="806">
                  <c:v>6.6609490949823522</c:v>
                </c:pt>
                <c:pt idx="807">
                  <c:v>6.6709275139960278</c:v>
                </c:pt>
                <c:pt idx="808">
                  <c:v>6.6809064232168112</c:v>
                </c:pt>
                <c:pt idx="809">
                  <c:v>6.6908858115327625</c:v>
                </c:pt>
                <c:pt idx="810">
                  <c:v>6.7008656680827929</c:v>
                </c:pt>
                <c:pt idx="811">
                  <c:v>6.7108459822510476</c:v>
                </c:pt>
                <c:pt idx="812">
                  <c:v>6.720826743661414</c:v>
                </c:pt>
                <c:pt idx="813">
                  <c:v>6.7308079421721487</c:v>
                </c:pt>
                <c:pt idx="814">
                  <c:v>6.7407895678706211</c:v>
                </c:pt>
                <c:pt idx="815">
                  <c:v>6.7507716110681812</c:v>
                </c:pt>
                <c:pt idx="816">
                  <c:v>6.7607540622951365</c:v>
                </c:pt>
                <c:pt idx="817">
                  <c:v>6.770736912295833</c:v>
                </c:pt>
                <c:pt idx="818">
                  <c:v>6.7807201520238554</c:v>
                </c:pt>
                <c:pt idx="819">
                  <c:v>6.7907037726373263</c:v>
                </c:pt>
                <c:pt idx="820">
                  <c:v>6.8006877654943176</c:v>
                </c:pt>
                <c:pt idx="821">
                  <c:v>6.810672122148353</c:v>
                </c:pt>
                <c:pt idx="822">
                  <c:v>6.820656834344013</c:v>
                </c:pt>
                <c:pt idx="823">
                  <c:v>6.8306418940126488</c:v>
                </c:pt>
                <c:pt idx="824">
                  <c:v>6.8406272932681773</c:v>
                </c:pt>
                <c:pt idx="825">
                  <c:v>6.8506130244029748</c:v>
                </c:pt>
                <c:pt idx="826">
                  <c:v>6.8605990798838619</c:v>
                </c:pt>
                <c:pt idx="827">
                  <c:v>6.8705854523481769</c:v>
                </c:pt>
                <c:pt idx="828">
                  <c:v>6.88057213459994</c:v>
                </c:pt>
                <c:pt idx="829">
                  <c:v>6.8905591196060989</c:v>
                </c:pt>
                <c:pt idx="830">
                  <c:v>6.9005464004928578</c:v>
                </c:pt>
                <c:pt idx="831">
                  <c:v>6.9105339705420894</c:v>
                </c:pt>
                <c:pt idx="832">
                  <c:v>6.9205218231878307</c:v>
                </c:pt>
                <c:pt idx="833">
                  <c:v>6.9305099520128515</c:v>
                </c:pt>
                <c:pt idx="834">
                  <c:v>6.9404983507453011</c:v>
                </c:pt>
                <c:pt idx="835">
                  <c:v>6.9504870132554304</c:v>
                </c:pt>
                <c:pt idx="836">
                  <c:v>6.9604759335523871</c:v>
                </c:pt>
                <c:pt idx="837">
                  <c:v>6.9704651057810825</c:v>
                </c:pt>
                <c:pt idx="838">
                  <c:v>6.9804545242191294</c:v>
                </c:pt>
                <c:pt idx="839">
                  <c:v>6.9904441832738424</c:v>
                </c:pt>
                <c:pt idx="840">
                  <c:v>7.0004340774793183</c:v>
                </c:pt>
                <c:pt idx="841">
                  <c:v>7.0104242014935698</c:v>
                </c:pt>
                <c:pt idx="842">
                  <c:v>7.0204145500957242</c:v>
                </c:pt>
                <c:pt idx="843">
                  <c:v>7.0304051181832952</c:v>
                </c:pt>
                <c:pt idx="844">
                  <c:v>7.0403959007695001</c:v>
                </c:pt>
                <c:pt idx="845">
                  <c:v>7.0503868929806544</c:v>
                </c:pt>
                <c:pt idx="846">
                  <c:v>7.0603780900536126</c:v>
                </c:pt>
                <c:pt idx="847">
                  <c:v>7.0703694873332648</c:v>
                </c:pt>
                <c:pt idx="848">
                  <c:v>7.0803610802701025</c:v>
                </c:pt>
                <c:pt idx="849">
                  <c:v>7.0903528644178291</c:v>
                </c:pt>
                <c:pt idx="850">
                  <c:v>7.1003448354310255</c:v>
                </c:pt>
                <c:pt idx="851">
                  <c:v>7.1103369890628656</c:v>
                </c:pt>
                <c:pt idx="852">
                  <c:v>7.1203293211628917</c:v>
                </c:pt>
                <c:pt idx="853">
                  <c:v>7.1303218276748321</c:v>
                </c:pt>
                <c:pt idx="854">
                  <c:v>7.1403145046344676</c:v>
                </c:pt>
                <c:pt idx="855">
                  <c:v>7.1503073481675576</c:v>
                </c:pt>
                <c:pt idx="856">
                  <c:v>7.1603003544877879</c:v>
                </c:pt>
                <c:pt idx="857">
                  <c:v>7.1702935198947966</c:v>
                </c:pt>
                <c:pt idx="858">
                  <c:v>7.1802868407722205</c:v>
                </c:pt>
                <c:pt idx="859">
                  <c:v>7.190280313585796</c:v>
                </c:pt>
                <c:pt idx="860">
                  <c:v>7.2002739348814959</c:v>
                </c:pt>
                <c:pt idx="861">
                  <c:v>7.2102677012837191</c:v>
                </c:pt>
                <c:pt idx="862">
                  <c:v>7.2202616094935079</c:v>
                </c:pt>
                <c:pt idx="863">
                  <c:v>7.2302556562868192</c:v>
                </c:pt>
                <c:pt idx="864">
                  <c:v>7.240249838512816</c:v>
                </c:pt>
                <c:pt idx="865">
                  <c:v>7.2502441530922219</c:v>
                </c:pt>
                <c:pt idx="866">
                  <c:v>7.2602385970156931</c:v>
                </c:pt>
                <c:pt idx="867">
                  <c:v>7.2702331673422345</c:v>
                </c:pt>
                <c:pt idx="868">
                  <c:v>7.2802278611976483</c:v>
                </c:pt>
                <c:pt idx="869">
                  <c:v>7.2902226757730251</c:v>
                </c:pt>
                <c:pt idx="870">
                  <c:v>7.3002176083232611</c:v>
                </c:pt>
                <c:pt idx="871">
                  <c:v>7.3102126561656124</c:v>
                </c:pt>
                <c:pt idx="872">
                  <c:v>7.3202078166782778</c:v>
                </c:pt>
                <c:pt idx="873">
                  <c:v>7.3302030872990223</c:v>
                </c:pt>
                <c:pt idx="874">
                  <c:v>7.3401984655238239</c:v>
                </c:pt>
                <c:pt idx="875">
                  <c:v>7.350193948905555</c:v>
                </c:pt>
                <c:pt idx="876">
                  <c:v>7.3601895350526885</c:v>
                </c:pt>
                <c:pt idx="877">
                  <c:v>7.3701852216280397</c:v>
                </c:pt>
                <c:pt idx="878">
                  <c:v>7.3801810063475335</c:v>
                </c:pt>
                <c:pt idx="879">
                  <c:v>7.3901768869789981</c:v>
                </c:pt>
                <c:pt idx="880">
                  <c:v>7.4001728613409909</c:v>
                </c:pt>
                <c:pt idx="881">
                  <c:v>7.4101689273016396</c:v>
                </c:pt>
                <c:pt idx="882">
                  <c:v>7.4201650827775278</c:v>
                </c:pt>
                <c:pt idx="883">
                  <c:v>7.4301613257325885</c:v>
                </c:pt>
                <c:pt idx="884">
                  <c:v>7.4401576541770327</c:v>
                </c:pt>
                <c:pt idx="885">
                  <c:v>7.4501540661662959</c:v>
                </c:pt>
                <c:pt idx="886">
                  <c:v>7.4601505598000166</c:v>
                </c:pt>
                <c:pt idx="887">
                  <c:v>7.470147133221027</c:v>
                </c:pt>
                <c:pt idx="888">
                  <c:v>7.4801437846143806</c:v>
                </c:pt>
                <c:pt idx="889">
                  <c:v>7.4901405122063798</c:v>
                </c:pt>
                <c:pt idx="890">
                  <c:v>7.5001373142636583</c:v>
                </c:pt>
                <c:pt idx="891">
                  <c:v>7.5101341890922502</c:v>
                </c:pt>
                <c:pt idx="892">
                  <c:v>7.5201311350367011</c:v>
                </c:pt>
                <c:pt idx="893">
                  <c:v>7.5301281504791948</c:v>
                </c:pt>
                <c:pt idx="894">
                  <c:v>7.5401252338386948</c:v>
                </c:pt>
                <c:pt idx="895">
                  <c:v>7.5501223835701143</c:v>
                </c:pt>
                <c:pt idx="896">
                  <c:v>7.5601195981634977</c:v>
                </c:pt>
                <c:pt idx="897">
                  <c:v>7.5701168761432154</c:v>
                </c:pt>
                <c:pt idx="898">
                  <c:v>7.5801142160671962</c:v>
                </c:pt>
                <c:pt idx="899">
                  <c:v>7.5901116165261593</c:v>
                </c:pt>
                <c:pt idx="900">
                  <c:v>7.600109076142866</c:v>
                </c:pt>
                <c:pt idx="901">
                  <c:v>7.610106593571401</c:v>
                </c:pt>
                <c:pt idx="902">
                  <c:v>7.6201041674964518</c:v>
                </c:pt>
                <c:pt idx="903">
                  <c:v>7.6301017966326166</c:v>
                </c:pt>
                <c:pt idx="904">
                  <c:v>7.6400994797237267</c:v>
                </c:pt>
                <c:pt idx="905">
                  <c:v>7.6500972155421829</c:v>
                </c:pt>
                <c:pt idx="906">
                  <c:v>7.6600950028882959</c:v>
                </c:pt>
                <c:pt idx="907">
                  <c:v>7.6700928405896693</c:v>
                </c:pt>
                <c:pt idx="908">
                  <c:v>7.6800907275005681</c:v>
                </c:pt>
                <c:pt idx="909">
                  <c:v>7.6900886625013145</c:v>
                </c:pt>
                <c:pt idx="910">
                  <c:v>7.7000866444976959</c:v>
                </c:pt>
                <c:pt idx="911">
                  <c:v>7.7100846724203889</c:v>
                </c:pt>
                <c:pt idx="912">
                  <c:v>7.7200827452243903</c:v>
                </c:pt>
                <c:pt idx="913">
                  <c:v>7.7300808618884673</c:v>
                </c:pt>
                <c:pt idx="914">
                  <c:v>7.7400790214146129</c:v>
                </c:pt>
                <c:pt idx="915">
                  <c:v>7.7500772228275219</c:v>
                </c:pt>
                <c:pt idx="916">
                  <c:v>7.7600754651740749</c:v>
                </c:pt>
                <c:pt idx="917">
                  <c:v>7.770073747522833</c:v>
                </c:pt>
                <c:pt idx="918">
                  <c:v>7.7800720689635439</c:v>
                </c:pt>
                <c:pt idx="919">
                  <c:v>7.7900704286066604</c:v>
                </c:pt>
                <c:pt idx="920">
                  <c:v>7.8000688255828727</c:v>
                </c:pt>
                <c:pt idx="921">
                  <c:v>7.810067259042647</c:v>
                </c:pt>
                <c:pt idx="922">
                  <c:v>7.8200657281557682</c:v>
                </c:pt>
                <c:pt idx="923">
                  <c:v>7.8300642321109164</c:v>
                </c:pt>
                <c:pt idx="924">
                  <c:v>7.8400627701152246</c:v>
                </c:pt>
                <c:pt idx="925">
                  <c:v>7.8500613413938618</c:v>
                </c:pt>
                <c:pt idx="926">
                  <c:v>7.8600599451896267</c:v>
                </c:pt>
                <c:pt idx="927">
                  <c:v>7.8700585807625449</c:v>
                </c:pt>
                <c:pt idx="928">
                  <c:v>7.8800572473894732</c:v>
                </c:pt>
                <c:pt idx="929">
                  <c:v>7.8900559443637235</c:v>
                </c:pt>
                <c:pt idx="930">
                  <c:v>7.9000546709946846</c:v>
                </c:pt>
                <c:pt idx="931">
                  <c:v>7.9100534266074556</c:v>
                </c:pt>
                <c:pt idx="932">
                  <c:v>7.9200522105424929</c:v>
                </c:pt>
                <c:pt idx="933">
                  <c:v>7.9300510221552596</c:v>
                </c:pt>
                <c:pt idx="934">
                  <c:v>7.94004986081588</c:v>
                </c:pt>
                <c:pt idx="935">
                  <c:v>7.950048725908812</c:v>
                </c:pt>
                <c:pt idx="936">
                  <c:v>7.9600476168325178</c:v>
                </c:pt>
                <c:pt idx="937">
                  <c:v>7.9700465329991452</c:v>
                </c:pt>
                <c:pt idx="938">
                  <c:v>7.9800454738342204</c:v>
                </c:pt>
                <c:pt idx="939">
                  <c:v>7.9900444387763363</c:v>
                </c:pt>
                <c:pt idx="940">
                  <c:v>8.0000434272768626</c:v>
                </c:pt>
                <c:pt idx="941">
                  <c:v>8.0100424387996529</c:v>
                </c:pt>
                <c:pt idx="942">
                  <c:v>8.0200414728207576</c:v>
                </c:pt>
                <c:pt idx="943">
                  <c:v>8.0300405288281489</c:v>
                </c:pt>
                <c:pt idx="944">
                  <c:v>8.0400396063214536</c:v>
                </c:pt>
                <c:pt idx="945">
                  <c:v>8.0500387048116817</c:v>
                </c:pt>
                <c:pt idx="946">
                  <c:v>8.0600378238209718</c:v>
                </c:pt>
                <c:pt idx="947">
                  <c:v>8.0700369628823303</c:v>
                </c:pt>
                <c:pt idx="948">
                  <c:v>8.0800361215393952</c:v>
                </c:pt>
                <c:pt idx="949">
                  <c:v>8.090035299346189</c:v>
                </c:pt>
                <c:pt idx="950">
                  <c:v>8.1000344958668826</c:v>
                </c:pt>
                <c:pt idx="951">
                  <c:v>8.1100337106755607</c:v>
                </c:pt>
                <c:pt idx="952">
                  <c:v>8.120032943356005</c:v>
                </c:pt>
                <c:pt idx="953">
                  <c:v>8.1300321935014619</c:v>
                </c:pt>
                <c:pt idx="954">
                  <c:v>8.1400314607144448</c:v>
                </c:pt>
                <c:pt idx="955">
                  <c:v>8.1500307446065019</c:v>
                </c:pt>
                <c:pt idx="956">
                  <c:v>8.1600300447980239</c:v>
                </c:pt>
                <c:pt idx="957">
                  <c:v>8.1700293609180434</c:v>
                </c:pt>
                <c:pt idx="958">
                  <c:v>8.1800286926040293</c:v>
                </c:pt>
                <c:pt idx="959">
                  <c:v>8.1900280395017067</c:v>
                </c:pt>
                <c:pt idx="960">
                  <c:v>8.20002740126486</c:v>
                </c:pt>
                <c:pt idx="961">
                  <c:v>8.2100267775551501</c:v>
                </c:pt>
                <c:pt idx="962">
                  <c:v>8.220026168041942</c:v>
                </c:pt>
                <c:pt idx="963">
                  <c:v>8.2300255724021234</c:v>
                </c:pt>
                <c:pt idx="964">
                  <c:v>8.240024990319931</c:v>
                </c:pt>
                <c:pt idx="965">
                  <c:v>8.2500244214867937</c:v>
                </c:pt>
                <c:pt idx="966">
                  <c:v>8.2600238656011591</c:v>
                </c:pt>
                <c:pt idx="967">
                  <c:v>8.2700233223683401</c:v>
                </c:pt>
                <c:pt idx="968">
                  <c:v>8.2800227915003521</c:v>
                </c:pt>
                <c:pt idx="969">
                  <c:v>8.2900222727157686</c:v>
                </c:pt>
                <c:pt idx="970">
                  <c:v>8.3000217657395652</c:v>
                </c:pt>
                <c:pt idx="971">
                  <c:v>8.310021270302979</c:v>
                </c:pt>
                <c:pt idx="972">
                  <c:v>8.3200207861433579</c:v>
                </c:pt>
                <c:pt idx="973">
                  <c:v>8.3300203130040344</c:v>
                </c:pt>
                <c:pt idx="974">
                  <c:v>8.3400198506341781</c:v>
                </c:pt>
                <c:pt idx="975">
                  <c:v>8.3500193987886693</c:v>
                </c:pt>
                <c:pt idx="976">
                  <c:v>8.3600189572279664</c:v>
                </c:pt>
                <c:pt idx="977">
                  <c:v>8.3700185257179793</c:v>
                </c:pt>
                <c:pt idx="978">
                  <c:v>8.3800181040299435</c:v>
                </c:pt>
                <c:pt idx="979">
                  <c:v>8.3900176919403027</c:v>
                </c:pt>
                <c:pt idx="980">
                  <c:v>8.4000172892305933</c:v>
                </c:pt>
                <c:pt idx="981">
                  <c:v>8.4100168956873116</c:v>
                </c:pt>
                <c:pt idx="982">
                  <c:v>8.4200165111018244</c:v>
                </c:pt>
                <c:pt idx="983">
                  <c:v>8.4300161352702432</c:v>
                </c:pt>
                <c:pt idx="984">
                  <c:v>8.4400157679933194</c:v>
                </c:pt>
                <c:pt idx="985">
                  <c:v>8.4500154090763395</c:v>
                </c:pt>
                <c:pt idx="986">
                  <c:v>8.4600150583290183</c:v>
                </c:pt>
                <c:pt idx="987">
                  <c:v>8.4700147155654104</c:v>
                </c:pt>
                <c:pt idx="988">
                  <c:v>8.4800143806037926</c:v>
                </c:pt>
                <c:pt idx="989">
                  <c:v>8.4900140532665826</c:v>
                </c:pt>
                <c:pt idx="990">
                  <c:v>8.5000137333802392</c:v>
                </c:pt>
                <c:pt idx="991">
                  <c:v>8.5100134207751683</c:v>
                </c:pt>
                <c:pt idx="992">
                  <c:v>8.5200131152856411</c:v>
                </c:pt>
                <c:pt idx="993">
                  <c:v>8.5300128167496965</c:v>
                </c:pt>
                <c:pt idx="994">
                  <c:v>8.5400125250090628</c:v>
                </c:pt>
                <c:pt idx="995">
                  <c:v>8.5500122399090657</c:v>
                </c:pt>
                <c:pt idx="996">
                  <c:v>8.5600119612985583</c:v>
                </c:pt>
                <c:pt idx="997">
                  <c:v>8.5700116890298261</c:v>
                </c:pt>
                <c:pt idx="998">
                  <c:v>8.5800114229585223</c:v>
                </c:pt>
                <c:pt idx="999">
                  <c:v>8.5900111629435827</c:v>
                </c:pt>
                <c:pt idx="1000">
                  <c:v>8.600010908847155</c:v>
                </c:pt>
                <c:pt idx="1001">
                  <c:v>8.6100106605345257</c:v>
                </c:pt>
                <c:pt idx="1002">
                  <c:v>8.6200104178740435</c:v>
                </c:pt>
                <c:pt idx="1003">
                  <c:v>8.6300101807370577</c:v>
                </c:pt>
                <c:pt idx="1004">
                  <c:v>8.6400099489978448</c:v>
                </c:pt>
                <c:pt idx="1005">
                  <c:v>8.6500097225335413</c:v>
                </c:pt>
                <c:pt idx="1006">
                  <c:v>8.6600095012240796</c:v>
                </c:pt>
                <c:pt idx="1007">
                  <c:v>8.6700092849521262</c:v>
                </c:pt>
                <c:pt idx="1008">
                  <c:v>8.6800090736030207</c:v>
                </c:pt>
                <c:pt idx="1009">
                  <c:v>8.6900088670647069</c:v>
                </c:pt>
                <c:pt idx="1010">
                  <c:v>8.7000086652276867</c:v>
                </c:pt>
                <c:pt idx="1011">
                  <c:v>8.710008467984947</c:v>
                </c:pt>
                <c:pt idx="1012">
                  <c:v>8.7200082752319119</c:v>
                </c:pt>
                <c:pt idx="1013">
                  <c:v>8.7300080868663912</c:v>
                </c:pt>
                <c:pt idx="1014">
                  <c:v>8.7400079027885127</c:v>
                </c:pt>
                <c:pt idx="1015">
                  <c:v>8.7500077229006834</c:v>
                </c:pt>
                <c:pt idx="1016">
                  <c:v>8.7600075471075289</c:v>
                </c:pt>
                <c:pt idx="1017">
                  <c:v>8.7700073753158474</c:v>
                </c:pt>
                <c:pt idx="1018">
                  <c:v>8.7800072074345543</c:v>
                </c:pt>
                <c:pt idx="1019">
                  <c:v>8.7900070433746436</c:v>
                </c:pt>
                <c:pt idx="1020">
                  <c:v>8.800006883049134</c:v>
                </c:pt>
                <c:pt idx="1021">
                  <c:v>8.8100067263730217</c:v>
                </c:pt>
                <c:pt idx="1022">
                  <c:v>8.8200065732632371</c:v>
                </c:pt>
                <c:pt idx="1023">
                  <c:v>8.830006423638606</c:v>
                </c:pt>
                <c:pt idx="1024">
                  <c:v>8.8400062774197963</c:v>
                </c:pt>
                <c:pt idx="1025">
                  <c:v>8.8500061345292842</c:v>
                </c:pt>
                <c:pt idx="1026">
                  <c:v>8.8600059948913135</c:v>
                </c:pt>
                <c:pt idx="1027">
                  <c:v>8.8700058584318473</c:v>
                </c:pt>
                <c:pt idx="1028">
                  <c:v>8.8800057250785365</c:v>
                </c:pt>
                <c:pt idx="1029">
                  <c:v>8.8900055947606784</c:v>
                </c:pt>
                <c:pt idx="1030">
                  <c:v>8.90000546740918</c:v>
                </c:pt>
                <c:pt idx="1031">
                  <c:v>8.9100053429565182</c:v>
                </c:pt>
                <c:pt idx="1032">
                  <c:v>8.9200052213367105</c:v>
                </c:pt>
                <c:pt idx="1033">
                  <c:v>8.9300051024852749</c:v>
                </c:pt>
                <c:pt idx="1034">
                  <c:v>8.940004986339197</c:v>
                </c:pt>
                <c:pt idx="1035">
                  <c:v>8.9500048728368959</c:v>
                </c:pt>
                <c:pt idx="1036">
                  <c:v>8.9600047619181939</c:v>
                </c:pt>
                <c:pt idx="1037">
                  <c:v>8.970004653524283</c:v>
                </c:pt>
                <c:pt idx="1038">
                  <c:v>8.9800045475976944</c:v>
                </c:pt>
                <c:pt idx="1039">
                  <c:v>8.9900044440822615</c:v>
                </c:pt>
                <c:pt idx="1040">
                  <c:v>9.0000043429231038</c:v>
                </c:pt>
                <c:pt idx="1041">
                  <c:v>9.0100042440665877</c:v>
                </c:pt>
                <c:pt idx="1042">
                  <c:v>9.0200041474603001</c:v>
                </c:pt>
                <c:pt idx="1043">
                  <c:v>9.0300040530530179</c:v>
                </c:pt>
                <c:pt idx="1044">
                  <c:v>9.0400039607946887</c:v>
                </c:pt>
                <c:pt idx="1045">
                  <c:v>9.0500038706363952</c:v>
                </c:pt>
                <c:pt idx="1046">
                  <c:v>9.0600037825303392</c:v>
                </c:pt>
                <c:pt idx="1047">
                  <c:v>9.0700036964298025</c:v>
                </c:pt>
                <c:pt idx="1048">
                  <c:v>9.0800036122891381</c:v>
                </c:pt>
                <c:pt idx="1049">
                  <c:v>9.0900035300637327</c:v>
                </c:pt>
                <c:pt idx="1050">
                  <c:v>9.1000034497099911</c:v>
                </c:pt>
                <c:pt idx="1051">
                  <c:v>9.110003371185309</c:v>
                </c:pt>
                <c:pt idx="1052">
                  <c:v>9.120003294448054</c:v>
                </c:pt>
                <c:pt idx="1053">
                  <c:v>9.1300032194575387</c:v>
                </c:pt>
                <c:pt idx="1054">
                  <c:v>9.1400031461740028</c:v>
                </c:pt>
                <c:pt idx="1055">
                  <c:v>9.1500030745585939</c:v>
                </c:pt>
                <c:pt idx="1056">
                  <c:v>9.1600030045733387</c:v>
                </c:pt>
                <c:pt idx="1057">
                  <c:v>9.1700029361811293</c:v>
                </c:pt>
                <c:pt idx="1058">
                  <c:v>9.1800028693457083</c:v>
                </c:pt>
                <c:pt idx="1059">
                  <c:v>9.1900028040316375</c:v>
                </c:pt>
                <c:pt idx="1060">
                  <c:v>9.200002740204285</c:v>
                </c:pt>
                <c:pt idx="1061">
                  <c:v>9.210002677829813</c:v>
                </c:pt>
                <c:pt idx="1062">
                  <c:v>9.2200026168751474</c:v>
                </c:pt>
                <c:pt idx="1063">
                  <c:v>9.2300025573079729</c:v>
                </c:pt>
                <c:pt idx="1064">
                  <c:v>9.240002499096704</c:v>
                </c:pt>
                <c:pt idx="1065">
                  <c:v>9.2500024422104783</c:v>
                </c:pt>
                <c:pt idx="1066">
                  <c:v>9.2600023866191332</c:v>
                </c:pt>
                <c:pt idx="1067">
                  <c:v>9.2700023322931955</c:v>
                </c:pt>
                <c:pt idx="1068">
                  <c:v>9.2800022792038597</c:v>
                </c:pt>
                <c:pt idx="1069">
                  <c:v>9.2900022273229794</c:v>
                </c:pt>
                <c:pt idx="1070">
                  <c:v>9.3000021766230443</c:v>
                </c:pt>
                <c:pt idx="1071">
                  <c:v>9.310002127077178</c:v>
                </c:pt>
                <c:pt idx="1072">
                  <c:v>9.3200020786591065</c:v>
                </c:pt>
                <c:pt idx="1073">
                  <c:v>9.3300020313431578</c:v>
                </c:pt>
                <c:pt idx="1074">
                  <c:v>9.340001985104248</c:v>
                </c:pt>
                <c:pt idx="1075">
                  <c:v>9.3500019399178598</c:v>
                </c:pt>
                <c:pt idx="1076">
                  <c:v>9.3600018957600337</c:v>
                </c:pt>
                <c:pt idx="1077">
                  <c:v>9.3700018526073592</c:v>
                </c:pt>
                <c:pt idx="1078">
                  <c:v>9.3800018104369549</c:v>
                </c:pt>
                <c:pt idx="1079">
                  <c:v>9.3900017692264619</c:v>
                </c:pt>
                <c:pt idx="1080">
                  <c:v>9.4000017289540327</c:v>
                </c:pt>
                <c:pt idx="1081">
                  <c:v>9.4100016895983103</c:v>
                </c:pt>
                <c:pt idx="1082">
                  <c:v>9.4200016511384312</c:v>
                </c:pt>
                <c:pt idx="1083">
                  <c:v>9.4300016135540012</c:v>
                </c:pt>
                <c:pt idx="1084">
                  <c:v>9.4400015768250949</c:v>
                </c:pt>
                <c:pt idx="1085">
                  <c:v>9.4500015409322362</c:v>
                </c:pt>
                <c:pt idx="1086">
                  <c:v>9.4600015058563969</c:v>
                </c:pt>
                <c:pt idx="1087">
                  <c:v>9.4700014715789784</c:v>
                </c:pt>
                <c:pt idx="1088">
                  <c:v>9.4800014380818087</c:v>
                </c:pt>
                <c:pt idx="1089">
                  <c:v>9.4900014053471224</c:v>
                </c:pt>
                <c:pt idx="1090">
                  <c:v>9.5000013733575663</c:v>
                </c:pt>
                <c:pt idx="1091">
                  <c:v>9.5100013420961798</c:v>
                </c:pt>
                <c:pt idx="1092">
                  <c:v>9.5200013115463875</c:v>
                </c:pt>
                <c:pt idx="1093">
                  <c:v>9.530001281691991</c:v>
                </c:pt>
                <c:pt idx="1094">
                  <c:v>9.5400012525171611</c:v>
                </c:pt>
                <c:pt idx="1095">
                  <c:v>9.5500012240064294</c:v>
                </c:pt>
                <c:pt idx="1096">
                  <c:v>9.5600011961446807</c:v>
                </c:pt>
                <c:pt idx="1097">
                  <c:v>9.5700011689171411</c:v>
                </c:pt>
                <c:pt idx="1098">
                  <c:v>9.5800011423093725</c:v>
                </c:pt>
                <c:pt idx="1099">
                  <c:v>9.5900011163072705</c:v>
                </c:pt>
                <c:pt idx="1100">
                  <c:v>9.600001090897047</c:v>
                </c:pt>
                <c:pt idx="1101">
                  <c:v>9.6100010660652284</c:v>
                </c:pt>
                <c:pt idx="1102">
                  <c:v>9.6200010417986501</c:v>
                </c:pt>
                <c:pt idx="1103">
                  <c:v>9.630001018084446</c:v>
                </c:pt>
                <c:pt idx="1104">
                  <c:v>9.6400009949100394</c:v>
                </c:pt>
                <c:pt idx="1105">
                  <c:v>9.6500009722631503</c:v>
                </c:pt>
                <c:pt idx="1106">
                  <c:v>9.6600009501317619</c:v>
                </c:pt>
                <c:pt idx="1107">
                  <c:v>9.6700009285041464</c:v>
                </c:pt>
                <c:pt idx="1108">
                  <c:v>9.680000907368834</c:v>
                </c:pt>
                <c:pt idx="1109">
                  <c:v>9.6900008867146177</c:v>
                </c:pt>
                <c:pt idx="1110">
                  <c:v>9.7000008665305479</c:v>
                </c:pt>
                <c:pt idx="1111">
                  <c:v>9.710000846805924</c:v>
                </c:pt>
                <c:pt idx="1112">
                  <c:v>9.7200008275302867</c:v>
                </c:pt>
                <c:pt idx="1113">
                  <c:v>9.7300008086934167</c:v>
                </c:pt>
                <c:pt idx="1114">
                  <c:v>9.7400007902853236</c:v>
                </c:pt>
                <c:pt idx="1115">
                  <c:v>9.7500007722962501</c:v>
                </c:pt>
                <c:pt idx="1116">
                  <c:v>9.7600007547166552</c:v>
                </c:pt>
                <c:pt idx="1117">
                  <c:v>9.7700007375372202</c:v>
                </c:pt>
                <c:pt idx="1118">
                  <c:v>9.7800007207488378</c:v>
                </c:pt>
                <c:pt idx="1119">
                  <c:v>9.7900007043426047</c:v>
                </c:pt>
                <c:pt idx="1120">
                  <c:v>9.8000006883098223</c:v>
                </c:pt>
                <c:pt idx="1121">
                  <c:v>9.8100006726419906</c:v>
                </c:pt>
                <c:pt idx="1122">
                  <c:v>9.8200006573308016</c:v>
                </c:pt>
                <c:pt idx="1123">
                  <c:v>9.8300006423681374</c:v>
                </c:pt>
                <c:pt idx="1124">
                  <c:v>9.840000627746063</c:v>
                </c:pt>
                <c:pt idx="1125">
                  <c:v>9.8500006134568281</c:v>
                </c:pt>
                <c:pt idx="1126">
                  <c:v>9.8600005994928548</c:v>
                </c:pt>
                <c:pt idx="1127">
                  <c:v>9.870000585846741</c:v>
                </c:pt>
                <c:pt idx="1128">
                  <c:v>9.8800005725112499</c:v>
                </c:pt>
                <c:pt idx="1129">
                  <c:v>9.8900005594793114</c:v>
                </c:pt>
                <c:pt idx="1130">
                  <c:v>9.9000005467440158</c:v>
                </c:pt>
                <c:pt idx="1131">
                  <c:v>9.9100005342986108</c:v>
                </c:pt>
                <c:pt idx="1132">
                  <c:v>9.9200005221364957</c:v>
                </c:pt>
                <c:pt idx="1133">
                  <c:v>9.9300005102512259</c:v>
                </c:pt>
                <c:pt idx="1134">
                  <c:v>9.9400004986364952</c:v>
                </c:pt>
                <c:pt idx="1135">
                  <c:v>9.9500004872861503</c:v>
                </c:pt>
                <c:pt idx="1136">
                  <c:v>9.9600004761941694</c:v>
                </c:pt>
                <c:pt idx="1137">
                  <c:v>9.970000465354671</c:v>
                </c:pt>
                <c:pt idx="1138">
                  <c:v>9.9800004547619121</c:v>
                </c:pt>
                <c:pt idx="1139">
                  <c:v>9.9900004444102724</c:v>
                </c:pt>
                <c:pt idx="1140">
                  <c:v>10.000000434294265</c:v>
                </c:pt>
                <c:pt idx="1141">
                  <c:v>10.010000424408526</c:v>
                </c:pt>
                <c:pt idx="1142">
                  <c:v>10.020000414747813</c:v>
                </c:pt>
                <c:pt idx="1143">
                  <c:v>10.030000405307003</c:v>
                </c:pt>
                <c:pt idx="1144">
                  <c:v>10.040000396081094</c:v>
                </c:pt>
                <c:pt idx="1145">
                  <c:v>10.050000387065191</c:v>
                </c:pt>
                <c:pt idx="1146">
                  <c:v>10.060000378254518</c:v>
                </c:pt>
                <c:pt idx="1147">
                  <c:v>10.070000369644397</c:v>
                </c:pt>
                <c:pt idx="1148">
                  <c:v>10.080000361230267</c:v>
                </c:pt>
                <c:pt idx="1149">
                  <c:v>10.090000353007664</c:v>
                </c:pt>
                <c:pt idx="1150">
                  <c:v>10.100000344972232</c:v>
                </c:pt>
                <c:pt idx="1151">
                  <c:v>10.110000337119709</c:v>
                </c:pt>
                <c:pt idx="1152">
                  <c:v>10.120000329445929</c:v>
                </c:pt>
                <c:pt idx="1153">
                  <c:v>10.130000321946827</c:v>
                </c:pt>
                <c:pt idx="1154">
                  <c:v>10.140000314618424</c:v>
                </c:pt>
                <c:pt idx="1155">
                  <c:v>10.150000307456839</c:v>
                </c:pt>
                <c:pt idx="1156">
                  <c:v>10.16000030045827</c:v>
                </c:pt>
                <c:pt idx="1157">
                  <c:v>10.170000293619006</c:v>
                </c:pt>
                <c:pt idx="1158">
                  <c:v>10.180000286935424</c:v>
                </c:pt>
                <c:pt idx="1159">
                  <c:v>10.190000280403979</c:v>
                </c:pt>
                <c:pt idx="1160">
                  <c:v>10.200000274021207</c:v>
                </c:pt>
                <c:pt idx="1161">
                  <c:v>10.210000267783723</c:v>
                </c:pt>
                <c:pt idx="1162">
                  <c:v>10.220000261688224</c:v>
                </c:pt>
                <c:pt idx="1163">
                  <c:v>10.230000255731476</c:v>
                </c:pt>
                <c:pt idx="1164">
                  <c:v>10.240000249910318</c:v>
                </c:pt>
                <c:pt idx="1165">
                  <c:v>10.250000244221667</c:v>
                </c:pt>
                <c:pt idx="1166">
                  <c:v>10.260000238662505</c:v>
                </c:pt>
                <c:pt idx="1167">
                  <c:v>10.270000233229883</c:v>
                </c:pt>
                <c:pt idx="1168">
                  <c:v>10.280000227920924</c:v>
                </c:pt>
                <c:pt idx="1169">
                  <c:v>10.290000222732811</c:v>
                </c:pt>
                <c:pt idx="1170">
                  <c:v>10.300000217662795</c:v>
                </c:pt>
                <c:pt idx="1171">
                  <c:v>10.310000212708188</c:v>
                </c:pt>
                <c:pt idx="1172">
                  <c:v>10.320000207866359</c:v>
                </c:pt>
                <c:pt idx="1173">
                  <c:v>10.330000203134745</c:v>
                </c:pt>
                <c:pt idx="1174">
                  <c:v>10.340000198510834</c:v>
                </c:pt>
                <c:pt idx="1175">
                  <c:v>10.350000193992175</c:v>
                </c:pt>
                <c:pt idx="1176">
                  <c:v>10.360000189576375</c:v>
                </c:pt>
                <c:pt idx="1177">
                  <c:v>10.370000185261091</c:v>
                </c:pt>
                <c:pt idx="1178">
                  <c:v>10.380000181044036</c:v>
                </c:pt>
                <c:pt idx="1179">
                  <c:v>10.390000176922971</c:v>
                </c:pt>
                <c:pt idx="1180">
                  <c:v>10.400000172895714</c:v>
                </c:pt>
                <c:pt idx="1181">
                  <c:v>10.410000168960128</c:v>
                </c:pt>
                <c:pt idx="1182">
                  <c:v>10.420000165114127</c:v>
                </c:pt>
                <c:pt idx="1183">
                  <c:v>10.43000016135567</c:v>
                </c:pt>
                <c:pt idx="1184">
                  <c:v>10.440000157682768</c:v>
                </c:pt>
                <c:pt idx="1185">
                  <c:v>10.45000015409347</c:v>
                </c:pt>
                <c:pt idx="1186">
                  <c:v>10.460000150585874</c:v>
                </c:pt>
                <c:pt idx="1187">
                  <c:v>10.470000147158121</c:v>
                </c:pt>
                <c:pt idx="1188">
                  <c:v>10.480000143808397</c:v>
                </c:pt>
                <c:pt idx="1189">
                  <c:v>10.490000140534917</c:v>
                </c:pt>
                <c:pt idx="1190">
                  <c:v>10.500000137335952</c:v>
                </c:pt>
                <c:pt idx="1191">
                  <c:v>10.510000134209806</c:v>
                </c:pt>
                <c:pt idx="1192">
                  <c:v>10.520000131154816</c:v>
                </c:pt>
                <c:pt idx="1193">
                  <c:v>10.53000012816937</c:v>
                </c:pt>
                <c:pt idx="1194">
                  <c:v>10.540000125251879</c:v>
                </c:pt>
                <c:pt idx="1195">
                  <c:v>10.550000122400798</c:v>
                </c:pt>
                <c:pt idx="1196">
                  <c:v>10.560000119614617</c:v>
                </c:pt>
                <c:pt idx="1197">
                  <c:v>10.570000116891856</c:v>
                </c:pt>
                <c:pt idx="1198">
                  <c:v>10.580000114231073</c:v>
                </c:pt>
                <c:pt idx="1199">
                  <c:v>10.590000111630857</c:v>
                </c:pt>
                <c:pt idx="1200">
                  <c:v>10.600000109089828</c:v>
                </c:pt>
                <c:pt idx="1201">
                  <c:v>10.610000106606641</c:v>
                </c:pt>
                <c:pt idx="1202">
                  <c:v>10.620000104179978</c:v>
                </c:pt>
                <c:pt idx="1203">
                  <c:v>10.630000101808552</c:v>
                </c:pt>
                <c:pt idx="1204">
                  <c:v>10.640000099491106</c:v>
                </c:pt>
                <c:pt idx="1205">
                  <c:v>10.650000097226414</c:v>
                </c:pt>
                <c:pt idx="1206">
                  <c:v>10.66000009501327</c:v>
                </c:pt>
                <c:pt idx="1207">
                  <c:v>10.670000092850504</c:v>
                </c:pt>
                <c:pt idx="1208">
                  <c:v>10.680000090736968</c:v>
                </c:pt>
                <c:pt idx="1209">
                  <c:v>10.690000088671542</c:v>
                </c:pt>
                <c:pt idx="1210">
                  <c:v>10.700000086653132</c:v>
                </c:pt>
                <c:pt idx="1211">
                  <c:v>10.710000084680667</c:v>
                </c:pt>
                <c:pt idx="1212">
                  <c:v>10.720000082753099</c:v>
                </c:pt>
                <c:pt idx="1213">
                  <c:v>10.730000080869411</c:v>
                </c:pt>
                <c:pt idx="1214">
                  <c:v>10.740000079028597</c:v>
                </c:pt>
                <c:pt idx="1215">
                  <c:v>10.750000077229688</c:v>
                </c:pt>
                <c:pt idx="1216">
                  <c:v>10.760000075471725</c:v>
                </c:pt>
                <c:pt idx="1217">
                  <c:v>10.77000007375378</c:v>
                </c:pt>
                <c:pt idx="1218">
                  <c:v>10.780000072074937</c:v>
                </c:pt>
                <c:pt idx="1219">
                  <c:v>10.790000070434312</c:v>
                </c:pt>
                <c:pt idx="1220">
                  <c:v>10.80000006883103</c:v>
                </c:pt>
                <c:pt idx="1221">
                  <c:v>10.810000067264246</c:v>
                </c:pt>
                <c:pt idx="1222">
                  <c:v>10.820000065733126</c:v>
                </c:pt>
                <c:pt idx="1223">
                  <c:v>10.830000064236858</c:v>
                </c:pt>
                <c:pt idx="1224">
                  <c:v>10.840000062774648</c:v>
                </c:pt>
                <c:pt idx="1225">
                  <c:v>10.850000061345721</c:v>
                </c:pt>
                <c:pt idx="1226">
                  <c:v>10.860000059949323</c:v>
                </c:pt>
                <c:pt idx="1227">
                  <c:v>10.87000005858471</c:v>
                </c:pt>
                <c:pt idx="1228">
                  <c:v>10.880000057251159</c:v>
                </c:pt>
                <c:pt idx="1229">
                  <c:v>10.890000055947963</c:v>
                </c:pt>
                <c:pt idx="1230">
                  <c:v>10.900000054674432</c:v>
                </c:pt>
                <c:pt idx="1231">
                  <c:v>10.910000053429892</c:v>
                </c:pt>
                <c:pt idx="1232">
                  <c:v>10.920000052213679</c:v>
                </c:pt>
                <c:pt idx="1233">
                  <c:v>10.93000005102515</c:v>
                </c:pt>
                <c:pt idx="1234">
                  <c:v>10.940000049863675</c:v>
                </c:pt>
                <c:pt idx="1235">
                  <c:v>10.95000004872864</c:v>
                </c:pt>
                <c:pt idx="1236">
                  <c:v>10.960000047619442</c:v>
                </c:pt>
                <c:pt idx="1237">
                  <c:v>10.970000046535489</c:v>
                </c:pt>
                <c:pt idx="1238">
                  <c:v>10.980000045476213</c:v>
                </c:pt>
                <c:pt idx="1239">
                  <c:v>10.990000044441048</c:v>
                </c:pt>
                <c:pt idx="1240">
                  <c:v>11.000000043429447</c:v>
                </c:pt>
                <c:pt idx="1241">
                  <c:v>11.010000042440872</c:v>
                </c:pt>
                <c:pt idx="1242">
                  <c:v>11.0200000414748</c:v>
                </c:pt>
                <c:pt idx="1243">
                  <c:v>11.030000040530718</c:v>
                </c:pt>
                <c:pt idx="1244">
                  <c:v>11.040000039608126</c:v>
                </c:pt>
                <c:pt idx="1245">
                  <c:v>11.050000038706536</c:v>
                </c:pt>
                <c:pt idx="1246">
                  <c:v>11.060000037825468</c:v>
                </c:pt>
                <c:pt idx="1247">
                  <c:v>11.070000036964455</c:v>
                </c:pt>
                <c:pt idx="1248">
                  <c:v>11.080000036123042</c:v>
                </c:pt>
                <c:pt idx="1249">
                  <c:v>11.090000035300779</c:v>
                </c:pt>
                <c:pt idx="1250">
                  <c:v>11.100000034497235</c:v>
                </c:pt>
                <c:pt idx="1251">
                  <c:v>11.110000033711982</c:v>
                </c:pt>
                <c:pt idx="1252">
                  <c:v>11.120000032944604</c:v>
                </c:pt>
                <c:pt idx="1253">
                  <c:v>11.130000032194694</c:v>
                </c:pt>
                <c:pt idx="1254">
                  <c:v>11.140000031461852</c:v>
                </c:pt>
                <c:pt idx="1255">
                  <c:v>11.150000030745694</c:v>
                </c:pt>
                <c:pt idx="1256">
                  <c:v>11.160000030045838</c:v>
                </c:pt>
                <c:pt idx="1257">
                  <c:v>11.17000002936191</c:v>
                </c:pt>
                <c:pt idx="1258">
                  <c:v>11.180000028693552</c:v>
                </c:pt>
                <c:pt idx="1259">
                  <c:v>11.190000028040405</c:v>
                </c:pt>
                <c:pt idx="1260">
                  <c:v>11.200000027402128</c:v>
                </c:pt>
                <c:pt idx="1261">
                  <c:v>11.210000026778379</c:v>
                </c:pt>
                <c:pt idx="1262">
                  <c:v>11.22000002616883</c:v>
                </c:pt>
                <c:pt idx="1263">
                  <c:v>11.230000025573155</c:v>
                </c:pt>
                <c:pt idx="1264">
                  <c:v>11.240000024991039</c:v>
                </c:pt>
                <c:pt idx="1265">
                  <c:v>11.250000024422173</c:v>
                </c:pt>
                <c:pt idx="1266">
                  <c:v>11.260000023866256</c:v>
                </c:pt>
                <c:pt idx="1267">
                  <c:v>11.270000023322995</c:v>
                </c:pt>
                <c:pt idx="1268">
                  <c:v>11.280000022792098</c:v>
                </c:pt>
                <c:pt idx="1269">
                  <c:v>11.290000022273285</c:v>
                </c:pt>
                <c:pt idx="1270">
                  <c:v>11.300000021766284</c:v>
                </c:pt>
                <c:pt idx="1271">
                  <c:v>11.310000021270824</c:v>
                </c:pt>
                <c:pt idx="1272">
                  <c:v>11.32000002078664</c:v>
                </c:pt>
                <c:pt idx="1273">
                  <c:v>11.330000020313479</c:v>
                </c:pt>
                <c:pt idx="1274">
                  <c:v>11.340000019851088</c:v>
                </c:pt>
                <c:pt idx="1275">
                  <c:v>11.350000019399221</c:v>
                </c:pt>
                <c:pt idx="1276">
                  <c:v>11.360000018957642</c:v>
                </c:pt>
                <c:pt idx="1277">
                  <c:v>11.370000018526113</c:v>
                </c:pt>
                <c:pt idx="1278">
                  <c:v>11.380000018104408</c:v>
                </c:pt>
                <c:pt idx="1279">
                  <c:v>11.3900000176923</c:v>
                </c:pt>
                <c:pt idx="1280">
                  <c:v>11.400000017289576</c:v>
                </c:pt>
                <c:pt idx="1281">
                  <c:v>11.410000016896015</c:v>
                </c:pt>
                <c:pt idx="1282">
                  <c:v>11.420000016511416</c:v>
                </c:pt>
                <c:pt idx="1283">
                  <c:v>11.430000016135569</c:v>
                </c:pt>
                <c:pt idx="1284">
                  <c:v>11.440000015768279</c:v>
                </c:pt>
                <c:pt idx="1285">
                  <c:v>11.45000001540935</c:v>
                </c:pt>
                <c:pt idx="1286">
                  <c:v>11.46000001505859</c:v>
                </c:pt>
                <c:pt idx="1287">
                  <c:v>11.470000014715815</c:v>
                </c:pt>
                <c:pt idx="1288">
                  <c:v>11.480000014380844</c:v>
                </c:pt>
                <c:pt idx="1289">
                  <c:v>11.490000014053495</c:v>
                </c:pt>
                <c:pt idx="1290">
                  <c:v>11.500000013733599</c:v>
                </c:pt>
                <c:pt idx="1291">
                  <c:v>11.510000013420983</c:v>
                </c:pt>
                <c:pt idx="1292">
                  <c:v>11.520000013115483</c:v>
                </c:pt>
                <c:pt idx="1293">
                  <c:v>11.530000012816938</c:v>
                </c:pt>
                <c:pt idx="1294">
                  <c:v>11.540000012525189</c:v>
                </c:pt>
                <c:pt idx="1295">
                  <c:v>11.550000012240082</c:v>
                </c:pt>
                <c:pt idx="1296">
                  <c:v>11.560000011961463</c:v>
                </c:pt>
                <c:pt idx="1297">
                  <c:v>11.570000011689189</c:v>
                </c:pt>
                <c:pt idx="1298">
                  <c:v>11.58000001142311</c:v>
                </c:pt>
                <c:pt idx="1299">
                  <c:v>11.590000011163088</c:v>
                </c:pt>
                <c:pt idx="1300">
                  <c:v>11.600000010908985</c:v>
                </c:pt>
                <c:pt idx="1301">
                  <c:v>11.610000010660666</c:v>
                </c:pt>
                <c:pt idx="1302">
                  <c:v>11.620000010417998</c:v>
                </c:pt>
                <c:pt idx="1303">
                  <c:v>11.630000010180856</c:v>
                </c:pt>
                <c:pt idx="1304">
                  <c:v>11.640000009949111</c:v>
                </c:pt>
                <c:pt idx="1305">
                  <c:v>11.650000009722643</c:v>
                </c:pt>
                <c:pt idx="1306">
                  <c:v>11.660000009501328</c:v>
                </c:pt>
                <c:pt idx="1307">
                  <c:v>11.670000009285053</c:v>
                </c:pt>
                <c:pt idx="1308">
                  <c:v>11.680000009073698</c:v>
                </c:pt>
                <c:pt idx="1309">
                  <c:v>11.690000008867155</c:v>
                </c:pt>
                <c:pt idx="1310">
                  <c:v>11.700000008665315</c:v>
                </c:pt>
                <c:pt idx="1311">
                  <c:v>11.710000008468068</c:v>
                </c:pt>
                <c:pt idx="1312">
                  <c:v>11.72000000827531</c:v>
                </c:pt>
                <c:pt idx="1313">
                  <c:v>11.730000008086943</c:v>
                </c:pt>
                <c:pt idx="1314">
                  <c:v>11.740000007902861</c:v>
                </c:pt>
                <c:pt idx="1315">
                  <c:v>11.750000007722969</c:v>
                </c:pt>
                <c:pt idx="1316">
                  <c:v>11.760000007547173</c:v>
                </c:pt>
                <c:pt idx="1317">
                  <c:v>11.770000007375378</c:v>
                </c:pt>
                <c:pt idx="1318">
                  <c:v>11.780000007207494</c:v>
                </c:pt>
                <c:pt idx="1319">
                  <c:v>11.790000007043432</c:v>
                </c:pt>
                <c:pt idx="1320">
                  <c:v>11.800000006883103</c:v>
                </c:pt>
                <c:pt idx="1321">
                  <c:v>11.810000006726426</c:v>
                </c:pt>
                <c:pt idx="1322">
                  <c:v>11.820000006573315</c:v>
                </c:pt>
                <c:pt idx="1323">
                  <c:v>11.830000006423688</c:v>
                </c:pt>
                <c:pt idx="1324">
                  <c:v>11.840000006277466</c:v>
                </c:pt>
                <c:pt idx="1325">
                  <c:v>11.850000006134572</c:v>
                </c:pt>
                <c:pt idx="1326">
                  <c:v>11.860000005994932</c:v>
                </c:pt>
                <c:pt idx="1327">
                  <c:v>11.87000000585847</c:v>
                </c:pt>
                <c:pt idx="1328">
                  <c:v>11.880000005725115</c:v>
                </c:pt>
                <c:pt idx="1329">
                  <c:v>11.890000005594796</c:v>
                </c:pt>
                <c:pt idx="1330">
                  <c:v>11.900000005467446</c:v>
                </c:pt>
                <c:pt idx="1331">
                  <c:v>11.91000000534299</c:v>
                </c:pt>
                <c:pt idx="1332">
                  <c:v>11.92000000522137</c:v>
                </c:pt>
                <c:pt idx="1333">
                  <c:v>11.930000005102515</c:v>
                </c:pt>
                <c:pt idx="1334">
                  <c:v>11.940000004986368</c:v>
                </c:pt>
                <c:pt idx="1335">
                  <c:v>11.950000004872864</c:v>
                </c:pt>
                <c:pt idx="1336">
                  <c:v>11.960000004761943</c:v>
                </c:pt>
                <c:pt idx="1337">
                  <c:v>11.970000004653549</c:v>
                </c:pt>
                <c:pt idx="1338">
                  <c:v>11.980000004547623</c:v>
                </c:pt>
                <c:pt idx="1339">
                  <c:v>11.990000004444106</c:v>
                </c:pt>
                <c:pt idx="1340">
                  <c:v>12.000000004342946</c:v>
                </c:pt>
                <c:pt idx="1341">
                  <c:v>12.010000004244088</c:v>
                </c:pt>
                <c:pt idx="1342">
                  <c:v>12.02000000414748</c:v>
                </c:pt>
                <c:pt idx="1343">
                  <c:v>12.030000004053072</c:v>
                </c:pt>
                <c:pt idx="1344">
                  <c:v>12.040000003960813</c:v>
                </c:pt>
                <c:pt idx="1345">
                  <c:v>12.050000003870652</c:v>
                </c:pt>
                <c:pt idx="1346">
                  <c:v>12.060000003782548</c:v>
                </c:pt>
                <c:pt idx="1347">
                  <c:v>12.070000003696446</c:v>
                </c:pt>
                <c:pt idx="1348">
                  <c:v>12.080000003612305</c:v>
                </c:pt>
                <c:pt idx="1349">
                  <c:v>12.090000003530079</c:v>
                </c:pt>
                <c:pt idx="1350">
                  <c:v>12.100000003449724</c:v>
                </c:pt>
                <c:pt idx="1351">
                  <c:v>12.110000003371198</c:v>
                </c:pt>
                <c:pt idx="1352">
                  <c:v>12.120000003294461</c:v>
                </c:pt>
                <c:pt idx="1353">
                  <c:v>12.13000000321947</c:v>
                </c:pt>
                <c:pt idx="1354">
                  <c:v>12.140000003146186</c:v>
                </c:pt>
                <c:pt idx="1355">
                  <c:v>12.15000000307457</c:v>
                </c:pt>
                <c:pt idx="1356">
                  <c:v>12.160000003004585</c:v>
                </c:pt>
                <c:pt idx="1357">
                  <c:v>12.170000002936192</c:v>
                </c:pt>
                <c:pt idx="1358">
                  <c:v>12.180000002869354</c:v>
                </c:pt>
                <c:pt idx="1359">
                  <c:v>12.190000002804041</c:v>
                </c:pt>
                <c:pt idx="1360">
                  <c:v>12.200000002740213</c:v>
                </c:pt>
                <c:pt idx="1361">
                  <c:v>12.210000002677837</c:v>
                </c:pt>
                <c:pt idx="1362">
                  <c:v>12.220000002616883</c:v>
                </c:pt>
                <c:pt idx="1363">
                  <c:v>12.230000002557317</c:v>
                </c:pt>
                <c:pt idx="1364">
                  <c:v>12.240000002499105</c:v>
                </c:pt>
                <c:pt idx="1365">
                  <c:v>12.250000002442219</c:v>
                </c:pt>
                <c:pt idx="1366">
                  <c:v>12.260000002386628</c:v>
                </c:pt>
                <c:pt idx="1367">
                  <c:v>12.270000002332299</c:v>
                </c:pt>
                <c:pt idx="1368">
                  <c:v>12.280000002279209</c:v>
                </c:pt>
                <c:pt idx="1369">
                  <c:v>12.290000002227329</c:v>
                </c:pt>
                <c:pt idx="1370">
                  <c:v>12.300000002176628</c:v>
                </c:pt>
                <c:pt idx="1371">
                  <c:v>12.310000002127083</c:v>
                </c:pt>
                <c:pt idx="1372">
                  <c:v>12.320000002078665</c:v>
                </c:pt>
                <c:pt idx="1373">
                  <c:v>12.330000002031349</c:v>
                </c:pt>
                <c:pt idx="1374">
                  <c:v>12.340000001985109</c:v>
                </c:pt>
                <c:pt idx="1375">
                  <c:v>12.350000001939923</c:v>
                </c:pt>
                <c:pt idx="1376">
                  <c:v>12.360000001895765</c:v>
                </c:pt>
                <c:pt idx="1377">
                  <c:v>12.370000001852612</c:v>
                </c:pt>
                <c:pt idx="1378">
                  <c:v>12.380000001810441</c:v>
                </c:pt>
                <c:pt idx="1379">
                  <c:v>12.390000001769229</c:v>
                </c:pt>
                <c:pt idx="1380">
                  <c:v>12.400000001728959</c:v>
                </c:pt>
                <c:pt idx="1381">
                  <c:v>12.410000001689601</c:v>
                </c:pt>
                <c:pt idx="1382">
                  <c:v>12.420000001651141</c:v>
                </c:pt>
                <c:pt idx="1383">
                  <c:v>12.430000001613557</c:v>
                </c:pt>
                <c:pt idx="1384">
                  <c:v>12.440000001576829</c:v>
                </c:pt>
                <c:pt idx="1385">
                  <c:v>12.450000001540936</c:v>
                </c:pt>
                <c:pt idx="1386">
                  <c:v>12.460000001505859</c:v>
                </c:pt>
                <c:pt idx="1387">
                  <c:v>12.470000001471583</c:v>
                </c:pt>
                <c:pt idx="1388">
                  <c:v>12.480000001438086</c:v>
                </c:pt>
                <c:pt idx="1389">
                  <c:v>12.490000001405349</c:v>
                </c:pt>
                <c:pt idx="1390">
                  <c:v>12.50000000137336</c:v>
                </c:pt>
                <c:pt idx="1391">
                  <c:v>12.510000001342098</c:v>
                </c:pt>
                <c:pt idx="1392">
                  <c:v>12.520000001311548</c:v>
                </c:pt>
                <c:pt idx="1393">
                  <c:v>12.530000001281694</c:v>
                </c:pt>
                <c:pt idx="1394">
                  <c:v>12.540000001252519</c:v>
                </c:pt>
                <c:pt idx="1395">
                  <c:v>12.550000001224008</c:v>
                </c:pt>
                <c:pt idx="1396">
                  <c:v>12.560000001196148</c:v>
                </c:pt>
                <c:pt idx="1397">
                  <c:v>12.570000001168919</c:v>
                </c:pt>
                <c:pt idx="1398">
                  <c:v>12.580000001142313</c:v>
                </c:pt>
                <c:pt idx="1399">
                  <c:v>12.59000000111631</c:v>
                </c:pt>
                <c:pt idx="1400">
                  <c:v>12.600000001090898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C-488A-94B1-F22618A56F75}"/>
            </c:ext>
          </c:extLst>
        </c:ser>
        <c:ser>
          <c:idx val="3"/>
          <c:order val="3"/>
          <c:tx>
            <c:strRef>
              <c:f>'Bjerrum Plot'!$P$2</c:f>
              <c:strCache>
                <c:ptCount val="1"/>
                <c:pt idx="0">
                  <c:v>pA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'Bjerrum Plot'!$M$3:$M$1403</c:f>
              <c:numCache>
                <c:formatCode>General</c:formatCode>
                <c:ptCount val="1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</c:numCache>
            </c:numRef>
          </c:xVal>
          <c:yVal>
            <c:numRef>
              <c:f>'Bjerrum Plot'!$P$3:$P$1403</c:f>
              <c:numCache>
                <c:formatCode>General</c:formatCode>
                <c:ptCount val="1401"/>
                <c:pt idx="0">
                  <c:v>9.4000017289540327</c:v>
                </c:pt>
                <c:pt idx="1">
                  <c:v>9.3900017692264637</c:v>
                </c:pt>
                <c:pt idx="2">
                  <c:v>9.3800018104369567</c:v>
                </c:pt>
                <c:pt idx="3">
                  <c:v>9.370001852607361</c:v>
                </c:pt>
                <c:pt idx="4">
                  <c:v>9.3600018957600355</c:v>
                </c:pt>
                <c:pt idx="5">
                  <c:v>9.3500019399178598</c:v>
                </c:pt>
                <c:pt idx="6">
                  <c:v>9.3400019851042497</c:v>
                </c:pt>
                <c:pt idx="7">
                  <c:v>9.3300020313431578</c:v>
                </c:pt>
                <c:pt idx="8">
                  <c:v>9.3200020786591065</c:v>
                </c:pt>
                <c:pt idx="9">
                  <c:v>9.310002127077178</c:v>
                </c:pt>
                <c:pt idx="10">
                  <c:v>9.3000021766230461</c:v>
                </c:pt>
                <c:pt idx="11">
                  <c:v>9.2900022273229794</c:v>
                </c:pt>
                <c:pt idx="12">
                  <c:v>9.2800022792038597</c:v>
                </c:pt>
                <c:pt idx="13">
                  <c:v>9.2700023322931955</c:v>
                </c:pt>
                <c:pt idx="14">
                  <c:v>9.260002386619135</c:v>
                </c:pt>
                <c:pt idx="15">
                  <c:v>9.2500024422104783</c:v>
                </c:pt>
                <c:pt idx="16">
                  <c:v>9.240002499096704</c:v>
                </c:pt>
                <c:pt idx="17">
                  <c:v>9.2300025573079729</c:v>
                </c:pt>
                <c:pt idx="18">
                  <c:v>9.2200026168751492</c:v>
                </c:pt>
                <c:pt idx="19">
                  <c:v>9.210002677829813</c:v>
                </c:pt>
                <c:pt idx="20">
                  <c:v>9.2000027402042868</c:v>
                </c:pt>
                <c:pt idx="21">
                  <c:v>9.1900028040316375</c:v>
                </c:pt>
                <c:pt idx="22">
                  <c:v>9.1800028693457083</c:v>
                </c:pt>
                <c:pt idx="23">
                  <c:v>9.1700029361811293</c:v>
                </c:pt>
                <c:pt idx="24">
                  <c:v>9.1600030045733387</c:v>
                </c:pt>
                <c:pt idx="25">
                  <c:v>9.1500030745585939</c:v>
                </c:pt>
                <c:pt idx="26">
                  <c:v>9.1400031461740046</c:v>
                </c:pt>
                <c:pt idx="27">
                  <c:v>9.1300032194575405</c:v>
                </c:pt>
                <c:pt idx="28">
                  <c:v>9.120003294448054</c:v>
                </c:pt>
                <c:pt idx="29">
                  <c:v>9.1100033711853108</c:v>
                </c:pt>
                <c:pt idx="30">
                  <c:v>9.1000034497099911</c:v>
                </c:pt>
                <c:pt idx="31">
                  <c:v>9.0900035300637327</c:v>
                </c:pt>
                <c:pt idx="32">
                  <c:v>9.0800036122891381</c:v>
                </c:pt>
                <c:pt idx="33">
                  <c:v>9.0700036964298025</c:v>
                </c:pt>
                <c:pt idx="34">
                  <c:v>9.0600037825303392</c:v>
                </c:pt>
                <c:pt idx="35">
                  <c:v>9.050003870636397</c:v>
                </c:pt>
                <c:pt idx="36">
                  <c:v>9.0400039607946887</c:v>
                </c:pt>
                <c:pt idx="37">
                  <c:v>9.0300040530530179</c:v>
                </c:pt>
                <c:pt idx="38">
                  <c:v>9.0200041474603001</c:v>
                </c:pt>
                <c:pt idx="39">
                  <c:v>9.0100042440665895</c:v>
                </c:pt>
                <c:pt idx="40">
                  <c:v>9.0000043429231038</c:v>
                </c:pt>
                <c:pt idx="41">
                  <c:v>8.9900044440822615</c:v>
                </c:pt>
                <c:pt idx="42">
                  <c:v>8.9800045475976944</c:v>
                </c:pt>
                <c:pt idx="43">
                  <c:v>8.9700046535242848</c:v>
                </c:pt>
                <c:pt idx="44">
                  <c:v>8.9600047619181939</c:v>
                </c:pt>
                <c:pt idx="45">
                  <c:v>8.9500048728368959</c:v>
                </c:pt>
                <c:pt idx="46">
                  <c:v>8.940004986339197</c:v>
                </c:pt>
                <c:pt idx="47">
                  <c:v>8.9300051024852767</c:v>
                </c:pt>
                <c:pt idx="48">
                  <c:v>8.9200052213367105</c:v>
                </c:pt>
                <c:pt idx="49">
                  <c:v>8.9100053429565182</c:v>
                </c:pt>
                <c:pt idx="50">
                  <c:v>8.90000546740918</c:v>
                </c:pt>
                <c:pt idx="51">
                  <c:v>8.8900055947606802</c:v>
                </c:pt>
                <c:pt idx="52">
                  <c:v>8.8800057250785382</c:v>
                </c:pt>
                <c:pt idx="53">
                  <c:v>8.8700058584318491</c:v>
                </c:pt>
                <c:pt idx="54">
                  <c:v>8.8600059948913152</c:v>
                </c:pt>
                <c:pt idx="55">
                  <c:v>8.850006134529286</c:v>
                </c:pt>
                <c:pt idx="56">
                  <c:v>8.8400062774197963</c:v>
                </c:pt>
                <c:pt idx="57">
                  <c:v>8.830006423638606</c:v>
                </c:pt>
                <c:pt idx="58">
                  <c:v>8.8200065732632371</c:v>
                </c:pt>
                <c:pt idx="59">
                  <c:v>8.8100067263730217</c:v>
                </c:pt>
                <c:pt idx="60">
                  <c:v>8.8000068830491358</c:v>
                </c:pt>
                <c:pt idx="61">
                  <c:v>8.7900070433746453</c:v>
                </c:pt>
                <c:pt idx="62">
                  <c:v>8.7800072074345561</c:v>
                </c:pt>
                <c:pt idx="63">
                  <c:v>8.7700073753158474</c:v>
                </c:pt>
                <c:pt idx="64">
                  <c:v>8.7600075471075307</c:v>
                </c:pt>
                <c:pt idx="65">
                  <c:v>8.7500077229006834</c:v>
                </c:pt>
                <c:pt idx="66">
                  <c:v>8.7400079027885127</c:v>
                </c:pt>
                <c:pt idx="67">
                  <c:v>8.7300080868663912</c:v>
                </c:pt>
                <c:pt idx="68">
                  <c:v>8.7200082752319137</c:v>
                </c:pt>
                <c:pt idx="69">
                  <c:v>8.710008467984947</c:v>
                </c:pt>
                <c:pt idx="70">
                  <c:v>8.7000086652276867</c:v>
                </c:pt>
                <c:pt idx="71">
                  <c:v>8.6900088670647087</c:v>
                </c:pt>
                <c:pt idx="72">
                  <c:v>8.6800090736030207</c:v>
                </c:pt>
                <c:pt idx="73">
                  <c:v>8.6700092849521262</c:v>
                </c:pt>
                <c:pt idx="74">
                  <c:v>8.6600095012240796</c:v>
                </c:pt>
                <c:pt idx="75">
                  <c:v>8.6500097225335413</c:v>
                </c:pt>
                <c:pt idx="76">
                  <c:v>8.6400099489978466</c:v>
                </c:pt>
                <c:pt idx="77">
                  <c:v>8.6300101807370595</c:v>
                </c:pt>
                <c:pt idx="78">
                  <c:v>8.6200104178740453</c:v>
                </c:pt>
                <c:pt idx="79">
                  <c:v>8.6100106605345257</c:v>
                </c:pt>
                <c:pt idx="80">
                  <c:v>8.6000109088471568</c:v>
                </c:pt>
                <c:pt idx="81">
                  <c:v>8.5900111629435827</c:v>
                </c:pt>
                <c:pt idx="82">
                  <c:v>8.5800114229585223</c:v>
                </c:pt>
                <c:pt idx="83">
                  <c:v>8.5700116890298261</c:v>
                </c:pt>
                <c:pt idx="84">
                  <c:v>8.5600119612985583</c:v>
                </c:pt>
                <c:pt idx="85">
                  <c:v>8.5500122399090674</c:v>
                </c:pt>
                <c:pt idx="86">
                  <c:v>8.5400125250090628</c:v>
                </c:pt>
                <c:pt idx="87">
                  <c:v>8.5300128167496982</c:v>
                </c:pt>
                <c:pt idx="88">
                  <c:v>8.5200131152856411</c:v>
                </c:pt>
                <c:pt idx="89">
                  <c:v>8.5100134207751701</c:v>
                </c:pt>
                <c:pt idx="90">
                  <c:v>8.5000137333802392</c:v>
                </c:pt>
                <c:pt idx="91">
                  <c:v>8.4900140532665826</c:v>
                </c:pt>
                <c:pt idx="92">
                  <c:v>8.4800143806037926</c:v>
                </c:pt>
                <c:pt idx="93">
                  <c:v>8.4700147155654122</c:v>
                </c:pt>
                <c:pt idx="94">
                  <c:v>8.4600150583290219</c:v>
                </c:pt>
                <c:pt idx="95">
                  <c:v>8.4500154090763395</c:v>
                </c:pt>
                <c:pt idx="96">
                  <c:v>8.4400157679933212</c:v>
                </c:pt>
                <c:pt idx="97">
                  <c:v>8.430016135270245</c:v>
                </c:pt>
                <c:pt idx="98">
                  <c:v>8.4200165111018244</c:v>
                </c:pt>
                <c:pt idx="99">
                  <c:v>8.4100168956873116</c:v>
                </c:pt>
                <c:pt idx="100">
                  <c:v>8.4000172892305933</c:v>
                </c:pt>
                <c:pt idx="101">
                  <c:v>8.3900176919403044</c:v>
                </c:pt>
                <c:pt idx="102">
                  <c:v>8.3800181040299453</c:v>
                </c:pt>
                <c:pt idx="103">
                  <c:v>8.3700185257179793</c:v>
                </c:pt>
                <c:pt idx="104">
                  <c:v>8.3600189572279682</c:v>
                </c:pt>
                <c:pt idx="105">
                  <c:v>8.3500193987886711</c:v>
                </c:pt>
                <c:pt idx="106">
                  <c:v>8.3400198506341781</c:v>
                </c:pt>
                <c:pt idx="107">
                  <c:v>8.3300203130040344</c:v>
                </c:pt>
                <c:pt idx="108">
                  <c:v>8.3200207861433579</c:v>
                </c:pt>
                <c:pt idx="109">
                  <c:v>8.310021270302979</c:v>
                </c:pt>
                <c:pt idx="110">
                  <c:v>8.300021765739567</c:v>
                </c:pt>
                <c:pt idx="111">
                  <c:v>8.2900222727157704</c:v>
                </c:pt>
                <c:pt idx="112">
                  <c:v>8.2800227915003539</c:v>
                </c:pt>
                <c:pt idx="113">
                  <c:v>8.2700233223683401</c:v>
                </c:pt>
                <c:pt idx="114">
                  <c:v>8.2600238656011609</c:v>
                </c:pt>
                <c:pt idx="115">
                  <c:v>8.2500244214867937</c:v>
                </c:pt>
                <c:pt idx="116">
                  <c:v>8.240024990319931</c:v>
                </c:pt>
                <c:pt idx="117">
                  <c:v>8.2300255724021234</c:v>
                </c:pt>
                <c:pt idx="118">
                  <c:v>8.2200261680419437</c:v>
                </c:pt>
                <c:pt idx="119">
                  <c:v>8.2100267775551519</c:v>
                </c:pt>
                <c:pt idx="120">
                  <c:v>8.20002740126486</c:v>
                </c:pt>
                <c:pt idx="121">
                  <c:v>8.1900280395017084</c:v>
                </c:pt>
                <c:pt idx="122">
                  <c:v>8.1800286926040311</c:v>
                </c:pt>
                <c:pt idx="123">
                  <c:v>8.1700293609180434</c:v>
                </c:pt>
                <c:pt idx="124">
                  <c:v>8.1600300447980239</c:v>
                </c:pt>
                <c:pt idx="125">
                  <c:v>8.1500307446065019</c:v>
                </c:pt>
                <c:pt idx="126">
                  <c:v>8.1400314607144466</c:v>
                </c:pt>
                <c:pt idx="127">
                  <c:v>8.1300321935014654</c:v>
                </c:pt>
                <c:pt idx="128">
                  <c:v>8.120032943356005</c:v>
                </c:pt>
                <c:pt idx="129">
                  <c:v>8.1100337106755607</c:v>
                </c:pt>
                <c:pt idx="130">
                  <c:v>8.1000344958668826</c:v>
                </c:pt>
                <c:pt idx="131">
                  <c:v>8.090035299346189</c:v>
                </c:pt>
                <c:pt idx="132">
                  <c:v>8.0800361215393952</c:v>
                </c:pt>
                <c:pt idx="133">
                  <c:v>8.0700369628823303</c:v>
                </c:pt>
                <c:pt idx="134">
                  <c:v>8.0600378238209718</c:v>
                </c:pt>
                <c:pt idx="135">
                  <c:v>8.0500387048116835</c:v>
                </c:pt>
                <c:pt idx="136">
                  <c:v>8.0400396063214554</c:v>
                </c:pt>
                <c:pt idx="137">
                  <c:v>8.0300405288281489</c:v>
                </c:pt>
                <c:pt idx="138">
                  <c:v>8.0200414728207576</c:v>
                </c:pt>
                <c:pt idx="139">
                  <c:v>8.0100424387996529</c:v>
                </c:pt>
                <c:pt idx="140">
                  <c:v>8.0000434272768626</c:v>
                </c:pt>
                <c:pt idx="141">
                  <c:v>7.9900444387763363</c:v>
                </c:pt>
                <c:pt idx="142">
                  <c:v>7.9800454738342204</c:v>
                </c:pt>
                <c:pt idx="143">
                  <c:v>7.970046532999147</c:v>
                </c:pt>
                <c:pt idx="144">
                  <c:v>7.9600476168325187</c:v>
                </c:pt>
                <c:pt idx="145">
                  <c:v>7.9500487259088128</c:v>
                </c:pt>
                <c:pt idx="146">
                  <c:v>7.9400498608158809</c:v>
                </c:pt>
                <c:pt idx="147">
                  <c:v>7.9300510221552605</c:v>
                </c:pt>
                <c:pt idx="148">
                  <c:v>7.9200522105424938</c:v>
                </c:pt>
                <c:pt idx="149">
                  <c:v>7.9100534266074556</c:v>
                </c:pt>
                <c:pt idx="150">
                  <c:v>7.9000546709946846</c:v>
                </c:pt>
                <c:pt idx="151">
                  <c:v>7.8900559443637244</c:v>
                </c:pt>
                <c:pt idx="152">
                  <c:v>7.880057247389475</c:v>
                </c:pt>
                <c:pt idx="153">
                  <c:v>7.8700585807625458</c:v>
                </c:pt>
                <c:pt idx="154">
                  <c:v>7.8600599451896285</c:v>
                </c:pt>
                <c:pt idx="155">
                  <c:v>7.8500613413938627</c:v>
                </c:pt>
                <c:pt idx="156">
                  <c:v>7.8400627701152255</c:v>
                </c:pt>
                <c:pt idx="157">
                  <c:v>7.8300642321109164</c:v>
                </c:pt>
                <c:pt idx="158">
                  <c:v>7.8200657281557682</c:v>
                </c:pt>
                <c:pt idx="159">
                  <c:v>7.810067259042647</c:v>
                </c:pt>
                <c:pt idx="160">
                  <c:v>7.8000688255828736</c:v>
                </c:pt>
                <c:pt idx="161">
                  <c:v>7.7900704286066613</c:v>
                </c:pt>
                <c:pt idx="162">
                  <c:v>7.7800720689635448</c:v>
                </c:pt>
                <c:pt idx="163">
                  <c:v>7.7700737475228339</c:v>
                </c:pt>
                <c:pt idx="164">
                  <c:v>7.7600754651740766</c:v>
                </c:pt>
                <c:pt idx="165">
                  <c:v>7.7500772228275219</c:v>
                </c:pt>
                <c:pt idx="166">
                  <c:v>7.7400790214146129</c:v>
                </c:pt>
                <c:pt idx="167">
                  <c:v>7.7300808618884673</c:v>
                </c:pt>
                <c:pt idx="168">
                  <c:v>7.7200827452243921</c:v>
                </c:pt>
                <c:pt idx="169">
                  <c:v>7.7100846724203906</c:v>
                </c:pt>
                <c:pt idx="170">
                  <c:v>7.7000866444976976</c:v>
                </c:pt>
                <c:pt idx="171">
                  <c:v>7.6900886625013154</c:v>
                </c:pt>
                <c:pt idx="172">
                  <c:v>7.680090727500569</c:v>
                </c:pt>
                <c:pt idx="173">
                  <c:v>7.6700928405896702</c:v>
                </c:pt>
                <c:pt idx="174">
                  <c:v>7.6600950028882959</c:v>
                </c:pt>
                <c:pt idx="175">
                  <c:v>7.6500972155421829</c:v>
                </c:pt>
                <c:pt idx="176">
                  <c:v>7.6400994797237285</c:v>
                </c:pt>
                <c:pt idx="177">
                  <c:v>7.6301017966326175</c:v>
                </c:pt>
                <c:pt idx="178">
                  <c:v>7.6201041674964527</c:v>
                </c:pt>
                <c:pt idx="179">
                  <c:v>7.6101065935714018</c:v>
                </c:pt>
                <c:pt idx="180">
                  <c:v>7.6001090761428669</c:v>
                </c:pt>
                <c:pt idx="181">
                  <c:v>7.5901116165261593</c:v>
                </c:pt>
                <c:pt idx="182">
                  <c:v>7.5801142160671962</c:v>
                </c:pt>
                <c:pt idx="183">
                  <c:v>7.5701168761432154</c:v>
                </c:pt>
                <c:pt idx="184">
                  <c:v>7.5601195981634977</c:v>
                </c:pt>
                <c:pt idx="185">
                  <c:v>7.5501223835701161</c:v>
                </c:pt>
                <c:pt idx="186">
                  <c:v>7.5401252338386966</c:v>
                </c:pt>
                <c:pt idx="187">
                  <c:v>7.5301281504791948</c:v>
                </c:pt>
                <c:pt idx="188">
                  <c:v>7.5201311350367019</c:v>
                </c:pt>
                <c:pt idx="189">
                  <c:v>7.5101341890922511</c:v>
                </c:pt>
                <c:pt idx="190">
                  <c:v>7.5001373142636591</c:v>
                </c:pt>
                <c:pt idx="191">
                  <c:v>7.4901405122063798</c:v>
                </c:pt>
                <c:pt idx="192">
                  <c:v>7.4801437846143806</c:v>
                </c:pt>
                <c:pt idx="193">
                  <c:v>7.4701471332210287</c:v>
                </c:pt>
                <c:pt idx="194">
                  <c:v>7.4601505598000175</c:v>
                </c:pt>
                <c:pt idx="195">
                  <c:v>7.4501540661662968</c:v>
                </c:pt>
                <c:pt idx="196">
                  <c:v>7.4401576541770336</c:v>
                </c:pt>
                <c:pt idx="197">
                  <c:v>7.4301613257325894</c:v>
                </c:pt>
                <c:pt idx="198">
                  <c:v>7.4201650827775287</c:v>
                </c:pt>
                <c:pt idx="199">
                  <c:v>7.4101689273016396</c:v>
                </c:pt>
                <c:pt idx="200">
                  <c:v>7.4001728613409909</c:v>
                </c:pt>
                <c:pt idx="201">
                  <c:v>7.3901768869789999</c:v>
                </c:pt>
                <c:pt idx="202">
                  <c:v>7.3801810063475344</c:v>
                </c:pt>
                <c:pt idx="203">
                  <c:v>7.3701852216280406</c:v>
                </c:pt>
                <c:pt idx="204">
                  <c:v>7.3601895350526894</c:v>
                </c:pt>
                <c:pt idx="205">
                  <c:v>7.3501939489055559</c:v>
                </c:pt>
                <c:pt idx="206">
                  <c:v>7.3401984655238248</c:v>
                </c:pt>
                <c:pt idx="207">
                  <c:v>7.3302030872990223</c:v>
                </c:pt>
                <c:pt idx="208">
                  <c:v>7.3202078166782778</c:v>
                </c:pt>
                <c:pt idx="209">
                  <c:v>7.3102126561656124</c:v>
                </c:pt>
                <c:pt idx="210">
                  <c:v>7.3002176083232619</c:v>
                </c:pt>
                <c:pt idx="211">
                  <c:v>7.290222675773026</c:v>
                </c:pt>
                <c:pt idx="212">
                  <c:v>7.2802278611976492</c:v>
                </c:pt>
                <c:pt idx="213">
                  <c:v>7.2702331673422345</c:v>
                </c:pt>
                <c:pt idx="214">
                  <c:v>7.260238597015694</c:v>
                </c:pt>
                <c:pt idx="215">
                  <c:v>7.2502441530922228</c:v>
                </c:pt>
                <c:pt idx="216">
                  <c:v>7.240249838512816</c:v>
                </c:pt>
                <c:pt idx="217">
                  <c:v>7.2302556562868192</c:v>
                </c:pt>
                <c:pt idx="218">
                  <c:v>7.2202616094935097</c:v>
                </c:pt>
                <c:pt idx="219">
                  <c:v>7.21026770128372</c:v>
                </c:pt>
                <c:pt idx="220">
                  <c:v>7.2002739348814968</c:v>
                </c:pt>
                <c:pt idx="221">
                  <c:v>7.1902803135857969</c:v>
                </c:pt>
                <c:pt idx="222">
                  <c:v>7.1802868407722213</c:v>
                </c:pt>
                <c:pt idx="223">
                  <c:v>7.1702935198947966</c:v>
                </c:pt>
                <c:pt idx="224">
                  <c:v>7.1603003544877879</c:v>
                </c:pt>
                <c:pt idx="225">
                  <c:v>7.1503073481675576</c:v>
                </c:pt>
                <c:pt idx="226">
                  <c:v>7.1403145046344694</c:v>
                </c:pt>
                <c:pt idx="227">
                  <c:v>7.130321827674833</c:v>
                </c:pt>
                <c:pt idx="228">
                  <c:v>7.1203293211628935</c:v>
                </c:pt>
                <c:pt idx="229">
                  <c:v>7.1103369890628665</c:v>
                </c:pt>
                <c:pt idx="230">
                  <c:v>7.1003448354310255</c:v>
                </c:pt>
                <c:pt idx="231">
                  <c:v>7.09035286441783</c:v>
                </c:pt>
                <c:pt idx="232">
                  <c:v>7.0803610802701025</c:v>
                </c:pt>
                <c:pt idx="233">
                  <c:v>7.0703694873332648</c:v>
                </c:pt>
                <c:pt idx="234">
                  <c:v>7.0603780900536126</c:v>
                </c:pt>
                <c:pt idx="235">
                  <c:v>7.0503868929806552</c:v>
                </c:pt>
                <c:pt idx="236">
                  <c:v>7.0403959007695009</c:v>
                </c:pt>
                <c:pt idx="237">
                  <c:v>7.0304051181832952</c:v>
                </c:pt>
                <c:pt idx="238">
                  <c:v>7.0204145500957251</c:v>
                </c:pt>
                <c:pt idx="239">
                  <c:v>7.0104242014935707</c:v>
                </c:pt>
                <c:pt idx="240">
                  <c:v>7.0004340774793192</c:v>
                </c:pt>
                <c:pt idx="241">
                  <c:v>6.9904441832738424</c:v>
                </c:pt>
                <c:pt idx="242">
                  <c:v>6.9804545242191294</c:v>
                </c:pt>
                <c:pt idx="243">
                  <c:v>6.9704651057810834</c:v>
                </c:pt>
                <c:pt idx="244">
                  <c:v>6.9604759335523889</c:v>
                </c:pt>
                <c:pt idx="245">
                  <c:v>6.9504870132554313</c:v>
                </c:pt>
                <c:pt idx="246">
                  <c:v>6.940498350745302</c:v>
                </c:pt>
                <c:pt idx="247">
                  <c:v>6.9305099520128524</c:v>
                </c:pt>
                <c:pt idx="248">
                  <c:v>6.9205218231878307</c:v>
                </c:pt>
                <c:pt idx="249">
                  <c:v>6.9105339705420894</c:v>
                </c:pt>
                <c:pt idx="250">
                  <c:v>6.9005464004928578</c:v>
                </c:pt>
                <c:pt idx="251">
                  <c:v>6.8905591196061007</c:v>
                </c:pt>
                <c:pt idx="252">
                  <c:v>6.8805721345999418</c:v>
                </c:pt>
                <c:pt idx="253">
                  <c:v>6.8705854523481786</c:v>
                </c:pt>
                <c:pt idx="254">
                  <c:v>6.8605990798838627</c:v>
                </c:pt>
                <c:pt idx="255">
                  <c:v>6.8506130244029757</c:v>
                </c:pt>
                <c:pt idx="256">
                  <c:v>6.8406272932681782</c:v>
                </c:pt>
                <c:pt idx="257">
                  <c:v>6.8306418940126488</c:v>
                </c:pt>
                <c:pt idx="258">
                  <c:v>6.820656834344013</c:v>
                </c:pt>
                <c:pt idx="259">
                  <c:v>6.810672122148353</c:v>
                </c:pt>
                <c:pt idx="260">
                  <c:v>6.8006877654943194</c:v>
                </c:pt>
                <c:pt idx="261">
                  <c:v>6.7907037726373281</c:v>
                </c:pt>
                <c:pt idx="262">
                  <c:v>6.7807201520238563</c:v>
                </c:pt>
                <c:pt idx="263">
                  <c:v>6.7707369122958339</c:v>
                </c:pt>
                <c:pt idx="264">
                  <c:v>6.7607540622951374</c:v>
                </c:pt>
                <c:pt idx="265">
                  <c:v>6.7507716110681821</c:v>
                </c:pt>
                <c:pt idx="266">
                  <c:v>6.7407895678706211</c:v>
                </c:pt>
                <c:pt idx="267">
                  <c:v>6.7308079421721487</c:v>
                </c:pt>
                <c:pt idx="268">
                  <c:v>6.7208267436614157</c:v>
                </c:pt>
                <c:pt idx="269">
                  <c:v>6.7108459822510493</c:v>
                </c:pt>
                <c:pt idx="270">
                  <c:v>6.7008656680827938</c:v>
                </c:pt>
                <c:pt idx="271">
                  <c:v>6.6908858115327634</c:v>
                </c:pt>
                <c:pt idx="272">
                  <c:v>6.6809064232168121</c:v>
                </c:pt>
                <c:pt idx="273">
                  <c:v>6.6709275139960287</c:v>
                </c:pt>
                <c:pt idx="274">
                  <c:v>6.6609490949823522</c:v>
                </c:pt>
                <c:pt idx="275">
                  <c:v>6.6509711775443172</c:v>
                </c:pt>
                <c:pt idx="276">
                  <c:v>6.6409937733129194</c:v>
                </c:pt>
                <c:pt idx="277">
                  <c:v>6.6310168941876269</c:v>
                </c:pt>
                <c:pt idx="278">
                  <c:v>6.6210405523425138</c:v>
                </c:pt>
                <c:pt idx="279">
                  <c:v>6.6110647602325399</c:v>
                </c:pt>
                <c:pt idx="280">
                  <c:v>6.6010895305999622</c:v>
                </c:pt>
                <c:pt idx="281">
                  <c:v>6.5911148764809004</c:v>
                </c:pt>
                <c:pt idx="282">
                  <c:v>6.5811408112120438</c:v>
                </c:pt>
                <c:pt idx="283">
                  <c:v>6.5711673484375002</c:v>
                </c:pt>
                <c:pt idx="284">
                  <c:v>6.5611945021158169</c:v>
                </c:pt>
                <c:pt idx="285">
                  <c:v>6.551222286527139</c:v>
                </c:pt>
                <c:pt idx="286">
                  <c:v>6.541250716280536</c:v>
                </c:pt>
                <c:pt idx="287">
                  <c:v>6.5312798063214901</c:v>
                </c:pt>
                <c:pt idx="288">
                  <c:v>6.5213095719395557</c:v>
                </c:pt>
                <c:pt idx="289">
                  <c:v>6.5113400287761749</c:v>
                </c:pt>
                <c:pt idx="290">
                  <c:v>6.5013711928326838</c:v>
                </c:pt>
                <c:pt idx="291">
                  <c:v>6.4914030804784808</c:v>
                </c:pt>
                <c:pt idx="292">
                  <c:v>6.4814357084593874</c:v>
                </c:pt>
                <c:pt idx="293">
                  <c:v>6.471469093906185</c:v>
                </c:pt>
                <c:pt idx="294">
                  <c:v>6.4615032543433442</c:v>
                </c:pt>
                <c:pt idx="295">
                  <c:v>6.4515382076979462</c:v>
                </c:pt>
                <c:pt idx="296">
                  <c:v>6.4415739723087997</c:v>
                </c:pt>
                <c:pt idx="297">
                  <c:v>6.4316105669357526</c:v>
                </c:pt>
                <c:pt idx="298">
                  <c:v>6.421648010769224</c:v>
                </c:pt>
                <c:pt idx="299">
                  <c:v>6.4116863234399215</c:v>
                </c:pt>
                <c:pt idx="300">
                  <c:v>6.4017255250287937</c:v>
                </c:pt>
                <c:pt idx="301">
                  <c:v>6.3917656360771824</c:v>
                </c:pt>
                <c:pt idx="302">
                  <c:v>6.3818066775972087</c:v>
                </c:pt>
                <c:pt idx="303">
                  <c:v>6.3718486710823754</c:v>
                </c:pt>
                <c:pt idx="304">
                  <c:v>6.3618916385184079</c:v>
                </c:pt>
                <c:pt idx="305">
                  <c:v>6.3519356023943212</c:v>
                </c:pt>
                <c:pt idx="306">
                  <c:v>6.3419805857137383</c:v>
                </c:pt>
                <c:pt idx="307">
                  <c:v>6.3320266120064392</c:v>
                </c:pt>
                <c:pt idx="308">
                  <c:v>6.322073705340169</c:v>
                </c:pt>
                <c:pt idx="309">
                  <c:v>6.3121218903327003</c:v>
                </c:pt>
                <c:pt idx="310">
                  <c:v>6.3021711921641455</c:v>
                </c:pt>
                <c:pt idx="311">
                  <c:v>6.2922216365895434</c:v>
                </c:pt>
                <c:pt idx="312">
                  <c:v>6.28227324995171</c:v>
                </c:pt>
                <c:pt idx="313">
                  <c:v>6.272326059194361</c:v>
                </c:pt>
                <c:pt idx="314">
                  <c:v>6.2623800918755226</c:v>
                </c:pt>
                <c:pt idx="315">
                  <c:v>6.252435376181217</c:v>
                </c:pt>
                <c:pt idx="316">
                  <c:v>6.2424919409394466</c:v>
                </c:pt>
                <c:pt idx="317">
                  <c:v>6.2325498156344681</c:v>
                </c:pt>
                <c:pt idx="318">
                  <c:v>6.2226090304213679</c:v>
                </c:pt>
                <c:pt idx="319">
                  <c:v>6.2126696161409525</c:v>
                </c:pt>
                <c:pt idx="320">
                  <c:v>6.2027316043349394</c:v>
                </c:pt>
                <c:pt idx="321">
                  <c:v>6.1927950272614742</c:v>
                </c:pt>
                <c:pt idx="322">
                  <c:v>6.18285991791097</c:v>
                </c:pt>
                <c:pt idx="323">
                  <c:v>6.1729263100222767</c:v>
                </c:pt>
                <c:pt idx="324">
                  <c:v>6.1629942380991807</c:v>
                </c:pt>
                <c:pt idx="325">
                  <c:v>6.1530637374272592</c:v>
                </c:pt>
                <c:pt idx="326">
                  <c:v>6.1431348440910654</c:v>
                </c:pt>
                <c:pt idx="327">
                  <c:v>6.1332075949916804</c:v>
                </c:pt>
                <c:pt idx="328">
                  <c:v>6.1232820278646214</c:v>
                </c:pt>
                <c:pt idx="329">
                  <c:v>6.1133581812981115</c:v>
                </c:pt>
                <c:pt idx="330">
                  <c:v>6.1034360947517294</c:v>
                </c:pt>
                <c:pt idx="331">
                  <c:v>6.0935158085754271</c:v>
                </c:pt>
                <c:pt idx="332">
                  <c:v>6.0835973640289476</c:v>
                </c:pt>
                <c:pt idx="333">
                  <c:v>6.073680803301615</c:v>
                </c:pt>
                <c:pt idx="334">
                  <c:v>6.0637661695325384</c:v>
                </c:pt>
                <c:pt idx="335">
                  <c:v>6.0538535068312127</c:v>
                </c:pt>
                <c:pt idx="336">
                  <c:v>6.0439428602985261</c:v>
                </c:pt>
                <c:pt idx="337">
                  <c:v>6.0340342760481898</c:v>
                </c:pt>
                <c:pt idx="338">
                  <c:v>6.024127801228591</c:v>
                </c:pt>
                <c:pt idx="339">
                  <c:v>6.014223484045071</c:v>
                </c:pt>
                <c:pt idx="340">
                  <c:v>6.0043213737826431</c:v>
                </c:pt>
                <c:pt idx="341">
                  <c:v>5.9944215208291496</c:v>
                </c:pt>
                <c:pt idx="342">
                  <c:v>5.9845239766988731</c:v>
                </c:pt>
                <c:pt idx="343">
                  <c:v>5.974628794056593</c:v>
                </c:pt>
                <c:pt idx="344">
                  <c:v>5.9647360267421199</c:v>
                </c:pt>
                <c:pt idx="345">
                  <c:v>5.9548457297952773</c:v>
                </c:pt>
                <c:pt idx="346">
                  <c:v>5.9449579594813748</c:v>
                </c:pt>
                <c:pt idx="347">
                  <c:v>5.935072773317156</c:v>
                </c:pt>
                <c:pt idx="348">
                  <c:v>5.9251902300972255</c:v>
                </c:pt>
                <c:pt idx="349">
                  <c:v>5.9153103899209833</c:v>
                </c:pt>
                <c:pt idx="350">
                  <c:v>5.9054333142200459</c:v>
                </c:pt>
                <c:pt idx="351">
                  <c:v>5.8955590657861787</c:v>
                </c:pt>
                <c:pt idx="352">
                  <c:v>5.8856877087997326</c:v>
                </c:pt>
                <c:pt idx="353">
                  <c:v>5.8758193088586079</c:v>
                </c:pt>
                <c:pt idx="354">
                  <c:v>5.8659539330077264</c:v>
                </c:pt>
                <c:pt idx="355">
                  <c:v>5.8560916497690432</c:v>
                </c:pt>
                <c:pt idx="356">
                  <c:v>5.8462325291720818</c:v>
                </c:pt>
                <c:pt idx="357">
                  <c:v>5.8363766427850141</c:v>
                </c:pt>
                <c:pt idx="358">
                  <c:v>5.8265240637462803</c:v>
                </c:pt>
                <c:pt idx="359">
                  <c:v>5.8166748667967507</c:v>
                </c:pt>
                <c:pt idx="360">
                  <c:v>5.8068291283124536</c:v>
                </c:pt>
                <c:pt idx="361">
                  <c:v>5.7969869263378424</c:v>
                </c:pt>
                <c:pt idx="362">
                  <c:v>5.7871483406196376</c:v>
                </c:pt>
                <c:pt idx="363">
                  <c:v>5.7773134526412235</c:v>
                </c:pt>
                <c:pt idx="364">
                  <c:v>5.7674823456576183</c:v>
                </c:pt>
                <c:pt idx="365">
                  <c:v>5.7576551047310094</c:v>
                </c:pt>
                <c:pt idx="366">
                  <c:v>5.7478318167668689</c:v>
                </c:pt>
                <c:pt idx="367">
                  <c:v>5.7380125705506382</c:v>
                </c:pt>
                <c:pt idx="368">
                  <c:v>5.7281974567849963</c:v>
                </c:pt>
                <c:pt idx="369">
                  <c:v>5.7183865681277055</c:v>
                </c:pt>
                <c:pt idx="370">
                  <c:v>5.7085799992300359</c:v>
                </c:pt>
                <c:pt idx="371">
                  <c:v>5.698777846775779</c:v>
                </c:pt>
                <c:pt idx="372">
                  <c:v>5.6889802095208317</c:v>
                </c:pt>
                <c:pt idx="373">
                  <c:v>5.6791871883333727</c:v>
                </c:pt>
                <c:pt idx="374">
                  <c:v>5.6693988862346156</c:v>
                </c:pt>
                <c:pt idx="375">
                  <c:v>5.6596154084401418</c:v>
                </c:pt>
                <c:pt idx="376">
                  <c:v>5.6498368624018092</c:v>
                </c:pt>
                <c:pt idx="377">
                  <c:v>5.6400633578502397</c:v>
                </c:pt>
                <c:pt idx="378">
                  <c:v>5.6302950068378772</c:v>
                </c:pt>
                <c:pt idx="379">
                  <c:v>5.6205319237826092</c:v>
                </c:pt>
                <c:pt idx="380">
                  <c:v>5.6107742255119577</c:v>
                </c:pt>
                <c:pt idx="381">
                  <c:v>5.6010220313078234</c:v>
                </c:pt>
                <c:pt idx="382">
                  <c:v>5.5912754629517822</c:v>
                </c:pt>
                <c:pt idx="383">
                  <c:v>5.5815346447709215</c:v>
                </c:pt>
                <c:pt idx="384">
                  <c:v>5.5717997036842197</c:v>
                </c:pt>
                <c:pt idx="385">
                  <c:v>5.5620707692494431</c:v>
                </c:pt>
                <c:pt idx="386">
                  <c:v>5.5523479737105665</c:v>
                </c:pt>
                <c:pt idx="387">
                  <c:v>5.5426314520456907</c:v>
                </c:pt>
                <c:pt idx="388">
                  <c:v>5.5329213420154604</c:v>
                </c:pt>
                <c:pt idx="389">
                  <c:v>5.5232177842119521</c:v>
                </c:pt>
                <c:pt idx="390">
                  <c:v>5.5135209221080386</c:v>
                </c:pt>
                <c:pt idx="391">
                  <c:v>5.5038309021071852</c:v>
                </c:pt>
                <c:pt idx="392">
                  <c:v>5.4941478735936924</c:v>
                </c:pt>
                <c:pt idx="393">
                  <c:v>5.4844719889833407</c:v>
                </c:pt>
                <c:pt idx="394">
                  <c:v>5.474803403774434</c:v>
                </c:pt>
                <c:pt idx="395">
                  <c:v>5.4651422765992068</c:v>
                </c:pt>
                <c:pt idx="396">
                  <c:v>5.4554887692755862</c:v>
                </c:pt>
                <c:pt idx="397">
                  <c:v>5.4458430468592702</c:v>
                </c:pt>
                <c:pt idx="398">
                  <c:v>5.4362052776961107</c:v>
                </c:pt>
                <c:pt idx="399">
                  <c:v>5.426575633474755</c:v>
                </c:pt>
                <c:pt idx="400">
                  <c:v>5.4169542892795333</c:v>
                </c:pt>
                <c:pt idx="401">
                  <c:v>5.4073414236435529</c:v>
                </c:pt>
                <c:pt idx="402">
                  <c:v>5.3977372186019599</c:v>
                </c:pt>
                <c:pt idx="403">
                  <c:v>5.3881418597453461</c:v>
                </c:pt>
                <c:pt idx="404">
                  <c:v>5.3785555362732538</c:v>
                </c:pt>
                <c:pt idx="405">
                  <c:v>5.3689784410477355</c:v>
                </c:pt>
                <c:pt idx="406">
                  <c:v>5.3594107706469414</c:v>
                </c:pt>
                <c:pt idx="407">
                  <c:v>5.3498527254186783</c:v>
                </c:pt>
                <c:pt idx="408">
                  <c:v>5.3403045095338912</c:v>
                </c:pt>
                <c:pt idx="409">
                  <c:v>5.3307663310400324</c:v>
                </c:pt>
                <c:pt idx="410">
                  <c:v>5.3212384019142558</c:v>
                </c:pt>
                <c:pt idx="411">
                  <c:v>5.3117209381163812</c:v>
                </c:pt>
                <c:pt idx="412">
                  <c:v>5.3022141596415855</c:v>
                </c:pt>
                <c:pt idx="413">
                  <c:v>5.2927182905727452</c:v>
                </c:pt>
                <c:pt idx="414">
                  <c:v>5.2832335591323831</c:v>
                </c:pt>
                <c:pt idx="415">
                  <c:v>5.2737601977341404</c:v>
                </c:pt>
                <c:pt idx="416">
                  <c:v>5.2642984430337245</c:v>
                </c:pt>
                <c:pt idx="417">
                  <c:v>5.254848535979245</c:v>
                </c:pt>
                <c:pt idx="418">
                  <c:v>5.2454107218608756</c:v>
                </c:pt>
                <c:pt idx="419">
                  <c:v>5.2359852503597617</c:v>
                </c:pt>
                <c:pt idx="420">
                  <c:v>5.2265723755961027</c:v>
                </c:pt>
                <c:pt idx="421">
                  <c:v>5.2171723561763077</c:v>
                </c:pt>
                <c:pt idx="422">
                  <c:v>5.2077854552391605</c:v>
                </c:pt>
                <c:pt idx="423">
                  <c:v>5.1984119405008986</c:v>
                </c:pt>
                <c:pt idx="424">
                  <c:v>5.1890520842991048</c:v>
                </c:pt>
                <c:pt idx="425">
                  <c:v>5.1797061636353279</c:v>
                </c:pt>
                <c:pt idx="426">
                  <c:v>5.170374460216336</c:v>
                </c:pt>
                <c:pt idx="427">
                  <c:v>5.1610572604938856</c:v>
                </c:pt>
                <c:pt idx="428">
                  <c:v>5.1517548557029205</c:v>
                </c:pt>
                <c:pt idx="429">
                  <c:v>5.1424675418980854</c:v>
                </c:pt>
                <c:pt idx="430">
                  <c:v>5.1331956199884283</c:v>
                </c:pt>
                <c:pt idx="431">
                  <c:v>5.1239393957702042</c:v>
                </c:pt>
                <c:pt idx="432">
                  <c:v>5.1146991799576416</c:v>
                </c:pt>
                <c:pt idx="433">
                  <c:v>5.1054752882115633</c:v>
                </c:pt>
                <c:pt idx="434">
                  <c:v>5.0962680411657173</c:v>
                </c:pt>
                <c:pt idx="435">
                  <c:v>5.0870777644507204</c:v>
                </c:pt>
                <c:pt idx="436">
                  <c:v>5.0779047887154576</c:v>
                </c:pt>
                <c:pt idx="437">
                  <c:v>5.0687494496458143</c:v>
                </c:pt>
                <c:pt idx="438">
                  <c:v>5.0596120879806072</c:v>
                </c:pt>
                <c:pt idx="439">
                  <c:v>5.0504930495245643</c:v>
                </c:pt>
                <c:pt idx="440">
                  <c:v>5.0413926851582254</c:v>
                </c:pt>
                <c:pt idx="441">
                  <c:v>5.0323113508446076</c:v>
                </c:pt>
                <c:pt idx="442">
                  <c:v>5.0232494076324867</c:v>
                </c:pt>
                <c:pt idx="443">
                  <c:v>5.0142072216561555</c:v>
                </c:pt>
                <c:pt idx="444">
                  <c:v>5.0051851641314968</c:v>
                </c:pt>
                <c:pt idx="445">
                  <c:v>4.9961836113482239</c:v>
                </c:pt>
                <c:pt idx="446">
                  <c:v>4.9872029446581232</c:v>
                </c:pt>
                <c:pt idx="447">
                  <c:v>4.978243550459152</c:v>
                </c:pt>
                <c:pt idx="448">
                  <c:v>4.9693058201752232</c:v>
                </c:pt>
                <c:pt idx="449">
                  <c:v>4.9603901502315315</c:v>
                </c:pt>
                <c:pt idx="450">
                  <c:v>4.9514969420252308</c:v>
                </c:pt>
                <c:pt idx="451">
                  <c:v>4.9426266018913392</c:v>
                </c:pt>
                <c:pt idx="452">
                  <c:v>4.9337795410636778</c:v>
                </c:pt>
                <c:pt idx="453">
                  <c:v>4.9249561756307001</c:v>
                </c:pt>
                <c:pt idx="454">
                  <c:v>4.9161569264860407</c:v>
                </c:pt>
                <c:pt idx="455">
                  <c:v>4.9073822192736305</c:v>
                </c:pt>
                <c:pt idx="456">
                  <c:v>4.898632484327206</c:v>
                </c:pt>
                <c:pt idx="457">
                  <c:v>4.8899081566040783</c:v>
                </c:pt>
                <c:pt idx="458">
                  <c:v>4.8812096756129781</c:v>
                </c:pt>
                <c:pt idx="459">
                  <c:v>4.8725374853358412</c:v>
                </c:pt>
                <c:pt idx="460">
                  <c:v>4.8638920341433804</c:v>
                </c:pt>
                <c:pt idx="461">
                  <c:v>4.8552737747042922</c:v>
                </c:pt>
                <c:pt idx="462">
                  <c:v>4.8466831638879668</c:v>
                </c:pt>
                <c:pt idx="463">
                  <c:v>4.8381206626605442</c:v>
                </c:pt>
                <c:pt idx="464">
                  <c:v>4.8295867359742015</c:v>
                </c:pt>
                <c:pt idx="465">
                  <c:v>4.8210818526495327</c:v>
                </c:pt>
                <c:pt idx="466">
                  <c:v>4.8126064852509076</c:v>
                </c:pt>
                <c:pt idx="467">
                  <c:v>4.8041611099546815</c:v>
                </c:pt>
                <c:pt idx="468">
                  <c:v>4.7957462064101648</c:v>
                </c:pt>
                <c:pt idx="469">
                  <c:v>4.7873622575932444</c:v>
                </c:pt>
                <c:pt idx="470">
                  <c:v>4.779009749652567</c:v>
                </c:pt>
                <c:pt idx="471">
                  <c:v>4.7706891717481978</c:v>
                </c:pt>
                <c:pt idx="472">
                  <c:v>4.7624010158827064</c:v>
                </c:pt>
                <c:pt idx="473">
                  <c:v>4.7541457767245836</c:v>
                </c:pt>
                <c:pt idx="474">
                  <c:v>4.7459239514239764</c:v>
                </c:pt>
                <c:pt idx="475">
                  <c:v>4.7377360394206756</c:v>
                </c:pt>
                <c:pt idx="476">
                  <c:v>4.7295825422443531</c:v>
                </c:pt>
                <c:pt idx="477">
                  <c:v>4.7214639633070217</c:v>
                </c:pt>
                <c:pt idx="478">
                  <c:v>4.7133808076877344</c:v>
                </c:pt>
                <c:pt idx="479">
                  <c:v>4.7053335819095379</c:v>
                </c:pt>
                <c:pt idx="480">
                  <c:v>4.6973227937086959</c:v>
                </c:pt>
                <c:pt idx="481">
                  <c:v>4.6893489517962665</c:v>
                </c:pt>
                <c:pt idx="482">
                  <c:v>4.6814125656120673</c:v>
                </c:pt>
                <c:pt idx="483">
                  <c:v>4.6735141450711302</c:v>
                </c:pt>
                <c:pt idx="484">
                  <c:v>4.665654200302737</c:v>
                </c:pt>
                <c:pt idx="485">
                  <c:v>4.6578332413821579</c:v>
                </c:pt>
                <c:pt idx="486">
                  <c:v>4.6500517780552384</c:v>
                </c:pt>
                <c:pt idx="487">
                  <c:v>4.6423103194559783</c:v>
                </c:pt>
                <c:pt idx="488">
                  <c:v>4.6346093738172831</c:v>
                </c:pt>
                <c:pt idx="489">
                  <c:v>4.6269494481750932</c:v>
                </c:pt>
                <c:pt idx="490">
                  <c:v>4.619331048066095</c:v>
                </c:pt>
                <c:pt idx="491">
                  <c:v>4.6117546772192588</c:v>
                </c:pt>
                <c:pt idx="492">
                  <c:v>4.6042208372414599</c:v>
                </c:pt>
                <c:pt idx="493">
                  <c:v>4.5967300272974532</c:v>
                </c:pt>
                <c:pt idx="494">
                  <c:v>4.5892827437845156</c:v>
                </c:pt>
                <c:pt idx="495">
                  <c:v>4.5818794800020628</c:v>
                </c:pt>
                <c:pt idx="496">
                  <c:v>4.5745207258165816</c:v>
                </c:pt>
                <c:pt idx="497">
                  <c:v>4.567206967322254</c:v>
                </c:pt>
                <c:pt idx="498">
                  <c:v>4.5599386864976292</c:v>
                </c:pt>
                <c:pt idx="499">
                  <c:v>4.5527163608587751</c:v>
                </c:pt>
                <c:pt idx="500">
                  <c:v>4.5455404631092939</c:v>
                </c:pt>
                <c:pt idx="501">
                  <c:v>4.5384114607876835</c:v>
                </c:pt>
                <c:pt idx="502">
                  <c:v>4.5313298159124633</c:v>
                </c:pt>
                <c:pt idx="503">
                  <c:v>4.5242959846255717</c:v>
                </c:pt>
                <c:pt idx="504">
                  <c:v>4.5173104168345102</c:v>
                </c:pt>
                <c:pt idx="505">
                  <c:v>4.5103735558537474</c:v>
                </c:pt>
                <c:pt idx="506">
                  <c:v>4.5034858380459175</c:v>
                </c:pt>
                <c:pt idx="507">
                  <c:v>4.4966476924633332</c:v>
                </c:pt>
                <c:pt idx="508">
                  <c:v>4.4898595404903929</c:v>
                </c:pt>
                <c:pt idx="509">
                  <c:v>4.4831217954874116</c:v>
                </c:pt>
                <c:pt idx="510">
                  <c:v>4.476434862436486</c:v>
                </c:pt>
                <c:pt idx="511">
                  <c:v>4.4697991375899475</c:v>
                </c:pt>
                <c:pt idx="512">
                  <c:v>4.4632150081220212</c:v>
                </c:pt>
                <c:pt idx="513">
                  <c:v>4.4566828517842687</c:v>
                </c:pt>
                <c:pt idx="514">
                  <c:v>4.4502030365654255</c:v>
                </c:pt>
                <c:pt idx="515">
                  <c:v>4.4437759203562495</c:v>
                </c:pt>
                <c:pt idx="516">
                  <c:v>4.4374018506199713</c:v>
                </c:pt>
                <c:pt idx="517">
                  <c:v>4.4310811640689618</c:v>
                </c:pt>
                <c:pt idx="518">
                  <c:v>4.4248141863482298</c:v>
                </c:pt>
                <c:pt idx="519">
                  <c:v>4.4186012317263366</c:v>
                </c:pt>
                <c:pt idx="520">
                  <c:v>4.4124426027943402</c:v>
                </c:pt>
                <c:pt idx="521">
                  <c:v>4.4063385901733367</c:v>
                </c:pt>
                <c:pt idx="522">
                  <c:v>4.400289472231206</c:v>
                </c:pt>
                <c:pt idx="523">
                  <c:v>4.3942955148090981</c:v>
                </c:pt>
                <c:pt idx="524">
                  <c:v>4.3883569709582391</c:v>
                </c:pt>
                <c:pt idx="525">
                  <c:v>4.3824740806875866</c:v>
                </c:pt>
                <c:pt idx="526">
                  <c:v>4.3766470707228509</c:v>
                </c:pt>
                <c:pt idx="527">
                  <c:v>4.3708761542773988</c:v>
                </c:pt>
                <c:pt idx="528">
                  <c:v>4.3651615308355121</c:v>
                </c:pt>
                <c:pt idx="529">
                  <c:v>4.3595033859484671</c:v>
                </c:pt>
                <c:pt idx="530">
                  <c:v>4.3539018910438676</c:v>
                </c:pt>
                <c:pt idx="531">
                  <c:v>4.3483572032486526</c:v>
                </c:pt>
                <c:pt idx="532">
                  <c:v>4.3428694652261477</c:v>
                </c:pt>
                <c:pt idx="533">
                  <c:v>4.3374388050275341</c:v>
                </c:pt>
                <c:pt idx="534">
                  <c:v>4.3320653359580428</c:v>
                </c:pt>
                <c:pt idx="535">
                  <c:v>4.3267491564581873</c:v>
                </c:pt>
                <c:pt idx="536">
                  <c:v>4.3214903500002881</c:v>
                </c:pt>
                <c:pt idx="537">
                  <c:v>4.3162889850005195</c:v>
                </c:pt>
                <c:pt idx="538">
                  <c:v>4.3111451147466759</c:v>
                </c:pt>
                <c:pt idx="539">
                  <c:v>4.3060587773418293</c:v>
                </c:pt>
                <c:pt idx="540">
                  <c:v>4.3010299956639813</c:v>
                </c:pt>
                <c:pt idx="541">
                  <c:v>4.2960587773418295</c:v>
                </c:pt>
                <c:pt idx="542">
                  <c:v>4.2911451147466764</c:v>
                </c:pt>
                <c:pt idx="543">
                  <c:v>4.2862889850005192</c:v>
                </c:pt>
                <c:pt idx="544">
                  <c:v>4.2814903500002881</c:v>
                </c:pt>
                <c:pt idx="545">
                  <c:v>4.2767491564581874</c:v>
                </c:pt>
                <c:pt idx="546">
                  <c:v>4.2720653359580423</c:v>
                </c:pt>
                <c:pt idx="547">
                  <c:v>4.2674388050275347</c:v>
                </c:pt>
                <c:pt idx="548">
                  <c:v>4.2628694652261476</c:v>
                </c:pt>
                <c:pt idx="549">
                  <c:v>4.2583572032486519</c:v>
                </c:pt>
                <c:pt idx="550">
                  <c:v>4.2539018910438671</c:v>
                </c:pt>
                <c:pt idx="551">
                  <c:v>4.2495033859484668</c:v>
                </c:pt>
                <c:pt idx="552">
                  <c:v>4.245161530835512</c:v>
                </c:pt>
                <c:pt idx="553">
                  <c:v>4.2408761542773989</c:v>
                </c:pt>
                <c:pt idx="554">
                  <c:v>4.2366470707228512</c:v>
                </c:pt>
                <c:pt idx="555">
                  <c:v>4.2324740806875862</c:v>
                </c:pt>
                <c:pt idx="556">
                  <c:v>4.2283569709582398</c:v>
                </c:pt>
                <c:pt idx="557">
                  <c:v>4.2242955148090982</c:v>
                </c:pt>
                <c:pt idx="558">
                  <c:v>4.2202894722312063</c:v>
                </c:pt>
                <c:pt idx="559">
                  <c:v>4.2163385901733372</c:v>
                </c:pt>
                <c:pt idx="560">
                  <c:v>4.21244260279434</c:v>
                </c:pt>
                <c:pt idx="561">
                  <c:v>4.2086012317263366</c:v>
                </c:pt>
                <c:pt idx="562">
                  <c:v>4.2048141863482291</c:v>
                </c:pt>
                <c:pt idx="563">
                  <c:v>4.2010811640689614</c:v>
                </c:pt>
                <c:pt idx="564">
                  <c:v>4.1974018506199711</c:v>
                </c:pt>
                <c:pt idx="565">
                  <c:v>4.1937759203562495</c:v>
                </c:pt>
                <c:pt idx="566">
                  <c:v>4.1902030365654257</c:v>
                </c:pt>
                <c:pt idx="567">
                  <c:v>4.1866828517842682</c:v>
                </c:pt>
                <c:pt idx="568">
                  <c:v>4.1832150081220218</c:v>
                </c:pt>
                <c:pt idx="569">
                  <c:v>4.1797991375899475</c:v>
                </c:pt>
                <c:pt idx="570">
                  <c:v>4.1764348624364853</c:v>
                </c:pt>
                <c:pt idx="571">
                  <c:v>4.1731217954874111</c:v>
                </c:pt>
                <c:pt idx="572">
                  <c:v>4.1698595404903926</c:v>
                </c:pt>
                <c:pt idx="573">
                  <c:v>4.1666476924633331</c:v>
                </c:pt>
                <c:pt idx="574">
                  <c:v>4.1634858380459168</c:v>
                </c:pt>
                <c:pt idx="575">
                  <c:v>4.1603735558537469</c:v>
                </c:pt>
                <c:pt idx="576">
                  <c:v>4.1573104168345099</c:v>
                </c:pt>
                <c:pt idx="577">
                  <c:v>4.1542959846255716</c:v>
                </c:pt>
                <c:pt idx="578">
                  <c:v>4.1513298159124625</c:v>
                </c:pt>
                <c:pt idx="579">
                  <c:v>4.148411460787683</c:v>
                </c:pt>
                <c:pt idx="580">
                  <c:v>4.1455404631092936</c:v>
                </c:pt>
                <c:pt idx="581">
                  <c:v>4.1427163608587749</c:v>
                </c:pt>
                <c:pt idx="582">
                  <c:v>4.1399386864976293</c:v>
                </c:pt>
                <c:pt idx="583">
                  <c:v>4.1372069673222533</c:v>
                </c:pt>
                <c:pt idx="584">
                  <c:v>4.1345207258165813</c:v>
                </c:pt>
                <c:pt idx="585">
                  <c:v>4.1318794800020626</c:v>
                </c:pt>
                <c:pt idx="586">
                  <c:v>4.1292827437845157</c:v>
                </c:pt>
                <c:pt idx="587">
                  <c:v>4.1267300272974525</c:v>
                </c:pt>
                <c:pt idx="588">
                  <c:v>4.1242208372414595</c:v>
                </c:pt>
                <c:pt idx="589">
                  <c:v>4.1217546772192586</c:v>
                </c:pt>
                <c:pt idx="590">
                  <c:v>4.119331048066095</c:v>
                </c:pt>
                <c:pt idx="591">
                  <c:v>4.1169494481750935</c:v>
                </c:pt>
                <c:pt idx="592">
                  <c:v>4.1146093738172835</c:v>
                </c:pt>
                <c:pt idx="593">
                  <c:v>4.112310319455978</c:v>
                </c:pt>
                <c:pt idx="594">
                  <c:v>4.1100517780552384</c:v>
                </c:pt>
                <c:pt idx="595">
                  <c:v>4.1078332413821572</c:v>
                </c:pt>
                <c:pt idx="596">
                  <c:v>4.1056542003027365</c:v>
                </c:pt>
                <c:pt idx="597">
                  <c:v>4.1035141450711308</c:v>
                </c:pt>
                <c:pt idx="598">
                  <c:v>4.1014125656120672</c:v>
                </c:pt>
                <c:pt idx="599">
                  <c:v>4.0993489517962658</c:v>
                </c:pt>
                <c:pt idx="600">
                  <c:v>4.0973227937086953</c:v>
                </c:pt>
                <c:pt idx="601">
                  <c:v>4.0953335819095376</c:v>
                </c:pt>
                <c:pt idx="602">
                  <c:v>4.0933808076877352</c:v>
                </c:pt>
                <c:pt idx="603">
                  <c:v>4.0914639633070209</c:v>
                </c:pt>
                <c:pt idx="604">
                  <c:v>4.0895825422443526</c:v>
                </c:pt>
                <c:pt idx="605">
                  <c:v>4.0877360394206761</c:v>
                </c:pt>
                <c:pt idx="606">
                  <c:v>4.0859239514239762</c:v>
                </c:pt>
                <c:pt idx="607">
                  <c:v>4.0841457767245837</c:v>
                </c:pt>
                <c:pt idx="608">
                  <c:v>4.0824010158827058</c:v>
                </c:pt>
                <c:pt idx="609">
                  <c:v>4.0806891717481975</c:v>
                </c:pt>
                <c:pt idx="610">
                  <c:v>4.0790097496525668</c:v>
                </c:pt>
                <c:pt idx="611">
                  <c:v>4.0773622575932444</c:v>
                </c:pt>
                <c:pt idx="612">
                  <c:v>4.0757462064101642</c:v>
                </c:pt>
                <c:pt idx="613">
                  <c:v>4.0741611099546811</c:v>
                </c:pt>
                <c:pt idx="614">
                  <c:v>4.0726064852509074</c:v>
                </c:pt>
                <c:pt idx="615">
                  <c:v>4.0710818526495327</c:v>
                </c:pt>
                <c:pt idx="616">
                  <c:v>4.0695867359742008</c:v>
                </c:pt>
                <c:pt idx="617">
                  <c:v>4.0681206626605437</c:v>
                </c:pt>
                <c:pt idx="618">
                  <c:v>4.0666831638879666</c:v>
                </c:pt>
                <c:pt idx="619">
                  <c:v>4.0652737747042922</c:v>
                </c:pt>
                <c:pt idx="620">
                  <c:v>4.0638920341433797</c:v>
                </c:pt>
                <c:pt idx="621">
                  <c:v>4.0625374853358407</c:v>
                </c:pt>
                <c:pt idx="622">
                  <c:v>4.0612096756129779</c:v>
                </c:pt>
                <c:pt idx="623">
                  <c:v>4.0599081566040782</c:v>
                </c:pt>
                <c:pt idx="624">
                  <c:v>4.0586324843272052</c:v>
                </c:pt>
                <c:pt idx="625">
                  <c:v>4.05738221927363</c:v>
                </c:pt>
                <c:pt idx="626">
                  <c:v>4.0561569264860413</c:v>
                </c:pt>
                <c:pt idx="627">
                  <c:v>4.0549561756307</c:v>
                </c:pt>
                <c:pt idx="628">
                  <c:v>4.053779541063677</c:v>
                </c:pt>
                <c:pt idx="629">
                  <c:v>4.0526266018913386</c:v>
                </c:pt>
                <c:pt idx="630">
                  <c:v>4.0514969420252305</c:v>
                </c:pt>
                <c:pt idx="631">
                  <c:v>4.0503901502315314</c:v>
                </c:pt>
                <c:pt idx="632">
                  <c:v>4.0493058201752232</c:v>
                </c:pt>
                <c:pt idx="633">
                  <c:v>4.0482435504591514</c:v>
                </c:pt>
                <c:pt idx="634">
                  <c:v>4.0472029446581228</c:v>
                </c:pt>
                <c:pt idx="635">
                  <c:v>4.0461836113482237</c:v>
                </c:pt>
                <c:pt idx="636">
                  <c:v>4.045185164131496</c:v>
                </c:pt>
                <c:pt idx="637">
                  <c:v>4.0442072216561549</c:v>
                </c:pt>
                <c:pt idx="638">
                  <c:v>4.0432494076324854</c:v>
                </c:pt>
                <c:pt idx="639">
                  <c:v>4.0423113508446074</c:v>
                </c:pt>
                <c:pt idx="640">
                  <c:v>4.0413926851582254</c:v>
                </c:pt>
                <c:pt idx="641">
                  <c:v>4.0404930495245637</c:v>
                </c:pt>
                <c:pt idx="642">
                  <c:v>4.0396120879806068</c:v>
                </c:pt>
                <c:pt idx="643">
                  <c:v>4.0387494496458141</c:v>
                </c:pt>
                <c:pt idx="644">
                  <c:v>4.0379047887154575</c:v>
                </c:pt>
                <c:pt idx="645">
                  <c:v>4.0370777644507196</c:v>
                </c:pt>
                <c:pt idx="646">
                  <c:v>4.0362680411657168</c:v>
                </c:pt>
                <c:pt idx="647">
                  <c:v>4.035475288211563</c:v>
                </c:pt>
                <c:pt idx="648">
                  <c:v>4.0346991799576415</c:v>
                </c:pt>
                <c:pt idx="649">
                  <c:v>4.0339393957702034</c:v>
                </c:pt>
                <c:pt idx="650">
                  <c:v>4.0331956199884278</c:v>
                </c:pt>
                <c:pt idx="651">
                  <c:v>4.0324675418980851</c:v>
                </c:pt>
                <c:pt idx="652">
                  <c:v>4.0317548557029204</c:v>
                </c:pt>
                <c:pt idx="653">
                  <c:v>4.0310572604938848</c:v>
                </c:pt>
                <c:pt idx="654">
                  <c:v>4.0303744602163354</c:v>
                </c:pt>
                <c:pt idx="655">
                  <c:v>4.0297061636353275</c:v>
                </c:pt>
                <c:pt idx="656">
                  <c:v>4.0290520842991047</c:v>
                </c:pt>
                <c:pt idx="657">
                  <c:v>4.0284119405008987</c:v>
                </c:pt>
                <c:pt idx="658">
                  <c:v>4.0277854552391599</c:v>
                </c:pt>
                <c:pt idx="659">
                  <c:v>4.0271723561763073</c:v>
                </c:pt>
                <c:pt idx="660">
                  <c:v>4.0265723755961025</c:v>
                </c:pt>
                <c:pt idx="661">
                  <c:v>4.0259852503597617</c:v>
                </c:pt>
                <c:pt idx="662">
                  <c:v>4.025410721860875</c:v>
                </c:pt>
                <c:pt idx="663">
                  <c:v>4.0248485359792445</c:v>
                </c:pt>
                <c:pt idx="664">
                  <c:v>4.0242984430337243</c:v>
                </c:pt>
                <c:pt idx="665">
                  <c:v>4.0237601977341404</c:v>
                </c:pt>
                <c:pt idx="666">
                  <c:v>4.0232335591323825</c:v>
                </c:pt>
                <c:pt idx="667">
                  <c:v>4.0227182905727448</c:v>
                </c:pt>
                <c:pt idx="668">
                  <c:v>4.0222141596415844</c:v>
                </c:pt>
                <c:pt idx="669">
                  <c:v>4.0217209381163803</c:v>
                </c:pt>
                <c:pt idx="670">
                  <c:v>4.0212384019142551</c:v>
                </c:pt>
                <c:pt idx="671">
                  <c:v>4.0207663310400319</c:v>
                </c:pt>
                <c:pt idx="672">
                  <c:v>4.020304509533891</c:v>
                </c:pt>
                <c:pt idx="673">
                  <c:v>4.0198527254186773</c:v>
                </c:pt>
                <c:pt idx="674">
                  <c:v>4.0194107706469406</c:v>
                </c:pt>
                <c:pt idx="675">
                  <c:v>4.0189784410477349</c:v>
                </c:pt>
                <c:pt idx="676">
                  <c:v>4.0185555362732535</c:v>
                </c:pt>
                <c:pt idx="677">
                  <c:v>4.018141859745346</c:v>
                </c:pt>
                <c:pt idx="678">
                  <c:v>4.0177372186019591</c:v>
                </c:pt>
                <c:pt idx="679">
                  <c:v>4.0173414236435523</c:v>
                </c:pt>
                <c:pt idx="680">
                  <c:v>4.0169542892795329</c:v>
                </c:pt>
                <c:pt idx="681">
                  <c:v>4.0165756334747549</c:v>
                </c:pt>
                <c:pt idx="682">
                  <c:v>4.0162052776961108</c:v>
                </c:pt>
                <c:pt idx="683">
                  <c:v>4.0158430468592705</c:v>
                </c:pt>
                <c:pt idx="684">
                  <c:v>4.0154887692755858</c:v>
                </c:pt>
                <c:pt idx="685">
                  <c:v>4.0151422765992066</c:v>
                </c:pt>
                <c:pt idx="686">
                  <c:v>4.014803403774434</c:v>
                </c:pt>
                <c:pt idx="687">
                  <c:v>4.0144719889833409</c:v>
                </c:pt>
                <c:pt idx="688">
                  <c:v>4.014147873593692</c:v>
                </c:pt>
                <c:pt idx="689">
                  <c:v>4.013830902107185</c:v>
                </c:pt>
                <c:pt idx="690">
                  <c:v>4.0135209221080386</c:v>
                </c:pt>
                <c:pt idx="691">
                  <c:v>4.0132177842119523</c:v>
                </c:pt>
                <c:pt idx="692">
                  <c:v>4.0129213420154599</c:v>
                </c:pt>
                <c:pt idx="693">
                  <c:v>4.0126314520456905</c:v>
                </c:pt>
                <c:pt idx="694">
                  <c:v>4.0123479737105665</c:v>
                </c:pt>
                <c:pt idx="695">
                  <c:v>4.0120707692494433</c:v>
                </c:pt>
                <c:pt idx="696">
                  <c:v>4.0117997036842192</c:v>
                </c:pt>
                <c:pt idx="697">
                  <c:v>4.0115346447709213</c:v>
                </c:pt>
                <c:pt idx="698">
                  <c:v>4.0112754629517813</c:v>
                </c:pt>
                <c:pt idx="699">
                  <c:v>4.0110220313078235</c:v>
                </c:pt>
                <c:pt idx="700">
                  <c:v>4.0107742255119572</c:v>
                </c:pt>
                <c:pt idx="701">
                  <c:v>4.010531923782608</c:v>
                </c:pt>
                <c:pt idx="702">
                  <c:v>4.0102950068378762</c:v>
                </c:pt>
                <c:pt idx="703">
                  <c:v>4.0100633578502398</c:v>
                </c:pt>
                <c:pt idx="704">
                  <c:v>4.0098368624018086</c:v>
                </c:pt>
                <c:pt idx="705">
                  <c:v>4.0096154084401414</c:v>
                </c:pt>
                <c:pt idx="706">
                  <c:v>4.0093988862346155</c:v>
                </c:pt>
                <c:pt idx="707">
                  <c:v>4.0091871883333718</c:v>
                </c:pt>
                <c:pt idx="708">
                  <c:v>4.0089802095208311</c:v>
                </c:pt>
                <c:pt idx="709">
                  <c:v>4.0087778467757786</c:v>
                </c:pt>
                <c:pt idx="710">
                  <c:v>4.0085799992300357</c:v>
                </c:pt>
                <c:pt idx="711">
                  <c:v>4.0083865681277047</c:v>
                </c:pt>
                <c:pt idx="712">
                  <c:v>4.0081974567849956</c:v>
                </c:pt>
                <c:pt idx="713">
                  <c:v>4.0080125705506369</c:v>
                </c:pt>
                <c:pt idx="714">
                  <c:v>4.0078318167668678</c:v>
                </c:pt>
                <c:pt idx="715">
                  <c:v>4.0076551047310085</c:v>
                </c:pt>
                <c:pt idx="716">
                  <c:v>4.0074823456576176</c:v>
                </c:pt>
                <c:pt idx="717">
                  <c:v>4.0073134526412231</c:v>
                </c:pt>
                <c:pt idx="718">
                  <c:v>4.0071483406196373</c:v>
                </c:pt>
                <c:pt idx="719">
                  <c:v>4.0069869263378415</c:v>
                </c:pt>
                <c:pt idx="720">
                  <c:v>4.0068291283124529</c:v>
                </c:pt>
                <c:pt idx="721">
                  <c:v>4.0066748667967502</c:v>
                </c:pt>
                <c:pt idx="722">
                  <c:v>4.0065240637462791</c:v>
                </c:pt>
                <c:pt idx="723">
                  <c:v>4.006376642785014</c:v>
                </c:pt>
                <c:pt idx="724">
                  <c:v>4.0062325291720811</c:v>
                </c:pt>
                <c:pt idx="725">
                  <c:v>4.0060916497690418</c:v>
                </c:pt>
                <c:pt idx="726">
                  <c:v>4.0059539330077261</c:v>
                </c:pt>
                <c:pt idx="727">
                  <c:v>4.0058193088586069</c:v>
                </c:pt>
                <c:pt idx="728">
                  <c:v>4.0056877087997327</c:v>
                </c:pt>
                <c:pt idx="729">
                  <c:v>4.0055590657861782</c:v>
                </c:pt>
                <c:pt idx="730">
                  <c:v>4.0054333142200456</c:v>
                </c:pt>
                <c:pt idx="731">
                  <c:v>4.0053103899209832</c:v>
                </c:pt>
                <c:pt idx="732">
                  <c:v>4.0051902300972246</c:v>
                </c:pt>
                <c:pt idx="733">
                  <c:v>4.0050727733171554</c:v>
                </c:pt>
                <c:pt idx="734">
                  <c:v>4.0049579594813753</c:v>
                </c:pt>
                <c:pt idx="735">
                  <c:v>4.0048457297952771</c:v>
                </c:pt>
                <c:pt idx="736">
                  <c:v>4.004736026742119</c:v>
                </c:pt>
                <c:pt idx="737">
                  <c:v>4.0046287940565932</c:v>
                </c:pt>
                <c:pt idx="738">
                  <c:v>4.0045239766988718</c:v>
                </c:pt>
                <c:pt idx="739">
                  <c:v>4.0044215208291494</c:v>
                </c:pt>
                <c:pt idx="740">
                  <c:v>4.0043213737826422</c:v>
                </c:pt>
                <c:pt idx="741">
                  <c:v>4.0042234840450703</c:v>
                </c:pt>
                <c:pt idx="742">
                  <c:v>4.0041278012285906</c:v>
                </c:pt>
                <c:pt idx="743">
                  <c:v>4.0040342760481886</c:v>
                </c:pt>
                <c:pt idx="744">
                  <c:v>4.0039428602985252</c:v>
                </c:pt>
                <c:pt idx="745">
                  <c:v>4.003853506831212</c:v>
                </c:pt>
                <c:pt idx="746">
                  <c:v>4.0037661695325379</c:v>
                </c:pt>
                <c:pt idx="747">
                  <c:v>4.0036808033016138</c:v>
                </c:pt>
                <c:pt idx="748">
                  <c:v>4.0035973640289466</c:v>
                </c:pt>
                <c:pt idx="749">
                  <c:v>4.0035158085754263</c:v>
                </c:pt>
                <c:pt idx="750">
                  <c:v>4.003436094751728</c:v>
                </c:pt>
                <c:pt idx="751">
                  <c:v>4.0033581812981112</c:v>
                </c:pt>
                <c:pt idx="752">
                  <c:v>4.0032820278646204</c:v>
                </c:pt>
                <c:pt idx="753">
                  <c:v>4.0032075949916797</c:v>
                </c:pt>
                <c:pt idx="754">
                  <c:v>4.0031348440910648</c:v>
                </c:pt>
                <c:pt idx="755">
                  <c:v>4.0030637374272589</c:v>
                </c:pt>
                <c:pt idx="756">
                  <c:v>4.0029942380991805</c:v>
                </c:pt>
                <c:pt idx="757">
                  <c:v>4.0029263100222758</c:v>
                </c:pt>
                <c:pt idx="758">
                  <c:v>4.0028599179109703</c:v>
                </c:pt>
                <c:pt idx="759">
                  <c:v>4.0027950272614738</c:v>
                </c:pt>
                <c:pt idx="760">
                  <c:v>4.0027316043349392</c:v>
                </c:pt>
                <c:pt idx="761">
                  <c:v>4.0026696161409525</c:v>
                </c:pt>
                <c:pt idx="762">
                  <c:v>4.0026090304213673</c:v>
                </c:pt>
                <c:pt idx="763">
                  <c:v>4.0025498156344677</c:v>
                </c:pt>
                <c:pt idx="764">
                  <c:v>4.0024919409394464</c:v>
                </c:pt>
                <c:pt idx="765">
                  <c:v>4.002435376181217</c:v>
                </c:pt>
                <c:pt idx="766">
                  <c:v>4.0023800918755219</c:v>
                </c:pt>
                <c:pt idx="767">
                  <c:v>4.0023260591943606</c:v>
                </c:pt>
                <c:pt idx="768">
                  <c:v>4.0022732499517089</c:v>
                </c:pt>
                <c:pt idx="769">
                  <c:v>4.0022216365895433</c:v>
                </c:pt>
                <c:pt idx="770">
                  <c:v>4.0021711921641447</c:v>
                </c:pt>
                <c:pt idx="771">
                  <c:v>4.0021218903326998</c:v>
                </c:pt>
                <c:pt idx="772">
                  <c:v>4.0020737053401687</c:v>
                </c:pt>
                <c:pt idx="773">
                  <c:v>4.0020266120064383</c:v>
                </c:pt>
                <c:pt idx="774">
                  <c:v>4.0019805857137376</c:v>
                </c:pt>
                <c:pt idx="775">
                  <c:v>4.0019356023943207</c:v>
                </c:pt>
                <c:pt idx="776">
                  <c:v>4.0018916385184067</c:v>
                </c:pt>
                <c:pt idx="777">
                  <c:v>4.0018486710823744</c:v>
                </c:pt>
                <c:pt idx="778">
                  <c:v>4.0018066775972079</c:v>
                </c:pt>
                <c:pt idx="779">
                  <c:v>4.0017656360771818</c:v>
                </c:pt>
                <c:pt idx="780">
                  <c:v>4.0017255250287924</c:v>
                </c:pt>
                <c:pt idx="781">
                  <c:v>4.0016863234399205</c:v>
                </c:pt>
                <c:pt idx="782">
                  <c:v>4.0016480107692232</c:v>
                </c:pt>
                <c:pt idx="783">
                  <c:v>4.001610566935752</c:v>
                </c:pt>
                <c:pt idx="784">
                  <c:v>4.0015739723087984</c:v>
                </c:pt>
                <c:pt idx="785">
                  <c:v>4.001538207697946</c:v>
                </c:pt>
                <c:pt idx="786">
                  <c:v>4.0015032543433442</c:v>
                </c:pt>
                <c:pt idx="787">
                  <c:v>4.0014690939061843</c:v>
                </c:pt>
                <c:pt idx="788">
                  <c:v>4.001435708459387</c:v>
                </c:pt>
                <c:pt idx="789">
                  <c:v>4.0014030804784806</c:v>
                </c:pt>
                <c:pt idx="790">
                  <c:v>4.0013711928326829</c:v>
                </c:pt>
                <c:pt idx="791">
                  <c:v>4.0013400287761751</c:v>
                </c:pt>
                <c:pt idx="792">
                  <c:v>4.0013095719395553</c:v>
                </c:pt>
                <c:pt idx="793">
                  <c:v>4.0012798063214898</c:v>
                </c:pt>
                <c:pt idx="794">
                  <c:v>4.0012507162805351</c:v>
                </c:pt>
                <c:pt idx="795">
                  <c:v>4.0012222865271383</c:v>
                </c:pt>
                <c:pt idx="796">
                  <c:v>4.0011945021158164</c:v>
                </c:pt>
                <c:pt idx="797">
                  <c:v>4.0011673484374999</c:v>
                </c:pt>
                <c:pt idx="798">
                  <c:v>4.0011408112120428</c:v>
                </c:pt>
                <c:pt idx="799">
                  <c:v>4.0011148764809006</c:v>
                </c:pt>
                <c:pt idx="800">
                  <c:v>4.0010895305999616</c:v>
                </c:pt>
                <c:pt idx="801">
                  <c:v>4.0010647602325387</c:v>
                </c:pt>
                <c:pt idx="802">
                  <c:v>4.0010405523425137</c:v>
                </c:pt>
                <c:pt idx="803">
                  <c:v>4.0010168941876261</c:v>
                </c:pt>
                <c:pt idx="804">
                  <c:v>4.0009937733129188</c:v>
                </c:pt>
                <c:pt idx="805">
                  <c:v>4.000971177544316</c:v>
                </c:pt>
                <c:pt idx="806">
                  <c:v>4.0009490949823521</c:v>
                </c:pt>
                <c:pt idx="807">
                  <c:v>4.0009275139960279</c:v>
                </c:pt>
                <c:pt idx="808">
                  <c:v>4.0009064232168114</c:v>
                </c:pt>
                <c:pt idx="809">
                  <c:v>4.000885811532763</c:v>
                </c:pt>
                <c:pt idx="810">
                  <c:v>4.0008656680827936</c:v>
                </c:pt>
                <c:pt idx="811">
                  <c:v>4.0008459822510485</c:v>
                </c:pt>
                <c:pt idx="812">
                  <c:v>4.0008267436614151</c:v>
                </c:pt>
                <c:pt idx="813">
                  <c:v>4.0008079421721483</c:v>
                </c:pt>
                <c:pt idx="814">
                  <c:v>4.00078956787062</c:v>
                </c:pt>
                <c:pt idx="815">
                  <c:v>4.0007716110681812</c:v>
                </c:pt>
                <c:pt idx="816">
                  <c:v>4.0007540622951367</c:v>
                </c:pt>
                <c:pt idx="817">
                  <c:v>4.0007369122958334</c:v>
                </c:pt>
                <c:pt idx="818">
                  <c:v>4.0007201520238551</c:v>
                </c:pt>
                <c:pt idx="819">
                  <c:v>4.0007037726373271</c:v>
                </c:pt>
                <c:pt idx="820">
                  <c:v>4.0006877654943187</c:v>
                </c:pt>
                <c:pt idx="821">
                  <c:v>4.0006721221483525</c:v>
                </c:pt>
                <c:pt idx="822">
                  <c:v>4.0006568343440119</c:v>
                </c:pt>
                <c:pt idx="823">
                  <c:v>4.0006418940126487</c:v>
                </c:pt>
                <c:pt idx="824">
                  <c:v>4.0006272932681775</c:v>
                </c:pt>
                <c:pt idx="825">
                  <c:v>4.0006130244029752</c:v>
                </c:pt>
                <c:pt idx="826">
                  <c:v>4.0005990798838624</c:v>
                </c:pt>
                <c:pt idx="827">
                  <c:v>4.0005854523481776</c:v>
                </c:pt>
                <c:pt idx="828">
                  <c:v>4.000572134599941</c:v>
                </c:pt>
                <c:pt idx="829">
                  <c:v>4.0005591196060992</c:v>
                </c:pt>
                <c:pt idx="830">
                  <c:v>4.0005464004928575</c:v>
                </c:pt>
                <c:pt idx="831">
                  <c:v>4.0005339705420884</c:v>
                </c:pt>
                <c:pt idx="832">
                  <c:v>4.0005218231878308</c:v>
                </c:pt>
                <c:pt idx="833">
                  <c:v>4.0005099520128518</c:v>
                </c:pt>
                <c:pt idx="834">
                  <c:v>4.0004983507453016</c:v>
                </c:pt>
                <c:pt idx="835">
                  <c:v>4.0004870132554311</c:v>
                </c:pt>
                <c:pt idx="836">
                  <c:v>4.0004759335523881</c:v>
                </c:pt>
                <c:pt idx="837">
                  <c:v>4.0004651057810827</c:v>
                </c:pt>
                <c:pt idx="838">
                  <c:v>4.0004545242191289</c:v>
                </c:pt>
                <c:pt idx="839">
                  <c:v>4.0004441832738422</c:v>
                </c:pt>
                <c:pt idx="840">
                  <c:v>4.0004340774793183</c:v>
                </c:pt>
                <c:pt idx="841">
                  <c:v>4.00042420149357</c:v>
                </c:pt>
                <c:pt idx="842">
                  <c:v>4.0004145500957247</c:v>
                </c:pt>
                <c:pt idx="843">
                  <c:v>4.0004051181832949</c:v>
                </c:pt>
                <c:pt idx="844">
                  <c:v>4.0003959007695</c:v>
                </c:pt>
                <c:pt idx="845">
                  <c:v>4.0003868929806554</c:v>
                </c:pt>
                <c:pt idx="846">
                  <c:v>4.0003780900536121</c:v>
                </c:pt>
                <c:pt idx="847">
                  <c:v>4.0003694873332636</c:v>
                </c:pt>
                <c:pt idx="848">
                  <c:v>4.0003610802701015</c:v>
                </c:pt>
                <c:pt idx="849">
                  <c:v>4.0003528644178292</c:v>
                </c:pt>
                <c:pt idx="850">
                  <c:v>4.0003448354310249</c:v>
                </c:pt>
                <c:pt idx="851">
                  <c:v>4.0003369890628653</c:v>
                </c:pt>
                <c:pt idx="852">
                  <c:v>4.0003293211628925</c:v>
                </c:pt>
                <c:pt idx="853">
                  <c:v>4.0003218276748322</c:v>
                </c:pt>
                <c:pt idx="854">
                  <c:v>4.0003145046344688</c:v>
                </c:pt>
                <c:pt idx="855">
                  <c:v>4.0003073481675573</c:v>
                </c:pt>
                <c:pt idx="856">
                  <c:v>4.0003003544877869</c:v>
                </c:pt>
                <c:pt idx="857">
                  <c:v>4.0002935198947958</c:v>
                </c:pt>
                <c:pt idx="858">
                  <c:v>4.0002868407722207</c:v>
                </c:pt>
                <c:pt idx="859">
                  <c:v>4.0002803135857956</c:v>
                </c:pt>
                <c:pt idx="860">
                  <c:v>4.0002739348814966</c:v>
                </c:pt>
                <c:pt idx="861">
                  <c:v>4.00026770128372</c:v>
                </c:pt>
                <c:pt idx="862">
                  <c:v>4.0002616094935091</c:v>
                </c:pt>
                <c:pt idx="863">
                  <c:v>4.0002556562868188</c:v>
                </c:pt>
                <c:pt idx="864">
                  <c:v>4.0002498385128158</c:v>
                </c:pt>
                <c:pt idx="865">
                  <c:v>4.0002441530922219</c:v>
                </c:pt>
                <c:pt idx="866">
                  <c:v>4.0002385970156933</c:v>
                </c:pt>
                <c:pt idx="867">
                  <c:v>4.000233167342234</c:v>
                </c:pt>
                <c:pt idx="868">
                  <c:v>4.0002278611976481</c:v>
                </c:pt>
                <c:pt idx="869">
                  <c:v>4.0002226757730259</c:v>
                </c:pt>
                <c:pt idx="870">
                  <c:v>4.0002176083232621</c:v>
                </c:pt>
                <c:pt idx="871">
                  <c:v>4.0002126561656119</c:v>
                </c:pt>
                <c:pt idx="872">
                  <c:v>4.0002078166782766</c:v>
                </c:pt>
                <c:pt idx="873">
                  <c:v>4.0002030872990213</c:v>
                </c:pt>
                <c:pt idx="874">
                  <c:v>4.0001984655238241</c:v>
                </c:pt>
                <c:pt idx="875">
                  <c:v>4.0001939489055554</c:v>
                </c:pt>
                <c:pt idx="876">
                  <c:v>4.000189535052689</c:v>
                </c:pt>
                <c:pt idx="877">
                  <c:v>4.0001852216280405</c:v>
                </c:pt>
                <c:pt idx="878">
                  <c:v>4.0001810063475336</c:v>
                </c:pt>
                <c:pt idx="879">
                  <c:v>4.0001768869789993</c:v>
                </c:pt>
                <c:pt idx="880">
                  <c:v>4.0001728613409906</c:v>
                </c:pt>
                <c:pt idx="881">
                  <c:v>4.0001689273016394</c:v>
                </c:pt>
                <c:pt idx="882">
                  <c:v>4.000165082777527</c:v>
                </c:pt>
                <c:pt idx="883">
                  <c:v>4.0001613257325888</c:v>
                </c:pt>
                <c:pt idx="884">
                  <c:v>4.0001576541770323</c:v>
                </c:pt>
                <c:pt idx="885">
                  <c:v>4.0001540661662967</c:v>
                </c:pt>
                <c:pt idx="886">
                  <c:v>4.0001505598000167</c:v>
                </c:pt>
                <c:pt idx="887">
                  <c:v>4.0001471332210281</c:v>
                </c:pt>
                <c:pt idx="888">
                  <c:v>4.0001437846143792</c:v>
                </c:pt>
                <c:pt idx="889">
                  <c:v>4.0001405122063804</c:v>
                </c:pt>
                <c:pt idx="890">
                  <c:v>4.0001373142636583</c:v>
                </c:pt>
                <c:pt idx="891">
                  <c:v>4.0001341890922495</c:v>
                </c:pt>
                <c:pt idx="892">
                  <c:v>4.0001311350367006</c:v>
                </c:pt>
                <c:pt idx="893">
                  <c:v>4.0001281504791946</c:v>
                </c:pt>
                <c:pt idx="894">
                  <c:v>4.0001252338386957</c:v>
                </c:pt>
                <c:pt idx="895">
                  <c:v>4.0001223835701154</c:v>
                </c:pt>
                <c:pt idx="896">
                  <c:v>4.0001195981634972</c:v>
                </c:pt>
                <c:pt idx="897">
                  <c:v>4.0001168761432151</c:v>
                </c:pt>
                <c:pt idx="898">
                  <c:v>4.0001142160671961</c:v>
                </c:pt>
                <c:pt idx="899">
                  <c:v>4.0001116165261585</c:v>
                </c:pt>
                <c:pt idx="900">
                  <c:v>4.0001090761428664</c:v>
                </c:pt>
                <c:pt idx="901">
                  <c:v>4.0001065935714015</c:v>
                </c:pt>
                <c:pt idx="902">
                  <c:v>4.0001041674964526</c:v>
                </c:pt>
                <c:pt idx="903">
                  <c:v>4.0001017966326176</c:v>
                </c:pt>
                <c:pt idx="904">
                  <c:v>4.0000994797237279</c:v>
                </c:pt>
                <c:pt idx="905">
                  <c:v>4.0000972155421817</c:v>
                </c:pt>
                <c:pt idx="906">
                  <c:v>4.0000950028882949</c:v>
                </c:pt>
                <c:pt idx="907">
                  <c:v>4.0000928405896694</c:v>
                </c:pt>
                <c:pt idx="908">
                  <c:v>4.0000907275005684</c:v>
                </c:pt>
                <c:pt idx="909">
                  <c:v>4.0000886625013141</c:v>
                </c:pt>
                <c:pt idx="910">
                  <c:v>4.0000866444976966</c:v>
                </c:pt>
                <c:pt idx="911">
                  <c:v>4.0000846724203898</c:v>
                </c:pt>
                <c:pt idx="912">
                  <c:v>4.0000827452243914</c:v>
                </c:pt>
                <c:pt idx="913">
                  <c:v>4.0000808618884669</c:v>
                </c:pt>
                <c:pt idx="914">
                  <c:v>4.0000790214146118</c:v>
                </c:pt>
                <c:pt idx="915">
                  <c:v>4.000077222827521</c:v>
                </c:pt>
                <c:pt idx="916">
                  <c:v>4.0000754651740751</c:v>
                </c:pt>
                <c:pt idx="917">
                  <c:v>4.0000737475228334</c:v>
                </c:pt>
                <c:pt idx="918">
                  <c:v>4.0000720689635436</c:v>
                </c:pt>
                <c:pt idx="919">
                  <c:v>4.0000704286066604</c:v>
                </c:pt>
                <c:pt idx="920">
                  <c:v>4.0000688255828738</c:v>
                </c:pt>
                <c:pt idx="921">
                  <c:v>4.0000672590426456</c:v>
                </c:pt>
                <c:pt idx="922">
                  <c:v>4.0000657281557679</c:v>
                </c:pt>
                <c:pt idx="923">
                  <c:v>4.0000642321109163</c:v>
                </c:pt>
                <c:pt idx="924">
                  <c:v>4.0000627701152238</c:v>
                </c:pt>
                <c:pt idx="925">
                  <c:v>4.0000613413938622</c:v>
                </c:pt>
                <c:pt idx="926">
                  <c:v>4.0000599451896273</c:v>
                </c:pt>
                <c:pt idx="927">
                  <c:v>4.0000585807625457</c:v>
                </c:pt>
                <c:pt idx="928">
                  <c:v>4.0000572473894733</c:v>
                </c:pt>
                <c:pt idx="929">
                  <c:v>4.0000559443637238</c:v>
                </c:pt>
                <c:pt idx="930">
                  <c:v>4.0000546709946843</c:v>
                </c:pt>
                <c:pt idx="931">
                  <c:v>4.0000534266074554</c:v>
                </c:pt>
                <c:pt idx="932">
                  <c:v>4.0000522105424929</c:v>
                </c:pt>
                <c:pt idx="933">
                  <c:v>4.0000510221552599</c:v>
                </c:pt>
                <c:pt idx="934">
                  <c:v>4.0000498608158805</c:v>
                </c:pt>
                <c:pt idx="935">
                  <c:v>4.0000487259088127</c:v>
                </c:pt>
                <c:pt idx="936">
                  <c:v>4.0000476168325179</c:v>
                </c:pt>
                <c:pt idx="937">
                  <c:v>4.0000465329991455</c:v>
                </c:pt>
                <c:pt idx="938">
                  <c:v>4.0000454738342199</c:v>
                </c:pt>
                <c:pt idx="939">
                  <c:v>4.0000444387763361</c:v>
                </c:pt>
                <c:pt idx="940">
                  <c:v>4.0000434272768626</c:v>
                </c:pt>
                <c:pt idx="941">
                  <c:v>4.0000424387996523</c:v>
                </c:pt>
                <c:pt idx="942">
                  <c:v>4.0000414728207563</c:v>
                </c:pt>
                <c:pt idx="943">
                  <c:v>4.0000405288281495</c:v>
                </c:pt>
                <c:pt idx="944">
                  <c:v>4.0000396063214545</c:v>
                </c:pt>
                <c:pt idx="945">
                  <c:v>4.0000387048116828</c:v>
                </c:pt>
                <c:pt idx="946">
                  <c:v>4.0000378238209713</c:v>
                </c:pt>
                <c:pt idx="947">
                  <c:v>4.0000369628823291</c:v>
                </c:pt>
                <c:pt idx="948">
                  <c:v>4.0000361215393951</c:v>
                </c:pt>
                <c:pt idx="949">
                  <c:v>4.0000352993461892</c:v>
                </c:pt>
                <c:pt idx="950">
                  <c:v>4.0000344958668821</c:v>
                </c:pt>
                <c:pt idx="951">
                  <c:v>4.0000337106755604</c:v>
                </c:pt>
                <c:pt idx="952">
                  <c:v>4.000032943356004</c:v>
                </c:pt>
                <c:pt idx="953">
                  <c:v>4.0000321935014638</c:v>
                </c:pt>
                <c:pt idx="954">
                  <c:v>4.0000314607144452</c:v>
                </c:pt>
                <c:pt idx="955">
                  <c:v>4.0000307446065015</c:v>
                </c:pt>
                <c:pt idx="956">
                  <c:v>4.0000300447980237</c:v>
                </c:pt>
                <c:pt idx="957">
                  <c:v>4.0000293609180426</c:v>
                </c:pt>
                <c:pt idx="958">
                  <c:v>4.0000286926040296</c:v>
                </c:pt>
                <c:pt idx="959">
                  <c:v>4.0000280395017072</c:v>
                </c:pt>
                <c:pt idx="960">
                  <c:v>4.0000274012648598</c:v>
                </c:pt>
                <c:pt idx="961">
                  <c:v>4.000026777555151</c:v>
                </c:pt>
                <c:pt idx="962">
                  <c:v>4.0000261680419422</c:v>
                </c:pt>
                <c:pt idx="963">
                  <c:v>4.0000255724021221</c:v>
                </c:pt>
                <c:pt idx="964">
                  <c:v>4.0000249903199308</c:v>
                </c:pt>
                <c:pt idx="965">
                  <c:v>4.0000244214867937</c:v>
                </c:pt>
                <c:pt idx="966">
                  <c:v>4.0000238656011593</c:v>
                </c:pt>
                <c:pt idx="967">
                  <c:v>4.0000233223683397</c:v>
                </c:pt>
                <c:pt idx="968">
                  <c:v>4.0000227915003528</c:v>
                </c:pt>
                <c:pt idx="969">
                  <c:v>4.0000222727157686</c:v>
                </c:pt>
                <c:pt idx="970">
                  <c:v>4.0000217657395654</c:v>
                </c:pt>
                <c:pt idx="971">
                  <c:v>4.0000212703029776</c:v>
                </c:pt>
                <c:pt idx="972">
                  <c:v>4.0000207861433568</c:v>
                </c:pt>
                <c:pt idx="973">
                  <c:v>4.0000203130040335</c:v>
                </c:pt>
                <c:pt idx="974">
                  <c:v>4.0000198506341782</c:v>
                </c:pt>
                <c:pt idx="975">
                  <c:v>4.0000193987886696</c:v>
                </c:pt>
                <c:pt idx="976">
                  <c:v>4.000018957227967</c:v>
                </c:pt>
                <c:pt idx="977">
                  <c:v>4.0000185257179792</c:v>
                </c:pt>
                <c:pt idx="978">
                  <c:v>4.0000181040299436</c:v>
                </c:pt>
                <c:pt idx="979">
                  <c:v>4.0000176919403039</c:v>
                </c:pt>
                <c:pt idx="980">
                  <c:v>4.0000172892305921</c:v>
                </c:pt>
                <c:pt idx="981">
                  <c:v>4.0000168956873114</c:v>
                </c:pt>
                <c:pt idx="982">
                  <c:v>4.0000165111018244</c:v>
                </c:pt>
                <c:pt idx="983">
                  <c:v>4.0000161352702435</c:v>
                </c:pt>
                <c:pt idx="984">
                  <c:v>4.0000157679933199</c:v>
                </c:pt>
                <c:pt idx="985">
                  <c:v>4.0000154090763393</c:v>
                </c:pt>
                <c:pt idx="986">
                  <c:v>4.0000150583290202</c:v>
                </c:pt>
                <c:pt idx="987">
                  <c:v>4.0000147155654107</c:v>
                </c:pt>
                <c:pt idx="988">
                  <c:v>4.0000143806037922</c:v>
                </c:pt>
                <c:pt idx="989">
                  <c:v>4.0000140532665824</c:v>
                </c:pt>
                <c:pt idx="990">
                  <c:v>4.0000137333802384</c:v>
                </c:pt>
                <c:pt idx="991">
                  <c:v>4.0000134207751685</c:v>
                </c:pt>
                <c:pt idx="992">
                  <c:v>4.0000131152856415</c:v>
                </c:pt>
                <c:pt idx="993">
                  <c:v>4.0000128167496971</c:v>
                </c:pt>
                <c:pt idx="994">
                  <c:v>4.0000125250090628</c:v>
                </c:pt>
                <c:pt idx="995">
                  <c:v>4.0000122399090667</c:v>
                </c:pt>
                <c:pt idx="996">
                  <c:v>4.0000119612985578</c:v>
                </c:pt>
                <c:pt idx="997">
                  <c:v>4.0000116890298258</c:v>
                </c:pt>
                <c:pt idx="998">
                  <c:v>4.0000114229585213</c:v>
                </c:pt>
                <c:pt idx="999">
                  <c:v>4.0000111629435819</c:v>
                </c:pt>
                <c:pt idx="1000">
                  <c:v>4.0000109088471554</c:v>
                </c:pt>
                <c:pt idx="1001">
                  <c:v>4.0000106605345254</c:v>
                </c:pt>
                <c:pt idx="1002">
                  <c:v>4.0000104178740443</c:v>
                </c:pt>
                <c:pt idx="1003">
                  <c:v>4.0000101807370587</c:v>
                </c:pt>
                <c:pt idx="1004">
                  <c:v>4.0000099489978451</c:v>
                </c:pt>
                <c:pt idx="1005">
                  <c:v>4.00000972253354</c:v>
                </c:pt>
                <c:pt idx="1006">
                  <c:v>4.0000095012240786</c:v>
                </c:pt>
                <c:pt idx="1007">
                  <c:v>4.0000092849521263</c:v>
                </c:pt>
                <c:pt idx="1008">
                  <c:v>4.00000907360302</c:v>
                </c:pt>
                <c:pt idx="1009">
                  <c:v>4.0000088670647074</c:v>
                </c:pt>
                <c:pt idx="1010">
                  <c:v>4.0000086652276865</c:v>
                </c:pt>
                <c:pt idx="1011">
                  <c:v>4.0000084679849461</c:v>
                </c:pt>
                <c:pt idx="1012">
                  <c:v>4.0000082752319122</c:v>
                </c:pt>
                <c:pt idx="1013">
                  <c:v>4.0000080868663908</c:v>
                </c:pt>
                <c:pt idx="1014">
                  <c:v>4.0000079027885125</c:v>
                </c:pt>
                <c:pt idx="1015">
                  <c:v>4.0000077229006834</c:v>
                </c:pt>
                <c:pt idx="1016">
                  <c:v>4.0000075471075291</c:v>
                </c:pt>
                <c:pt idx="1017">
                  <c:v>4.0000073753158469</c:v>
                </c:pt>
                <c:pt idx="1018">
                  <c:v>4.000007207434555</c:v>
                </c:pt>
                <c:pt idx="1019">
                  <c:v>4.0000070433746444</c:v>
                </c:pt>
                <c:pt idx="1020">
                  <c:v>4.0000068830491342</c:v>
                </c:pt>
                <c:pt idx="1021">
                  <c:v>4.0000067263730212</c:v>
                </c:pt>
                <c:pt idx="1022">
                  <c:v>4.0000065732632368</c:v>
                </c:pt>
                <c:pt idx="1023">
                  <c:v>4.000006423638605</c:v>
                </c:pt>
                <c:pt idx="1024">
                  <c:v>4.0000062774197955</c:v>
                </c:pt>
                <c:pt idx="1025">
                  <c:v>4.0000061345292846</c:v>
                </c:pt>
                <c:pt idx="1026">
                  <c:v>4.000005994891314</c:v>
                </c:pt>
                <c:pt idx="1027">
                  <c:v>4.0000058584318481</c:v>
                </c:pt>
                <c:pt idx="1028">
                  <c:v>4.0000057250785375</c:v>
                </c:pt>
                <c:pt idx="1029">
                  <c:v>4.0000055947606787</c:v>
                </c:pt>
                <c:pt idx="1030">
                  <c:v>4.0000054674091796</c:v>
                </c:pt>
                <c:pt idx="1031">
                  <c:v>4.0000053429565181</c:v>
                </c:pt>
                <c:pt idx="1032">
                  <c:v>4.0000052213367105</c:v>
                </c:pt>
                <c:pt idx="1033">
                  <c:v>4.0000051024852743</c:v>
                </c:pt>
                <c:pt idx="1034">
                  <c:v>4.0000049863391967</c:v>
                </c:pt>
                <c:pt idx="1035">
                  <c:v>4.0000048728368958</c:v>
                </c:pt>
                <c:pt idx="1036">
                  <c:v>4.0000047619181949</c:v>
                </c:pt>
                <c:pt idx="1037">
                  <c:v>4.0000046535242832</c:v>
                </c:pt>
                <c:pt idx="1038">
                  <c:v>4.0000045475976931</c:v>
                </c:pt>
                <c:pt idx="1039">
                  <c:v>4.0000044440822613</c:v>
                </c:pt>
                <c:pt idx="1040">
                  <c:v>4.0000043429231047</c:v>
                </c:pt>
                <c:pt idx="1041">
                  <c:v>4.0000042440665879</c:v>
                </c:pt>
                <c:pt idx="1042">
                  <c:v>4.0000041474602996</c:v>
                </c:pt>
                <c:pt idx="1043">
                  <c:v>4.0000040530530176</c:v>
                </c:pt>
                <c:pt idx="1044">
                  <c:v>4.0000039607946887</c:v>
                </c:pt>
                <c:pt idx="1045">
                  <c:v>4.0000038706363954</c:v>
                </c:pt>
                <c:pt idx="1046">
                  <c:v>4.0000037825303387</c:v>
                </c:pt>
                <c:pt idx="1047">
                  <c:v>4.0000036964298022</c:v>
                </c:pt>
                <c:pt idx="1048">
                  <c:v>4.0000036122891371</c:v>
                </c:pt>
                <c:pt idx="1049">
                  <c:v>4.000003530063732</c:v>
                </c:pt>
                <c:pt idx="1050">
                  <c:v>4.0000034497099906</c:v>
                </c:pt>
                <c:pt idx="1051">
                  <c:v>4.0000033711853087</c:v>
                </c:pt>
                <c:pt idx="1052">
                  <c:v>4.0000032944480539</c:v>
                </c:pt>
                <c:pt idx="1053">
                  <c:v>4.0000032194575388</c:v>
                </c:pt>
                <c:pt idx="1054">
                  <c:v>4.0000031461740031</c:v>
                </c:pt>
                <c:pt idx="1055">
                  <c:v>4.0000030745585935</c:v>
                </c:pt>
                <c:pt idx="1056">
                  <c:v>4.0000030045733377</c:v>
                </c:pt>
                <c:pt idx="1057">
                  <c:v>4.0000029361811293</c:v>
                </c:pt>
                <c:pt idx="1058">
                  <c:v>4.0000028693457086</c:v>
                </c:pt>
                <c:pt idx="1059">
                  <c:v>4.0000028040316371</c:v>
                </c:pt>
                <c:pt idx="1060">
                  <c:v>4.0000027402042857</c:v>
                </c:pt>
                <c:pt idx="1061">
                  <c:v>4.000002677829813</c:v>
                </c:pt>
                <c:pt idx="1062">
                  <c:v>4.0000026168751486</c:v>
                </c:pt>
                <c:pt idx="1063">
                  <c:v>4.0000025573079725</c:v>
                </c:pt>
                <c:pt idx="1064">
                  <c:v>4.0000024990967038</c:v>
                </c:pt>
                <c:pt idx="1065">
                  <c:v>4.0000024422104783</c:v>
                </c:pt>
                <c:pt idx="1066">
                  <c:v>4.0000023866191334</c:v>
                </c:pt>
                <c:pt idx="1067">
                  <c:v>4.000002332293195</c:v>
                </c:pt>
                <c:pt idx="1068">
                  <c:v>4.0000022792038594</c:v>
                </c:pt>
                <c:pt idx="1069">
                  <c:v>4.0000022273229785</c:v>
                </c:pt>
                <c:pt idx="1070">
                  <c:v>4.0000021766230454</c:v>
                </c:pt>
                <c:pt idx="1071">
                  <c:v>4.0000021270771775</c:v>
                </c:pt>
                <c:pt idx="1072">
                  <c:v>4.0000020786591053</c:v>
                </c:pt>
                <c:pt idx="1073">
                  <c:v>4.0000020313431577</c:v>
                </c:pt>
                <c:pt idx="1074">
                  <c:v>4.0000019851042481</c:v>
                </c:pt>
                <c:pt idx="1075">
                  <c:v>4.0000019399178592</c:v>
                </c:pt>
                <c:pt idx="1076">
                  <c:v>4.0000018957600343</c:v>
                </c:pt>
                <c:pt idx="1077">
                  <c:v>4.00000185260736</c:v>
                </c:pt>
                <c:pt idx="1078">
                  <c:v>4.0000018104369559</c:v>
                </c:pt>
                <c:pt idx="1079">
                  <c:v>4.0000017692264631</c:v>
                </c:pt>
                <c:pt idx="1080">
                  <c:v>4.0000017289540324</c:v>
                </c:pt>
                <c:pt idx="1081">
                  <c:v>4.0000016895983102</c:v>
                </c:pt>
                <c:pt idx="1082">
                  <c:v>4.0000016511384304</c:v>
                </c:pt>
                <c:pt idx="1083">
                  <c:v>4.0000016135540006</c:v>
                </c:pt>
                <c:pt idx="1084">
                  <c:v>4.0000015768250945</c:v>
                </c:pt>
                <c:pt idx="1085">
                  <c:v>4.0000015409322369</c:v>
                </c:pt>
                <c:pt idx="1086">
                  <c:v>4.0000015058563978</c:v>
                </c:pt>
                <c:pt idx="1087">
                  <c:v>4.0000014715789796</c:v>
                </c:pt>
                <c:pt idx="1088">
                  <c:v>4.0000014380818074</c:v>
                </c:pt>
                <c:pt idx="1089">
                  <c:v>4.0000014053471222</c:v>
                </c:pt>
                <c:pt idx="1090">
                  <c:v>4.0000013733575663</c:v>
                </c:pt>
                <c:pt idx="1091">
                  <c:v>4.00000134209618</c:v>
                </c:pt>
                <c:pt idx="1092">
                  <c:v>4.0000013115463871</c:v>
                </c:pt>
                <c:pt idx="1093">
                  <c:v>4.0000012816919908</c:v>
                </c:pt>
                <c:pt idx="1094">
                  <c:v>4.0000012525171611</c:v>
                </c:pt>
                <c:pt idx="1095">
                  <c:v>4.0000012240064304</c:v>
                </c:pt>
                <c:pt idx="1096">
                  <c:v>4.0000011961446802</c:v>
                </c:pt>
                <c:pt idx="1097">
                  <c:v>4.00000116891714</c:v>
                </c:pt>
                <c:pt idx="1098">
                  <c:v>4.0000011423093724</c:v>
                </c:pt>
                <c:pt idx="1099">
                  <c:v>4.0000011163072697</c:v>
                </c:pt>
                <c:pt idx="1100">
                  <c:v>4.0000010908970465</c:v>
                </c:pt>
                <c:pt idx="1101">
                  <c:v>4.0000010660652281</c:v>
                </c:pt>
                <c:pt idx="1102">
                  <c:v>4.00000104179865</c:v>
                </c:pt>
                <c:pt idx="1103">
                  <c:v>4.0000010180844452</c:v>
                </c:pt>
                <c:pt idx="1104">
                  <c:v>4.0000009949100406</c:v>
                </c:pt>
                <c:pt idx="1105">
                  <c:v>4.0000009722631482</c:v>
                </c:pt>
                <c:pt idx="1106">
                  <c:v>4.0000009501317617</c:v>
                </c:pt>
                <c:pt idx="1107">
                  <c:v>4.0000009285041456</c:v>
                </c:pt>
                <c:pt idx="1108">
                  <c:v>4.0000009073688325</c:v>
                </c:pt>
                <c:pt idx="1109">
                  <c:v>4.0000008867146173</c:v>
                </c:pt>
                <c:pt idx="1110">
                  <c:v>4.0000008665305486</c:v>
                </c:pt>
                <c:pt idx="1111">
                  <c:v>4.0000008468059249</c:v>
                </c:pt>
                <c:pt idx="1112">
                  <c:v>4.000000827530287</c:v>
                </c:pt>
                <c:pt idx="1113">
                  <c:v>4.0000008086934153</c:v>
                </c:pt>
                <c:pt idx="1114">
                  <c:v>4.0000007902853225</c:v>
                </c:pt>
                <c:pt idx="1115">
                  <c:v>4.0000007722962483</c:v>
                </c:pt>
                <c:pt idx="1116">
                  <c:v>4.0000007547166545</c:v>
                </c:pt>
                <c:pt idx="1117">
                  <c:v>4.0000007375372206</c:v>
                </c:pt>
                <c:pt idx="1118">
                  <c:v>4.0000007207488384</c:v>
                </c:pt>
                <c:pt idx="1119">
                  <c:v>4.0000007043426047</c:v>
                </c:pt>
                <c:pt idx="1120">
                  <c:v>4.0000006883098225</c:v>
                </c:pt>
                <c:pt idx="1121">
                  <c:v>4.0000006726419901</c:v>
                </c:pt>
                <c:pt idx="1122">
                  <c:v>4.0000006573308005</c:v>
                </c:pt>
                <c:pt idx="1123">
                  <c:v>4.0000006423681365</c:v>
                </c:pt>
                <c:pt idx="1124">
                  <c:v>4.0000006277460622</c:v>
                </c:pt>
                <c:pt idx="1125">
                  <c:v>4.0000006134568276</c:v>
                </c:pt>
                <c:pt idx="1126">
                  <c:v>4.0000005994928554</c:v>
                </c:pt>
                <c:pt idx="1127">
                  <c:v>4.0000005858467409</c:v>
                </c:pt>
                <c:pt idx="1128">
                  <c:v>4.00000057251125</c:v>
                </c:pt>
                <c:pt idx="1129">
                  <c:v>4.0000005594793109</c:v>
                </c:pt>
                <c:pt idx="1130">
                  <c:v>4.0000005467440154</c:v>
                </c:pt>
                <c:pt idx="1131">
                  <c:v>4.0000005342986098</c:v>
                </c:pt>
                <c:pt idx="1132">
                  <c:v>4.0000005221364958</c:v>
                </c:pt>
                <c:pt idx="1133">
                  <c:v>4.0000005102512253</c:v>
                </c:pt>
                <c:pt idx="1134">
                  <c:v>4.0000004986364956</c:v>
                </c:pt>
                <c:pt idx="1135">
                  <c:v>4.0000004872861501</c:v>
                </c:pt>
                <c:pt idx="1136">
                  <c:v>4.0000004761941694</c:v>
                </c:pt>
                <c:pt idx="1137">
                  <c:v>4.0000004653546721</c:v>
                </c:pt>
                <c:pt idx="1138">
                  <c:v>4.0000004547619126</c:v>
                </c:pt>
                <c:pt idx="1139">
                  <c:v>4.0000004444102721</c:v>
                </c:pt>
                <c:pt idx="1140">
                  <c:v>4.0000004342942646</c:v>
                </c:pt>
                <c:pt idx="1141">
                  <c:v>4.0000004244085252</c:v>
                </c:pt>
                <c:pt idx="1142">
                  <c:v>4.0000004147478121</c:v>
                </c:pt>
                <c:pt idx="1143">
                  <c:v>4.000000405307004</c:v>
                </c:pt>
                <c:pt idx="1144">
                  <c:v>4.0000003960810941</c:v>
                </c:pt>
                <c:pt idx="1145">
                  <c:v>4.0000003870651923</c:v>
                </c:pt>
                <c:pt idx="1146">
                  <c:v>4.0000003782545166</c:v>
                </c:pt>
                <c:pt idx="1147">
                  <c:v>4.000000369644396</c:v>
                </c:pt>
                <c:pt idx="1148">
                  <c:v>4.0000003612302661</c:v>
                </c:pt>
                <c:pt idx="1149">
                  <c:v>4.000000353007664</c:v>
                </c:pt>
                <c:pt idx="1150">
                  <c:v>4.0000003449722321</c:v>
                </c:pt>
                <c:pt idx="1151">
                  <c:v>4.0000003371197081</c:v>
                </c:pt>
                <c:pt idx="1152">
                  <c:v>4.0000003294459301</c:v>
                </c:pt>
                <c:pt idx="1153">
                  <c:v>4.0000003219468274</c:v>
                </c:pt>
                <c:pt idx="1154">
                  <c:v>4.0000003146184255</c:v>
                </c:pt>
                <c:pt idx="1155">
                  <c:v>4.0000003074568387</c:v>
                </c:pt>
                <c:pt idx="1156">
                  <c:v>4.0000003004582689</c:v>
                </c:pt>
                <c:pt idx="1157">
                  <c:v>4.0000002936190064</c:v>
                </c:pt>
                <c:pt idx="1158">
                  <c:v>4.0000002869354239</c:v>
                </c:pt>
                <c:pt idx="1159">
                  <c:v>4.0000002804039783</c:v>
                </c:pt>
                <c:pt idx="1160">
                  <c:v>4.0000002740212066</c:v>
                </c:pt>
                <c:pt idx="1161">
                  <c:v>4.0000002677837241</c:v>
                </c:pt>
                <c:pt idx="1162">
                  <c:v>4.000000261688224</c:v>
                </c:pt>
                <c:pt idx="1163">
                  <c:v>4.0000002557314751</c:v>
                </c:pt>
                <c:pt idx="1164">
                  <c:v>4.0000002499103173</c:v>
                </c:pt>
                <c:pt idx="1165">
                  <c:v>4.000000244221666</c:v>
                </c:pt>
                <c:pt idx="1166">
                  <c:v>4.0000002386625031</c:v>
                </c:pt>
                <c:pt idx="1167">
                  <c:v>4.0000002332298834</c:v>
                </c:pt>
                <c:pt idx="1168">
                  <c:v>4.0000002279209239</c:v>
                </c:pt>
                <c:pt idx="1169">
                  <c:v>4.0000002227328117</c:v>
                </c:pt>
                <c:pt idx="1170">
                  <c:v>4.0000002176627953</c:v>
                </c:pt>
                <c:pt idx="1171">
                  <c:v>4.0000002127081862</c:v>
                </c:pt>
                <c:pt idx="1172">
                  <c:v>4.0000002078663579</c:v>
                </c:pt>
                <c:pt idx="1173">
                  <c:v>4.0000002031347437</c:v>
                </c:pt>
                <c:pt idx="1174">
                  <c:v>4.0000001985108327</c:v>
                </c:pt>
                <c:pt idx="1175">
                  <c:v>4.0000001939921761</c:v>
                </c:pt>
                <c:pt idx="1176">
                  <c:v>4.0000001895763759</c:v>
                </c:pt>
                <c:pt idx="1177">
                  <c:v>4.0000001852610918</c:v>
                </c:pt>
                <c:pt idx="1178">
                  <c:v>4.0000001810440349</c:v>
                </c:pt>
                <c:pt idx="1179">
                  <c:v>4.0000001769229705</c:v>
                </c:pt>
                <c:pt idx="1180">
                  <c:v>4.0000001728957129</c:v>
                </c:pt>
                <c:pt idx="1181">
                  <c:v>4.0000001689601268</c:v>
                </c:pt>
                <c:pt idx="1182">
                  <c:v>4.0000001651141259</c:v>
                </c:pt>
                <c:pt idx="1183">
                  <c:v>4.0000001613556702</c:v>
                </c:pt>
                <c:pt idx="1184">
                  <c:v>4.0000001576827673</c:v>
                </c:pt>
                <c:pt idx="1185">
                  <c:v>4.0000001540934695</c:v>
                </c:pt>
                <c:pt idx="1186">
                  <c:v>4.0000001505858744</c:v>
                </c:pt>
                <c:pt idx="1187">
                  <c:v>4.0000001471581221</c:v>
                </c:pt>
                <c:pt idx="1188">
                  <c:v>4.0000001438083954</c:v>
                </c:pt>
                <c:pt idx="1189">
                  <c:v>4.000000140534917</c:v>
                </c:pt>
                <c:pt idx="1190">
                  <c:v>4.0000001373359524</c:v>
                </c:pt>
                <c:pt idx="1191">
                  <c:v>4.000000134209805</c:v>
                </c:pt>
                <c:pt idx="1192">
                  <c:v>4.0000001311548168</c:v>
                </c:pt>
                <c:pt idx="1193">
                  <c:v>4.0000001281693693</c:v>
                </c:pt>
                <c:pt idx="1194">
                  <c:v>4.0000001252518782</c:v>
                </c:pt>
                <c:pt idx="1195">
                  <c:v>4.0000001224007979</c:v>
                </c:pt>
                <c:pt idx="1196">
                  <c:v>4.000000119614616</c:v>
                </c:pt>
                <c:pt idx="1197">
                  <c:v>4.0000001168918553</c:v>
                </c:pt>
                <c:pt idx="1198">
                  <c:v>4.0000001142310726</c:v>
                </c:pt>
                <c:pt idx="1199">
                  <c:v>4.0000001116308557</c:v>
                </c:pt>
                <c:pt idx="1200">
                  <c:v>4.0000001090898278</c:v>
                </c:pt>
                <c:pt idx="1201">
                  <c:v>4.0000001066066408</c:v>
                </c:pt>
                <c:pt idx="1202">
                  <c:v>4.0000001041799775</c:v>
                </c:pt>
                <c:pt idx="1203">
                  <c:v>4.0000001018085518</c:v>
                </c:pt>
                <c:pt idx="1204">
                  <c:v>4.0000000994911069</c:v>
                </c:pt>
                <c:pt idx="1205">
                  <c:v>4.0000000972264127</c:v>
                </c:pt>
                <c:pt idx="1206">
                  <c:v>4.0000000950132693</c:v>
                </c:pt>
                <c:pt idx="1207">
                  <c:v>4.0000000928505042</c:v>
                </c:pt>
                <c:pt idx="1208">
                  <c:v>4.0000000907369682</c:v>
                </c:pt>
                <c:pt idx="1209">
                  <c:v>4.000000088671543</c:v>
                </c:pt>
                <c:pt idx="1210">
                  <c:v>4.0000000866531327</c:v>
                </c:pt>
                <c:pt idx="1211">
                  <c:v>4.0000000846806669</c:v>
                </c:pt>
                <c:pt idx="1212">
                  <c:v>4.0000000827530995</c:v>
                </c:pt>
                <c:pt idx="1213">
                  <c:v>4.0000000808694089</c:v>
                </c:pt>
                <c:pt idx="1214">
                  <c:v>4.000000079028597</c:v>
                </c:pt>
                <c:pt idx="1215">
                  <c:v>4.0000000772296866</c:v>
                </c:pt>
                <c:pt idx="1216">
                  <c:v>4.0000000754717249</c:v>
                </c:pt>
                <c:pt idx="1217">
                  <c:v>4.0000000737537782</c:v>
                </c:pt>
                <c:pt idx="1218">
                  <c:v>4.000000072074938</c:v>
                </c:pt>
                <c:pt idx="1219">
                  <c:v>4.0000000704343117</c:v>
                </c:pt>
                <c:pt idx="1220">
                  <c:v>4.0000000688310315</c:v>
                </c:pt>
                <c:pt idx="1221">
                  <c:v>4.0000000672642457</c:v>
                </c:pt>
                <c:pt idx="1222">
                  <c:v>4.0000000657331247</c:v>
                </c:pt>
                <c:pt idx="1223">
                  <c:v>4.0000000642368567</c:v>
                </c:pt>
                <c:pt idx="1224">
                  <c:v>4.0000000627746468</c:v>
                </c:pt>
                <c:pt idx="1225">
                  <c:v>4.0000000613457214</c:v>
                </c:pt>
                <c:pt idx="1226">
                  <c:v>4.0000000599493228</c:v>
                </c:pt>
                <c:pt idx="1227">
                  <c:v>4.0000000585847095</c:v>
                </c:pt>
                <c:pt idx="1228">
                  <c:v>4.0000000572511594</c:v>
                </c:pt>
                <c:pt idx="1229">
                  <c:v>4.0000000559479636</c:v>
                </c:pt>
                <c:pt idx="1230">
                  <c:v>4.0000000546744321</c:v>
                </c:pt>
                <c:pt idx="1231">
                  <c:v>4.0000000534298907</c:v>
                </c:pt>
                <c:pt idx="1232">
                  <c:v>4.0000000522136778</c:v>
                </c:pt>
                <c:pt idx="1233">
                  <c:v>4.0000000510251494</c:v>
                </c:pt>
                <c:pt idx="1234">
                  <c:v>4.000000049863675</c:v>
                </c:pt>
                <c:pt idx="1235">
                  <c:v>4.0000000487286398</c:v>
                </c:pt>
                <c:pt idx="1236">
                  <c:v>4.0000000476194408</c:v>
                </c:pt>
                <c:pt idx="1237">
                  <c:v>4.0000000465354892</c:v>
                </c:pt>
                <c:pt idx="1238">
                  <c:v>4.000000045476213</c:v>
                </c:pt>
                <c:pt idx="1239">
                  <c:v>4.0000000444410482</c:v>
                </c:pt>
                <c:pt idx="1240">
                  <c:v>4.0000000434294458</c:v>
                </c:pt>
                <c:pt idx="1241">
                  <c:v>4.0000000424408713</c:v>
                </c:pt>
                <c:pt idx="1242">
                  <c:v>4.0000000414747987</c:v>
                </c:pt>
                <c:pt idx="1243">
                  <c:v>4.0000000405307174</c:v>
                </c:pt>
                <c:pt idx="1244">
                  <c:v>4.0000000396081257</c:v>
                </c:pt>
                <c:pt idx="1245">
                  <c:v>4.0000000387065349</c:v>
                </c:pt>
                <c:pt idx="1246">
                  <c:v>4.0000000378254663</c:v>
                </c:pt>
                <c:pt idx="1247">
                  <c:v>4.0000000369644537</c:v>
                </c:pt>
                <c:pt idx="1248">
                  <c:v>4.0000000361230397</c:v>
                </c:pt>
                <c:pt idx="1249">
                  <c:v>4.0000000353007792</c:v>
                </c:pt>
                <c:pt idx="1250">
                  <c:v>4.0000000344972353</c:v>
                </c:pt>
                <c:pt idx="1251">
                  <c:v>4.0000000337119825</c:v>
                </c:pt>
                <c:pt idx="1252">
                  <c:v>4.0000000329446044</c:v>
                </c:pt>
                <c:pt idx="1253">
                  <c:v>4.0000000321946931</c:v>
                </c:pt>
                <c:pt idx="1254">
                  <c:v>4.0000000314618527</c:v>
                </c:pt>
                <c:pt idx="1255">
                  <c:v>4.000000030745694</c:v>
                </c:pt>
                <c:pt idx="1256">
                  <c:v>4.000000030045836</c:v>
                </c:pt>
                <c:pt idx="1257">
                  <c:v>4.0000000293619093</c:v>
                </c:pt>
                <c:pt idx="1258">
                  <c:v>4.0000000286935506</c:v>
                </c:pt>
                <c:pt idx="1259">
                  <c:v>4.0000000280404064</c:v>
                </c:pt>
                <c:pt idx="1260">
                  <c:v>4.0000000274021286</c:v>
                </c:pt>
                <c:pt idx="1261">
                  <c:v>4.0000000267783795</c:v>
                </c:pt>
                <c:pt idx="1262">
                  <c:v>4.0000000261688298</c:v>
                </c:pt>
                <c:pt idx="1263">
                  <c:v>4.0000000255731543</c:v>
                </c:pt>
                <c:pt idx="1264">
                  <c:v>4.0000000249910386</c:v>
                </c:pt>
                <c:pt idx="1265">
                  <c:v>4.0000000244221727</c:v>
                </c:pt>
                <c:pt idx="1266">
                  <c:v>4.0000000238662565</c:v>
                </c:pt>
                <c:pt idx="1267">
                  <c:v>4.0000000233229942</c:v>
                </c:pt>
                <c:pt idx="1268">
                  <c:v>4.000000022792098</c:v>
                </c:pt>
                <c:pt idx="1269">
                  <c:v>4.0000000222732863</c:v>
                </c:pt>
                <c:pt idx="1270">
                  <c:v>4.0000000217662848</c:v>
                </c:pt>
                <c:pt idx="1271">
                  <c:v>4.0000000212708233</c:v>
                </c:pt>
                <c:pt idx="1272">
                  <c:v>4.00000002078664</c:v>
                </c:pt>
                <c:pt idx="1273">
                  <c:v>4.0000000203134789</c:v>
                </c:pt>
                <c:pt idx="1274">
                  <c:v>4.000000019851087</c:v>
                </c:pt>
                <c:pt idx="1275">
                  <c:v>4.0000000193992218</c:v>
                </c:pt>
                <c:pt idx="1276">
                  <c:v>4.0000000189576417</c:v>
                </c:pt>
                <c:pt idx="1277">
                  <c:v>4.0000000185261131</c:v>
                </c:pt>
                <c:pt idx="1278">
                  <c:v>4.0000000181044069</c:v>
                </c:pt>
                <c:pt idx="1279">
                  <c:v>4.0000000176923001</c:v>
                </c:pt>
                <c:pt idx="1280">
                  <c:v>4.0000000172895742</c:v>
                </c:pt>
                <c:pt idx="1281">
                  <c:v>4.0000000168960153</c:v>
                </c:pt>
                <c:pt idx="1282">
                  <c:v>4.0000000165114153</c:v>
                </c:pt>
                <c:pt idx="1283">
                  <c:v>4.0000000161355693</c:v>
                </c:pt>
                <c:pt idx="1284">
                  <c:v>4.0000000157682791</c:v>
                </c:pt>
                <c:pt idx="1285">
                  <c:v>4.0000000154093494</c:v>
                </c:pt>
                <c:pt idx="1286">
                  <c:v>4.0000000150585899</c:v>
                </c:pt>
                <c:pt idx="1287">
                  <c:v>4.0000000147158143</c:v>
                </c:pt>
                <c:pt idx="1288">
                  <c:v>4.0000000143808414</c:v>
                </c:pt>
                <c:pt idx="1289">
                  <c:v>4.0000000140534935</c:v>
                </c:pt>
                <c:pt idx="1290">
                  <c:v>4.0000000137335974</c:v>
                </c:pt>
                <c:pt idx="1291">
                  <c:v>4.0000000134209825</c:v>
                </c:pt>
                <c:pt idx="1292">
                  <c:v>4.0000000131154838</c:v>
                </c:pt>
                <c:pt idx="1293">
                  <c:v>4.0000000128169386</c:v>
                </c:pt>
                <c:pt idx="1294">
                  <c:v>4.0000000125251898</c:v>
                </c:pt>
                <c:pt idx="1295">
                  <c:v>4.0000000122400809</c:v>
                </c:pt>
                <c:pt idx="1296">
                  <c:v>4.0000000119614629</c:v>
                </c:pt>
                <c:pt idx="1297">
                  <c:v>4.0000000116891865</c:v>
                </c:pt>
                <c:pt idx="1298">
                  <c:v>4.0000000114231087</c:v>
                </c:pt>
                <c:pt idx="1299">
                  <c:v>4.0000000111630865</c:v>
                </c:pt>
                <c:pt idx="1300">
                  <c:v>4.0000000109089839</c:v>
                </c:pt>
                <c:pt idx="1301">
                  <c:v>4.0000000106606652</c:v>
                </c:pt>
                <c:pt idx="1302">
                  <c:v>4.0000000104179989</c:v>
                </c:pt>
                <c:pt idx="1303">
                  <c:v>4.0000000101808562</c:v>
                </c:pt>
                <c:pt idx="1304">
                  <c:v>4.0000000099491118</c:v>
                </c:pt>
                <c:pt idx="1305">
                  <c:v>4.0000000097226422</c:v>
                </c:pt>
                <c:pt idx="1306">
                  <c:v>4.0000000095013277</c:v>
                </c:pt>
                <c:pt idx="1307">
                  <c:v>4.000000009285051</c:v>
                </c:pt>
                <c:pt idx="1308">
                  <c:v>4.0000000090736973</c:v>
                </c:pt>
                <c:pt idx="1309">
                  <c:v>4.000000008867155</c:v>
                </c:pt>
                <c:pt idx="1310">
                  <c:v>4.0000000086653138</c:v>
                </c:pt>
                <c:pt idx="1311">
                  <c:v>4.0000000084680671</c:v>
                </c:pt>
                <c:pt idx="1312">
                  <c:v>4.0000000082753102</c:v>
                </c:pt>
                <c:pt idx="1313">
                  <c:v>4.0000000080869418</c:v>
                </c:pt>
                <c:pt idx="1314">
                  <c:v>4.0000000079028606</c:v>
                </c:pt>
                <c:pt idx="1315">
                  <c:v>4.0000000077229689</c:v>
                </c:pt>
                <c:pt idx="1316">
                  <c:v>4.0000000075471727</c:v>
                </c:pt>
                <c:pt idx="1317">
                  <c:v>4.0000000073753785</c:v>
                </c:pt>
                <c:pt idx="1318">
                  <c:v>4.0000000072074942</c:v>
                </c:pt>
                <c:pt idx="1319">
                  <c:v>4.0000000070434316</c:v>
                </c:pt>
                <c:pt idx="1320">
                  <c:v>4.0000000068831039</c:v>
                </c:pt>
                <c:pt idx="1321">
                  <c:v>4.0000000067264248</c:v>
                </c:pt>
                <c:pt idx="1322">
                  <c:v>4.0000000065733126</c:v>
                </c:pt>
                <c:pt idx="1323">
                  <c:v>4.0000000064236865</c:v>
                </c:pt>
                <c:pt idx="1324">
                  <c:v>4.0000000062774648</c:v>
                </c:pt>
                <c:pt idx="1325">
                  <c:v>4.0000000061345728</c:v>
                </c:pt>
                <c:pt idx="1326">
                  <c:v>4.0000000059949326</c:v>
                </c:pt>
                <c:pt idx="1327">
                  <c:v>4.000000005858471</c:v>
                </c:pt>
                <c:pt idx="1328">
                  <c:v>4.0000000057251164</c:v>
                </c:pt>
                <c:pt idx="1329">
                  <c:v>4.0000000055947966</c:v>
                </c:pt>
                <c:pt idx="1330">
                  <c:v>4.0000000054674434</c:v>
                </c:pt>
                <c:pt idx="1331">
                  <c:v>4.0000000053429892</c:v>
                </c:pt>
                <c:pt idx="1332">
                  <c:v>4.0000000052213682</c:v>
                </c:pt>
                <c:pt idx="1333">
                  <c:v>4.0000000051025149</c:v>
                </c:pt>
                <c:pt idx="1334">
                  <c:v>4.0000000049863678</c:v>
                </c:pt>
                <c:pt idx="1335">
                  <c:v>4.0000000048728639</c:v>
                </c:pt>
                <c:pt idx="1336">
                  <c:v>4.0000000047619446</c:v>
                </c:pt>
                <c:pt idx="1337">
                  <c:v>4.0000000046535495</c:v>
                </c:pt>
                <c:pt idx="1338">
                  <c:v>4.0000000045476218</c:v>
                </c:pt>
                <c:pt idx="1339">
                  <c:v>4.0000000044441046</c:v>
                </c:pt>
                <c:pt idx="1340">
                  <c:v>4.0000000043429447</c:v>
                </c:pt>
                <c:pt idx="1341">
                  <c:v>4.0000000042440869</c:v>
                </c:pt>
                <c:pt idx="1342">
                  <c:v>4.0000000041474797</c:v>
                </c:pt>
                <c:pt idx="1343">
                  <c:v>4.0000000040530717</c:v>
                </c:pt>
                <c:pt idx="1344">
                  <c:v>4.000000003960813</c:v>
                </c:pt>
                <c:pt idx="1345">
                  <c:v>4.000000003870654</c:v>
                </c:pt>
                <c:pt idx="1346">
                  <c:v>4.0000000037825467</c:v>
                </c:pt>
                <c:pt idx="1347">
                  <c:v>4.0000000036964458</c:v>
                </c:pt>
                <c:pt idx="1348">
                  <c:v>4.0000000036123042</c:v>
                </c:pt>
                <c:pt idx="1349">
                  <c:v>4.0000000035300785</c:v>
                </c:pt>
                <c:pt idx="1350">
                  <c:v>4.0000000034497232</c:v>
                </c:pt>
                <c:pt idx="1351">
                  <c:v>4.0000000033711984</c:v>
                </c:pt>
                <c:pt idx="1352">
                  <c:v>4.0000000032944607</c:v>
                </c:pt>
                <c:pt idx="1353">
                  <c:v>4.0000000032194691</c:v>
                </c:pt>
                <c:pt idx="1354">
                  <c:v>4.0000000031461855</c:v>
                </c:pt>
                <c:pt idx="1355">
                  <c:v>4.000000003074569</c:v>
                </c:pt>
                <c:pt idx="1356">
                  <c:v>4.0000000030045841</c:v>
                </c:pt>
                <c:pt idx="1357">
                  <c:v>4.0000000029361908</c:v>
                </c:pt>
                <c:pt idx="1358">
                  <c:v>4.0000000028693554</c:v>
                </c:pt>
                <c:pt idx="1359">
                  <c:v>4.0000000028040406</c:v>
                </c:pt>
                <c:pt idx="1360">
                  <c:v>4.0000000027402125</c:v>
                </c:pt>
                <c:pt idx="1361">
                  <c:v>4.0000000026778384</c:v>
                </c:pt>
                <c:pt idx="1362">
                  <c:v>4.0000000026168827</c:v>
                </c:pt>
                <c:pt idx="1363">
                  <c:v>4.0000000025573152</c:v>
                </c:pt>
                <c:pt idx="1364">
                  <c:v>4.000000002499104</c:v>
                </c:pt>
                <c:pt idx="1365">
                  <c:v>4.0000000024422171</c:v>
                </c:pt>
                <c:pt idx="1366">
                  <c:v>4.000000002386626</c:v>
                </c:pt>
                <c:pt idx="1367">
                  <c:v>4.0000000023322997</c:v>
                </c:pt>
                <c:pt idx="1368">
                  <c:v>4.0000000022792097</c:v>
                </c:pt>
                <c:pt idx="1369">
                  <c:v>4.0000000022273285</c:v>
                </c:pt>
                <c:pt idx="1370">
                  <c:v>4.0000000021766287</c:v>
                </c:pt>
                <c:pt idx="1371">
                  <c:v>4.0000000021270825</c:v>
                </c:pt>
                <c:pt idx="1372">
                  <c:v>4.0000000020786644</c:v>
                </c:pt>
                <c:pt idx="1373">
                  <c:v>4.0000000020313475</c:v>
                </c:pt>
                <c:pt idx="1374">
                  <c:v>4.000000001985109</c:v>
                </c:pt>
                <c:pt idx="1375">
                  <c:v>4.000000001939922</c:v>
                </c:pt>
                <c:pt idx="1376">
                  <c:v>4.0000000018957644</c:v>
                </c:pt>
                <c:pt idx="1377">
                  <c:v>4.0000000018526114</c:v>
                </c:pt>
                <c:pt idx="1378">
                  <c:v>4.0000000018104407</c:v>
                </c:pt>
                <c:pt idx="1379">
                  <c:v>4.0000000017692301</c:v>
                </c:pt>
                <c:pt idx="1380">
                  <c:v>4.0000000017289574</c:v>
                </c:pt>
                <c:pt idx="1381">
                  <c:v>4.0000000016896013</c:v>
                </c:pt>
                <c:pt idx="1382">
                  <c:v>4.0000000016511414</c:v>
                </c:pt>
                <c:pt idx="1383">
                  <c:v>4.0000000016135573</c:v>
                </c:pt>
                <c:pt idx="1384">
                  <c:v>4.0000000015768276</c:v>
                </c:pt>
                <c:pt idx="1385">
                  <c:v>4.0000000015409345</c:v>
                </c:pt>
                <c:pt idx="1386">
                  <c:v>4.0000000015058594</c:v>
                </c:pt>
                <c:pt idx="1387">
                  <c:v>4.0000000014715811</c:v>
                </c:pt>
                <c:pt idx="1388">
                  <c:v>4.0000000014380843</c:v>
                </c:pt>
                <c:pt idx="1389">
                  <c:v>4.0000000014053496</c:v>
                </c:pt>
                <c:pt idx="1390">
                  <c:v>4.0000000013733601</c:v>
                </c:pt>
                <c:pt idx="1391">
                  <c:v>4.000000001342098</c:v>
                </c:pt>
                <c:pt idx="1392">
                  <c:v>4.0000000013115482</c:v>
                </c:pt>
                <c:pt idx="1393">
                  <c:v>4.0000000012816939</c:v>
                </c:pt>
                <c:pt idx="1394">
                  <c:v>4.000000001252519</c:v>
                </c:pt>
                <c:pt idx="1395">
                  <c:v>4.0000000012240085</c:v>
                </c:pt>
                <c:pt idx="1396">
                  <c:v>4.0000000011961463</c:v>
                </c:pt>
                <c:pt idx="1397">
                  <c:v>4.0000000011689183</c:v>
                </c:pt>
                <c:pt idx="1398">
                  <c:v>4.0000000011423111</c:v>
                </c:pt>
                <c:pt idx="1399">
                  <c:v>4.0000000011163088</c:v>
                </c:pt>
                <c:pt idx="1400">
                  <c:v>4.000000001090898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C-488A-94B1-F22618A56F75}"/>
            </c:ext>
          </c:extLst>
        </c:ser>
        <c:ser>
          <c:idx val="4"/>
          <c:order val="4"/>
          <c:tx>
            <c:strRef>
              <c:f>'Bjerrum Plot'!$C$2</c:f>
              <c:strCache>
                <c:ptCount val="1"/>
                <c:pt idx="0">
                  <c:v>Equivalency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'Bjerrum Plot'!$D$3</c:f>
              <c:numCache>
                <c:formatCode>General</c:formatCode>
                <c:ptCount val="1"/>
                <c:pt idx="0">
                  <c:v>4.74</c:v>
                </c:pt>
              </c:numCache>
            </c:numRef>
          </c:xVal>
          <c:yVal>
            <c:numRef>
              <c:f>'Bjerrum Plot'!$D$6</c:f>
              <c:numCache>
                <c:formatCode>General</c:formatCode>
                <c:ptCount val="1"/>
                <c:pt idx="0">
                  <c:v>4.7459239514239764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C-488A-94B1-F22618A56F75}"/>
            </c:ext>
          </c:extLst>
        </c:ser>
        <c:ser>
          <c:idx val="5"/>
          <c:order val="5"/>
          <c:tx>
            <c:strRef>
              <c:f>'Bjerrum Plot'!$E$2</c:f>
              <c:strCache>
                <c:ptCount val="1"/>
                <c:pt idx="0">
                  <c:v>Equivalency 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'Bjerrum Plot'!$F$3</c:f>
              <c:numCache>
                <c:formatCode>General</c:formatCode>
                <c:ptCount val="1"/>
                <c:pt idx="0">
                  <c:v>7.7</c:v>
                </c:pt>
              </c:numCache>
            </c:numRef>
          </c:xVal>
          <c:yVal>
            <c:numRef>
              <c:f>'Bjerrum Plot'!$F$5</c:f>
              <c:numCache>
                <c:formatCode>General</c:formatCode>
                <c:ptCount val="1"/>
                <c:pt idx="0">
                  <c:v>6.3021711921641455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CC-488A-94B1-F22618A56F75}"/>
            </c:ext>
          </c:extLst>
        </c:ser>
        <c:ser>
          <c:idx val="6"/>
          <c:order val="6"/>
          <c:tx>
            <c:strRef>
              <c:f>'Bjerrum Plot'!$G$2</c:f>
              <c:strCache>
                <c:ptCount val="1"/>
                <c:pt idx="0">
                  <c:v>System Point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'Bjerrum Plot'!$H$3</c:f>
              <c:numCache>
                <c:formatCode>General</c:formatCode>
                <c:ptCount val="1"/>
                <c:pt idx="0">
                  <c:v>5.4</c:v>
                </c:pt>
              </c:numCache>
            </c:numRef>
          </c:xVal>
          <c:yVal>
            <c:numRef>
              <c:f>'Bjerrum Plot'!$H$5</c:f>
              <c:numCache>
                <c:formatCode>General</c:formatCode>
                <c:ptCount val="1"/>
                <c:pt idx="0">
                  <c:v>4.3010299956639813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C-488A-94B1-F22618A5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92688"/>
        <c:axId val="177670464"/>
      </c:scatterChart>
      <c:valAx>
        <c:axId val="261392688"/>
        <c:scaling>
          <c:orientation val="minMax"/>
          <c:max val="14"/>
          <c:min val="0"/>
        </c:scaling>
        <c:delete val="0"/>
        <c:axPos val="t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0.51836411483130596"/>
              <c:y val="0.97004830917874396"/>
            </c:manualLayout>
          </c:layout>
          <c:overlay val="0"/>
        </c:title>
        <c:numFmt formatCode="General" sourceLinked="1"/>
        <c:majorTickMark val="in"/>
        <c:minorTickMark val="none"/>
        <c:tickLblPos val="high"/>
        <c:crossAx val="177670464"/>
        <c:crossesAt val="14"/>
        <c:crossBetween val="midCat"/>
        <c:majorUnit val="2"/>
        <c:minorUnit val="0.2"/>
      </c:valAx>
      <c:valAx>
        <c:axId val="177670464"/>
        <c:scaling>
          <c:orientation val="maxMin"/>
          <c:max val="14"/>
        </c:scaling>
        <c:delete val="0"/>
        <c:axPos val="l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392688"/>
        <c:crosses val="autoZero"/>
        <c:crossBetween val="midCat"/>
        <c:minorUnit val="0.2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285750</xdr:colOff>
      <xdr:row>25</xdr:row>
      <xdr:rowOff>66675</xdr:rowOff>
    </xdr:from>
    <xdr:to>
      <xdr:col>38</xdr:col>
      <xdr:colOff>685800</xdr:colOff>
      <xdr:row>62</xdr:row>
      <xdr:rowOff>57150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523875</xdr:colOff>
      <xdr:row>23</xdr:row>
      <xdr:rowOff>104775</xdr:rowOff>
    </xdr:from>
    <xdr:to>
      <xdr:col>8</xdr:col>
      <xdr:colOff>542925</xdr:colOff>
      <xdr:row>37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773151</xdr:colOff>
      <xdr:row>10</xdr:row>
      <xdr:rowOff>31219</xdr:rowOff>
    </xdr:from>
    <xdr:to>
      <xdr:col>11</xdr:col>
      <xdr:colOff>955368</xdr:colOff>
      <xdr:row>40</xdr:row>
      <xdr:rowOff>172022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/Dropbox/Pinal%20Creek%20Project/Peter_Flow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eter_Flowpath"/>
      <sheetName val="Modeling (2)"/>
      <sheetName val="Modeling"/>
      <sheetName val="Peter_Flowpath with models"/>
      <sheetName val="Stiff Plot"/>
      <sheetName val="Piper Plot"/>
      <sheetName val="log i"/>
      <sheetName val="log i -log Cl"/>
      <sheetName val="log i -log Cl no 202"/>
      <sheetName val="Na Cl"/>
      <sheetName val="Ca+Mg HCO3"/>
      <sheetName val="Ca SO4"/>
      <sheetName val="Na Si"/>
      <sheetName val="Na+Al Si"/>
      <sheetName val="Rati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31"/>
  <sheetViews>
    <sheetView workbookViewId="0">
      <pane xSplit="3" ySplit="2" topLeftCell="DS110" activePane="bottomRight" state="frozenSplit"/>
      <selection pane="topRight" activeCell="B1" sqref="B1"/>
      <selection pane="bottomLeft" activeCell="A2" sqref="A2"/>
      <selection pane="bottomRight" activeCell="DS131" sqref="DS131"/>
    </sheetView>
  </sheetViews>
  <sheetFormatPr defaultRowHeight="15" outlineLevelCol="2" x14ac:dyDescent="0.25"/>
  <cols>
    <col min="1" max="1" width="11" style="4" bestFit="1" customWidth="1"/>
    <col min="2" max="3" width="10.7109375" style="4" bestFit="1" customWidth="1"/>
    <col min="4" max="4" width="8.42578125" style="4" bestFit="1" customWidth="1"/>
    <col min="5" max="5" width="7.140625" style="4" bestFit="1" customWidth="1"/>
    <col min="6" max="6" width="8.140625" style="4" customWidth="1"/>
    <col min="7" max="7" width="6" style="4" bestFit="1" customWidth="1"/>
    <col min="8" max="8" width="8.42578125" style="4" bestFit="1" customWidth="1"/>
    <col min="9" max="9" width="12" style="4" hidden="1" customWidth="1" outlineLevel="1"/>
    <col min="10" max="10" width="10.42578125" style="4" hidden="1" customWidth="1" outlineLevel="1"/>
    <col min="11" max="11" width="11" style="4" hidden="1" customWidth="1" outlineLevel="1"/>
    <col min="12" max="12" width="8" style="4" hidden="1" customWidth="1" outlineLevel="1"/>
    <col min="13" max="15" width="12" style="4" hidden="1" customWidth="1" outlineLevel="1"/>
    <col min="16" max="16" width="8" style="4" hidden="1" customWidth="1" outlineLevel="1"/>
    <col min="17" max="17" width="12.7109375" style="4" hidden="1" customWidth="1" outlineLevel="1"/>
    <col min="18" max="18" width="8" style="4" hidden="1" customWidth="1" outlineLevel="1"/>
    <col min="19" max="19" width="12.7109375" style="4" hidden="1" customWidth="1" outlineLevel="1"/>
    <col min="20" max="20" width="8" style="4" hidden="1" customWidth="1" outlineLevel="1"/>
    <col min="21" max="21" width="12.7109375" style="4" hidden="1" customWidth="1" outlineLevel="1"/>
    <col min="22" max="22" width="8" style="4" hidden="1" customWidth="1" outlineLevel="1"/>
    <col min="23" max="23" width="3.28515625" style="4" hidden="1" customWidth="1" outlineLevel="1"/>
    <col min="24" max="24" width="8" style="4" hidden="1" customWidth="1" outlineLevel="1"/>
    <col min="25" max="25" width="3.28515625" style="4" hidden="1" customWidth="1" outlineLevel="1"/>
    <col min="26" max="26" width="8" style="4" hidden="1" customWidth="1" outlineLevel="1"/>
    <col min="27" max="27" width="3.28515625" style="4" hidden="1" customWidth="1" outlineLevel="1"/>
    <col min="28" max="28" width="8" style="4" hidden="1" customWidth="1" outlineLevel="1"/>
    <col min="29" max="29" width="6.5703125" style="4" bestFit="1" customWidth="1" collapsed="1"/>
    <col min="30" max="32" width="12" style="4" customWidth="1" outlineLevel="2"/>
    <col min="33" max="33" width="2.28515625" style="4" customWidth="1" outlineLevel="1"/>
    <col min="34" max="36" width="12" style="4" customWidth="1" outlineLevel="2"/>
    <col min="37" max="37" width="18" style="4" customWidth="1" outlineLevel="2"/>
    <col min="38" max="38" width="18.85546875" style="4" customWidth="1" outlineLevel="2"/>
    <col min="39" max="39" width="9.42578125" style="4" customWidth="1" outlineLevel="1"/>
    <col min="40" max="40" width="12.140625" style="4" customWidth="1" outlineLevel="2"/>
    <col min="41" max="42" width="12" style="4" customWidth="1" outlineLevel="2"/>
    <col min="43" max="43" width="12.7109375" style="4" customWidth="1" outlineLevel="1"/>
    <col min="44" max="44" width="3.85546875" style="4" bestFit="1" customWidth="1"/>
    <col min="45" max="45" width="10.7109375" style="4" customWidth="1"/>
    <col min="46" max="46" width="11.28515625" style="4" customWidth="1"/>
    <col min="47" max="47" width="12" style="4" customWidth="1" outlineLevel="1"/>
    <col min="48" max="48" width="11" style="4" customWidth="1" outlineLevel="1"/>
    <col min="49" max="50" width="9" style="4" customWidth="1" outlineLevel="1"/>
    <col min="51" max="51" width="12" style="4" customWidth="1" outlineLevel="1"/>
    <col min="52" max="53" width="10" style="4" customWidth="1" outlineLevel="1"/>
    <col min="54" max="54" width="9" style="4" customWidth="1" outlineLevel="1"/>
    <col min="55" max="55" width="12" style="4" customWidth="1" outlineLevel="1" collapsed="1"/>
    <col min="56" max="56" width="9" style="4" customWidth="1" outlineLevel="1"/>
    <col min="57" max="57" width="11" style="4" customWidth="1" outlineLevel="1"/>
    <col min="58" max="58" width="5.85546875" style="4" customWidth="1" outlineLevel="1"/>
    <col min="59" max="59" width="5.7109375" style="4" customWidth="1" outlineLevel="1"/>
    <col min="60" max="60" width="5.5703125" style="4" customWidth="1" outlineLevel="1"/>
    <col min="61" max="61" width="4.42578125" style="4" customWidth="1" outlineLevel="1"/>
    <col min="62" max="63" width="12" style="4" customWidth="1" outlineLevel="1"/>
    <col min="64" max="64" width="4.28515625" style="4" customWidth="1" outlineLevel="1"/>
    <col min="65" max="65" width="12" style="4" customWidth="1" outlineLevel="1"/>
    <col min="66" max="66" width="6.28515625" style="4" customWidth="1" outlineLevel="1"/>
    <col min="67" max="68" width="12" style="4" customWidth="1" outlineLevel="1"/>
    <col min="69" max="69" width="5.5703125" style="4" customWidth="1" outlineLevel="1"/>
    <col min="70" max="70" width="5" style="4" bestFit="1" customWidth="1"/>
    <col min="71" max="82" width="12" style="4" customWidth="1" outlineLevel="1"/>
    <col min="83" max="83" width="5.7109375" style="4" customWidth="1" outlineLevel="1"/>
    <col min="84" max="84" width="5.5703125" style="4" customWidth="1" outlineLevel="1"/>
    <col min="85" max="85" width="4.42578125" style="4" customWidth="1" outlineLevel="1"/>
    <col min="86" max="87" width="12" style="4" customWidth="1" outlineLevel="1"/>
    <col min="88" max="88" width="4.28515625" style="4" customWidth="1" outlineLevel="1"/>
    <col min="89" max="89" width="12" style="4" customWidth="1" outlineLevel="1"/>
    <col min="90" max="90" width="6.28515625" style="4" customWidth="1" outlineLevel="1"/>
    <col min="91" max="92" width="12" style="4" customWidth="1" outlineLevel="1"/>
    <col min="93" max="93" width="5.5703125" style="4" customWidth="1" outlineLevel="1"/>
    <col min="94" max="94" width="7.85546875" style="4" bestFit="1" customWidth="1"/>
    <col min="95" max="106" width="12" style="4" customWidth="1" outlineLevel="1"/>
    <col min="107" max="107" width="5.7109375" style="4" customWidth="1" outlineLevel="1"/>
    <col min="108" max="108" width="5.5703125" style="4" customWidth="1" outlineLevel="1"/>
    <col min="109" max="109" width="4.42578125" style="4" customWidth="1" outlineLevel="1"/>
    <col min="110" max="111" width="12" style="4" customWidth="1" outlineLevel="1"/>
    <col min="112" max="112" width="2.5703125" style="4" customWidth="1" outlineLevel="1"/>
    <col min="113" max="113" width="12" style="4" customWidth="1" outlineLevel="1"/>
    <col min="114" max="114" width="6.28515625" style="4" customWidth="1" outlineLevel="1"/>
    <col min="115" max="116" width="12" style="4" customWidth="1" outlineLevel="1"/>
    <col min="117" max="117" width="5.5703125" style="4" customWidth="1" outlineLevel="1"/>
    <col min="118" max="118" width="6.140625" style="4" bestFit="1" customWidth="1"/>
    <col min="119" max="122" width="12" style="4" customWidth="1" outlineLevel="1"/>
    <col min="123" max="126" width="12.7109375" style="4" customWidth="1" outlineLevel="1"/>
    <col min="127" max="130" width="12" style="4" customWidth="1" outlineLevel="1"/>
    <col min="131" max="131" width="5.7109375" style="4" customWidth="1" outlineLevel="1"/>
    <col min="132" max="132" width="12.7109375" style="4" customWidth="1" outlineLevel="1"/>
    <col min="133" max="133" width="6.28515625" style="4" customWidth="1" outlineLevel="1"/>
    <col min="134" max="135" width="12.7109375" style="4" customWidth="1" outlineLevel="1"/>
    <col min="136" max="136" width="5.5703125" style="4" customWidth="1" outlineLevel="1"/>
    <col min="137" max="137" width="5" style="4" bestFit="1" customWidth="1"/>
    <col min="138" max="138" width="12" style="4" hidden="1" customWidth="1" outlineLevel="1"/>
    <col min="139" max="139" width="12.7109375" style="4" hidden="1" customWidth="1" outlineLevel="1"/>
    <col min="140" max="140" width="12.7109375" style="4" bestFit="1" customWidth="1" collapsed="1"/>
    <col min="141" max="141" width="13.42578125" style="4" bestFit="1" customWidth="1"/>
    <col min="142" max="146" width="12.7109375" style="4" hidden="1" customWidth="1" outlineLevel="1"/>
    <col min="147" max="147" width="2.5703125" style="4" bestFit="1" customWidth="1" collapsed="1"/>
    <col min="148" max="158" width="12" style="4" hidden="1" customWidth="1" outlineLevel="2"/>
    <col min="159" max="159" width="2.5703125" style="4" customWidth="1" outlineLevel="1" collapsed="1"/>
    <col min="160" max="170" width="12" style="4" hidden="1" customWidth="1" outlineLevel="2"/>
    <col min="171" max="171" width="4.42578125" style="4" customWidth="1" outlineLevel="1" collapsed="1"/>
    <col min="172" max="176" width="12.7109375" style="4" customWidth="1" outlineLevel="2"/>
    <col min="177" max="177" width="2.5703125" style="4" customWidth="1" outlineLevel="1"/>
    <col min="178" max="182" width="12.7109375" style="4" customWidth="1" outlineLevel="2"/>
    <col min="183" max="183" width="5" style="4" customWidth="1" outlineLevel="1"/>
    <col min="184" max="184" width="11" style="4" bestFit="1" customWidth="1"/>
    <col min="185" max="195" width="12" style="4" hidden="1" customWidth="1" outlineLevel="2"/>
    <col min="196" max="196" width="2.5703125" style="4" customWidth="1" outlineLevel="1" collapsed="1"/>
    <col min="197" max="207" width="12" style="4" hidden="1" customWidth="1" outlineLevel="2"/>
    <col min="208" max="208" width="4.42578125" style="4" customWidth="1" outlineLevel="1" collapsed="1"/>
    <col min="209" max="213" width="12.7109375" style="4" customWidth="1" outlineLevel="2"/>
    <col min="214" max="214" width="2.5703125" style="4" customWidth="1" outlineLevel="1"/>
    <col min="215" max="219" width="12.7109375" style="4" customWidth="1" outlineLevel="2"/>
    <col min="220" max="220" width="5" style="4" customWidth="1" outlineLevel="1"/>
    <col min="221" max="221" width="22.42578125" style="4" bestFit="1" customWidth="1"/>
    <col min="222" max="16384" width="9.140625" style="4"/>
  </cols>
  <sheetData>
    <row r="1" spans="1:221" s="205" customFormat="1" x14ac:dyDescent="0.25">
      <c r="A1" s="295" t="s">
        <v>9</v>
      </c>
      <c r="B1" s="295"/>
      <c r="C1" s="295"/>
      <c r="D1" s="295" t="s">
        <v>10</v>
      </c>
      <c r="E1" s="295"/>
      <c r="F1" s="295"/>
      <c r="G1" s="295"/>
      <c r="H1" s="295"/>
      <c r="I1" s="296" t="s">
        <v>332</v>
      </c>
      <c r="J1" s="297"/>
      <c r="K1" s="296" t="s">
        <v>323</v>
      </c>
      <c r="L1" s="298"/>
      <c r="M1" s="296" t="s">
        <v>39</v>
      </c>
      <c r="N1" s="298"/>
      <c r="O1" s="296" t="s">
        <v>324</v>
      </c>
      <c r="P1" s="298"/>
      <c r="Q1" s="296" t="s">
        <v>325</v>
      </c>
      <c r="R1" s="298"/>
      <c r="S1" s="296" t="s">
        <v>326</v>
      </c>
      <c r="T1" s="298"/>
      <c r="U1" s="296" t="s">
        <v>327</v>
      </c>
      <c r="V1" s="298"/>
      <c r="W1" s="296" t="s">
        <v>328</v>
      </c>
      <c r="X1" s="298"/>
      <c r="Y1" s="296" t="s">
        <v>329</v>
      </c>
      <c r="Z1" s="298"/>
      <c r="AA1" s="296" t="s">
        <v>330</v>
      </c>
      <c r="AB1" s="298"/>
      <c r="AC1" s="209" t="s">
        <v>322</v>
      </c>
      <c r="AD1" s="296" t="s">
        <v>221</v>
      </c>
      <c r="AE1" s="297"/>
      <c r="AF1" s="298"/>
      <c r="AG1" s="220" t="s">
        <v>291</v>
      </c>
      <c r="AH1" s="296" t="s">
        <v>240</v>
      </c>
      <c r="AI1" s="297"/>
      <c r="AJ1" s="299"/>
      <c r="AK1" s="297"/>
      <c r="AL1" s="297"/>
      <c r="AM1" s="203" t="s">
        <v>293</v>
      </c>
      <c r="AN1" s="296" t="s">
        <v>221</v>
      </c>
      <c r="AO1" s="297"/>
      <c r="AP1" s="298"/>
      <c r="AQ1" s="204" t="s">
        <v>292</v>
      </c>
      <c r="AR1" s="204" t="s">
        <v>290</v>
      </c>
      <c r="AS1" s="279" t="s">
        <v>377</v>
      </c>
      <c r="AT1" s="279" t="s">
        <v>375</v>
      </c>
      <c r="AU1" s="296" t="s">
        <v>13</v>
      </c>
      <c r="AV1" s="297"/>
      <c r="AW1" s="297"/>
      <c r="AX1" s="297"/>
      <c r="AY1" s="296" t="s">
        <v>14</v>
      </c>
      <c r="AZ1" s="297"/>
      <c r="BA1" s="297"/>
      <c r="BB1" s="298"/>
      <c r="BC1" s="295" t="s">
        <v>310</v>
      </c>
      <c r="BD1" s="295"/>
      <c r="BE1" s="295"/>
      <c r="BF1" s="295"/>
      <c r="BG1" s="295"/>
      <c r="BH1" s="295" t="s">
        <v>311</v>
      </c>
      <c r="BI1" s="295"/>
      <c r="BJ1" s="295"/>
      <c r="BK1" s="295"/>
      <c r="BL1" s="295"/>
      <c r="BM1" s="295" t="s">
        <v>312</v>
      </c>
      <c r="BN1" s="295"/>
      <c r="BO1" s="295"/>
      <c r="BP1" s="295"/>
      <c r="BQ1" s="295"/>
      <c r="BR1" s="204" t="s">
        <v>282</v>
      </c>
      <c r="BS1" s="295" t="s">
        <v>308</v>
      </c>
      <c r="BT1" s="295"/>
      <c r="BU1" s="295"/>
      <c r="BV1" s="296"/>
      <c r="BW1" s="295" t="s">
        <v>304</v>
      </c>
      <c r="BX1" s="295"/>
      <c r="BY1" s="295"/>
      <c r="BZ1" s="295"/>
      <c r="CA1" s="295" t="s">
        <v>320</v>
      </c>
      <c r="CB1" s="295"/>
      <c r="CC1" s="295"/>
      <c r="CD1" s="295"/>
      <c r="CE1" s="295"/>
      <c r="CF1" s="295" t="s">
        <v>319</v>
      </c>
      <c r="CG1" s="295"/>
      <c r="CH1" s="295"/>
      <c r="CI1" s="295" t="s">
        <v>318</v>
      </c>
      <c r="CJ1" s="295"/>
      <c r="CK1" s="295"/>
      <c r="CL1" s="295"/>
      <c r="CM1" s="295"/>
      <c r="CN1" s="295"/>
      <c r="CO1" s="295"/>
      <c r="CP1" s="204" t="s">
        <v>307</v>
      </c>
      <c r="CQ1" s="295" t="s">
        <v>306</v>
      </c>
      <c r="CR1" s="295"/>
      <c r="CS1" s="295"/>
      <c r="CT1" s="295"/>
      <c r="CU1" s="295" t="s">
        <v>305</v>
      </c>
      <c r="CV1" s="295"/>
      <c r="CW1" s="295"/>
      <c r="CX1" s="295"/>
      <c r="CY1" s="295" t="s">
        <v>313</v>
      </c>
      <c r="CZ1" s="295"/>
      <c r="DA1" s="295"/>
      <c r="DB1" s="295"/>
      <c r="DC1" s="295"/>
      <c r="DD1" s="295" t="s">
        <v>314</v>
      </c>
      <c r="DE1" s="295"/>
      <c r="DF1" s="295"/>
      <c r="DG1" s="295"/>
      <c r="DH1" s="295"/>
      <c r="DI1" s="295" t="s">
        <v>315</v>
      </c>
      <c r="DJ1" s="295"/>
      <c r="DK1" s="295"/>
      <c r="DL1" s="295"/>
      <c r="DM1" s="295"/>
      <c r="DN1" s="204" t="s">
        <v>309</v>
      </c>
      <c r="DO1" s="295" t="s">
        <v>109</v>
      </c>
      <c r="DP1" s="295"/>
      <c r="DQ1" s="295"/>
      <c r="DR1" s="295"/>
      <c r="DS1" s="295" t="s">
        <v>110</v>
      </c>
      <c r="DT1" s="295"/>
      <c r="DU1" s="295"/>
      <c r="DV1" s="295"/>
      <c r="DW1" s="295" t="s">
        <v>316</v>
      </c>
      <c r="DX1" s="295"/>
      <c r="DY1" s="295"/>
      <c r="DZ1" s="295"/>
      <c r="EA1" s="295"/>
      <c r="EB1" s="295" t="s">
        <v>317</v>
      </c>
      <c r="EC1" s="295"/>
      <c r="ED1" s="295"/>
      <c r="EE1" s="295"/>
      <c r="EF1" s="295"/>
      <c r="EG1" s="204" t="s">
        <v>284</v>
      </c>
      <c r="EH1" s="296"/>
      <c r="EI1" s="298"/>
      <c r="EJ1" s="205" t="s">
        <v>131</v>
      </c>
      <c r="EK1" s="205" t="s">
        <v>132</v>
      </c>
      <c r="EL1" s="295" t="s">
        <v>159</v>
      </c>
      <c r="EM1" s="295"/>
      <c r="EN1" s="295"/>
      <c r="EO1" s="295"/>
      <c r="EP1" s="295"/>
      <c r="EQ1" s="204" t="s">
        <v>285</v>
      </c>
      <c r="ER1" s="295" t="s">
        <v>135</v>
      </c>
      <c r="ES1" s="295"/>
      <c r="ET1" s="295"/>
      <c r="EU1" s="295"/>
      <c r="EV1" s="295"/>
      <c r="EW1" s="295" t="s">
        <v>136</v>
      </c>
      <c r="EX1" s="295"/>
      <c r="EY1" s="295"/>
      <c r="EZ1" s="295"/>
      <c r="FA1" s="295"/>
      <c r="FB1" s="295"/>
      <c r="FC1" s="204" t="s">
        <v>286</v>
      </c>
      <c r="FD1" s="295" t="s">
        <v>139</v>
      </c>
      <c r="FE1" s="295"/>
      <c r="FF1" s="295"/>
      <c r="FG1" s="295"/>
      <c r="FH1" s="295"/>
      <c r="FI1" s="295" t="s">
        <v>138</v>
      </c>
      <c r="FJ1" s="295"/>
      <c r="FK1" s="295"/>
      <c r="FL1" s="295"/>
      <c r="FM1" s="295"/>
      <c r="FN1" s="295"/>
      <c r="FO1" s="204" t="s">
        <v>283</v>
      </c>
      <c r="FP1" s="295" t="s">
        <v>238</v>
      </c>
      <c r="FQ1" s="295"/>
      <c r="FR1" s="295"/>
      <c r="FS1" s="295"/>
      <c r="FT1" s="295"/>
      <c r="FU1" s="210" t="s">
        <v>285</v>
      </c>
      <c r="FV1" s="295" t="s">
        <v>237</v>
      </c>
      <c r="FW1" s="295"/>
      <c r="FX1" s="295"/>
      <c r="FY1" s="295"/>
      <c r="FZ1" s="295"/>
      <c r="GA1" s="204" t="s">
        <v>287</v>
      </c>
      <c r="GB1" s="204" t="s">
        <v>288</v>
      </c>
      <c r="GC1" s="295" t="s">
        <v>259</v>
      </c>
      <c r="GD1" s="295"/>
      <c r="GE1" s="295"/>
      <c r="GF1" s="295"/>
      <c r="GG1" s="295"/>
      <c r="GH1" s="295" t="s">
        <v>246</v>
      </c>
      <c r="GI1" s="295"/>
      <c r="GJ1" s="295"/>
      <c r="GK1" s="295"/>
      <c r="GL1" s="295"/>
      <c r="GM1" s="295"/>
      <c r="GN1" s="204" t="s">
        <v>286</v>
      </c>
      <c r="GO1" s="295" t="s">
        <v>247</v>
      </c>
      <c r="GP1" s="295"/>
      <c r="GQ1" s="295"/>
      <c r="GR1" s="295"/>
      <c r="GS1" s="295"/>
      <c r="GT1" s="295" t="s">
        <v>248</v>
      </c>
      <c r="GU1" s="295"/>
      <c r="GV1" s="295"/>
      <c r="GW1" s="295"/>
      <c r="GX1" s="295"/>
      <c r="GY1" s="295"/>
      <c r="GZ1" s="204" t="s">
        <v>283</v>
      </c>
      <c r="HA1" s="295" t="s">
        <v>249</v>
      </c>
      <c r="HB1" s="295"/>
      <c r="HC1" s="295"/>
      <c r="HD1" s="295"/>
      <c r="HE1" s="295"/>
      <c r="HF1" s="204" t="s">
        <v>285</v>
      </c>
      <c r="HG1" s="295" t="s">
        <v>250</v>
      </c>
      <c r="HH1" s="295"/>
      <c r="HI1" s="295"/>
      <c r="HJ1" s="295"/>
      <c r="HK1" s="295"/>
      <c r="HL1" s="204" t="s">
        <v>287</v>
      </c>
      <c r="HM1" s="204" t="s">
        <v>289</v>
      </c>
    </row>
    <row r="2" spans="1:221" s="207" customFormat="1" x14ac:dyDescent="0.25">
      <c r="A2" s="213" t="s">
        <v>0</v>
      </c>
      <c r="B2" s="207" t="s">
        <v>1</v>
      </c>
      <c r="C2" s="214" t="s">
        <v>296</v>
      </c>
      <c r="D2" s="213" t="s">
        <v>160</v>
      </c>
      <c r="E2" s="207" t="s">
        <v>2</v>
      </c>
      <c r="F2" s="207" t="s">
        <v>161</v>
      </c>
      <c r="G2" s="207" t="s">
        <v>162</v>
      </c>
      <c r="H2" s="214" t="s">
        <v>175</v>
      </c>
      <c r="I2" s="227" t="s">
        <v>331</v>
      </c>
      <c r="J2" s="225" t="s">
        <v>335</v>
      </c>
      <c r="K2" s="227" t="s">
        <v>331</v>
      </c>
      <c r="L2" s="225" t="s">
        <v>335</v>
      </c>
      <c r="M2" s="227" t="s">
        <v>331</v>
      </c>
      <c r="N2" s="225" t="s">
        <v>335</v>
      </c>
      <c r="O2" s="227" t="s">
        <v>331</v>
      </c>
      <c r="P2" s="225" t="s">
        <v>335</v>
      </c>
      <c r="Q2" s="227" t="s">
        <v>331</v>
      </c>
      <c r="R2" s="225" t="s">
        <v>335</v>
      </c>
      <c r="S2" s="227" t="s">
        <v>331</v>
      </c>
      <c r="T2" s="225" t="s">
        <v>335</v>
      </c>
      <c r="U2" s="227" t="s">
        <v>331</v>
      </c>
      <c r="V2" s="225" t="s">
        <v>335</v>
      </c>
      <c r="W2" s="227" t="s">
        <v>331</v>
      </c>
      <c r="X2" s="225" t="s">
        <v>335</v>
      </c>
      <c r="Y2" s="227" t="s">
        <v>331</v>
      </c>
      <c r="Z2" s="225" t="s">
        <v>335</v>
      </c>
      <c r="AA2" s="227" t="s">
        <v>331</v>
      </c>
      <c r="AB2" s="225" t="s">
        <v>335</v>
      </c>
      <c r="AC2" s="225"/>
      <c r="AD2" s="219" t="s">
        <v>222</v>
      </c>
      <c r="AE2" s="207" t="s">
        <v>223</v>
      </c>
      <c r="AF2" s="214" t="s">
        <v>224</v>
      </c>
      <c r="AG2" s="205"/>
      <c r="AH2" s="213" t="s">
        <v>240</v>
      </c>
      <c r="AI2" s="207" t="s">
        <v>236</v>
      </c>
      <c r="AJ2" s="280" t="s">
        <v>376</v>
      </c>
      <c r="AK2" s="207" t="s">
        <v>235</v>
      </c>
      <c r="AL2" s="207" t="s">
        <v>234</v>
      </c>
      <c r="AM2" s="205"/>
      <c r="AN2" s="213" t="s">
        <v>241</v>
      </c>
      <c r="AO2" s="207" t="s">
        <v>242</v>
      </c>
      <c r="AP2" s="214" t="s">
        <v>243</v>
      </c>
      <c r="AQ2" s="205"/>
      <c r="AR2" s="205"/>
      <c r="AS2" s="279" t="s">
        <v>374</v>
      </c>
      <c r="AT2" s="279" t="s">
        <v>374</v>
      </c>
      <c r="AU2" s="213" t="s">
        <v>4</v>
      </c>
      <c r="AV2" s="207" t="s">
        <v>5</v>
      </c>
      <c r="AW2" s="207" t="s">
        <v>11</v>
      </c>
      <c r="AX2" s="224" t="s">
        <v>12</v>
      </c>
      <c r="AY2" s="213" t="s">
        <v>6</v>
      </c>
      <c r="AZ2" s="207" t="s">
        <v>7</v>
      </c>
      <c r="BA2" s="207" t="s">
        <v>120</v>
      </c>
      <c r="BB2" s="214" t="s">
        <v>8</v>
      </c>
      <c r="BC2" s="213" t="s">
        <v>244</v>
      </c>
      <c r="BD2" s="207" t="s">
        <v>297</v>
      </c>
      <c r="BE2" s="207" t="s">
        <v>119</v>
      </c>
      <c r="BF2" s="207" t="s">
        <v>300</v>
      </c>
      <c r="BG2" s="214" t="s">
        <v>302</v>
      </c>
      <c r="BH2" s="213" t="s">
        <v>299</v>
      </c>
      <c r="BI2" s="207" t="s">
        <v>145</v>
      </c>
      <c r="BJ2" s="207" t="s">
        <v>229</v>
      </c>
      <c r="BK2" s="207" t="s">
        <v>32</v>
      </c>
      <c r="BL2" s="214" t="s">
        <v>303</v>
      </c>
      <c r="BM2" s="213" t="s">
        <v>245</v>
      </c>
      <c r="BN2" s="207" t="s">
        <v>298</v>
      </c>
      <c r="BO2" s="207" t="s">
        <v>230</v>
      </c>
      <c r="BP2" s="207" t="s">
        <v>137</v>
      </c>
      <c r="BQ2" s="214" t="s">
        <v>301</v>
      </c>
      <c r="BR2" s="205"/>
      <c r="BS2" s="213" t="s">
        <v>4</v>
      </c>
      <c r="BT2" s="207" t="s">
        <v>5</v>
      </c>
      <c r="BU2" s="207" t="s">
        <v>11</v>
      </c>
      <c r="BV2" s="224" t="s">
        <v>12</v>
      </c>
      <c r="BW2" s="213" t="s">
        <v>6</v>
      </c>
      <c r="BX2" s="207" t="s">
        <v>7</v>
      </c>
      <c r="BY2" s="207" t="s">
        <v>120</v>
      </c>
      <c r="BZ2" s="214" t="s">
        <v>8</v>
      </c>
      <c r="CA2" s="213" t="s">
        <v>244</v>
      </c>
      <c r="CB2" s="207" t="s">
        <v>297</v>
      </c>
      <c r="CC2" s="207" t="s">
        <v>119</v>
      </c>
      <c r="CD2" s="207" t="s">
        <v>300</v>
      </c>
      <c r="CE2" s="214" t="s">
        <v>302</v>
      </c>
      <c r="CF2" s="213" t="s">
        <v>299</v>
      </c>
      <c r="CG2" s="207" t="s">
        <v>145</v>
      </c>
      <c r="CH2" s="214" t="s">
        <v>229</v>
      </c>
      <c r="CI2" s="219" t="s">
        <v>32</v>
      </c>
      <c r="CJ2" s="207" t="s">
        <v>303</v>
      </c>
      <c r="CK2" s="207" t="s">
        <v>245</v>
      </c>
      <c r="CL2" s="207" t="s">
        <v>298</v>
      </c>
      <c r="CM2" s="207" t="s">
        <v>230</v>
      </c>
      <c r="CN2" s="207" t="s">
        <v>137</v>
      </c>
      <c r="CO2" s="214" t="s">
        <v>301</v>
      </c>
      <c r="CP2" s="205"/>
      <c r="CQ2" s="213" t="s">
        <v>4</v>
      </c>
      <c r="CR2" s="207" t="s">
        <v>5</v>
      </c>
      <c r="CS2" s="207" t="s">
        <v>11</v>
      </c>
      <c r="CT2" s="214" t="s">
        <v>12</v>
      </c>
      <c r="CU2" s="213" t="s">
        <v>6</v>
      </c>
      <c r="CV2" s="207" t="s">
        <v>7</v>
      </c>
      <c r="CW2" s="207" t="s">
        <v>120</v>
      </c>
      <c r="CX2" s="214" t="s">
        <v>8</v>
      </c>
      <c r="CY2" s="213" t="s">
        <v>244</v>
      </c>
      <c r="CZ2" s="207" t="s">
        <v>297</v>
      </c>
      <c r="DA2" s="207" t="s">
        <v>119</v>
      </c>
      <c r="DB2" s="207" t="s">
        <v>300</v>
      </c>
      <c r="DC2" s="214" t="s">
        <v>302</v>
      </c>
      <c r="DD2" s="213" t="s">
        <v>299</v>
      </c>
      <c r="DE2" s="207" t="s">
        <v>145</v>
      </c>
      <c r="DF2" s="208" t="s">
        <v>229</v>
      </c>
      <c r="DG2" s="207" t="s">
        <v>303</v>
      </c>
      <c r="DH2" s="162" t="s">
        <v>32</v>
      </c>
      <c r="DI2" s="213" t="s">
        <v>245</v>
      </c>
      <c r="DJ2" s="207" t="s">
        <v>298</v>
      </c>
      <c r="DK2" s="207" t="s">
        <v>230</v>
      </c>
      <c r="DL2" s="207" t="s">
        <v>137</v>
      </c>
      <c r="DM2" s="214" t="s">
        <v>301</v>
      </c>
      <c r="DN2" s="205"/>
      <c r="DO2" s="213" t="s">
        <v>4</v>
      </c>
      <c r="DP2" s="207" t="s">
        <v>5</v>
      </c>
      <c r="DQ2" s="207" t="s">
        <v>11</v>
      </c>
      <c r="DR2" s="214" t="s">
        <v>12</v>
      </c>
      <c r="DS2" s="213" t="s">
        <v>6</v>
      </c>
      <c r="DT2" s="207" t="s">
        <v>7</v>
      </c>
      <c r="DU2" s="207" t="s">
        <v>120</v>
      </c>
      <c r="DV2" s="214" t="s">
        <v>8</v>
      </c>
      <c r="DW2" s="213" t="s">
        <v>244</v>
      </c>
      <c r="DX2" s="207" t="s">
        <v>297</v>
      </c>
      <c r="DY2" s="207" t="s">
        <v>119</v>
      </c>
      <c r="DZ2" s="207" t="s">
        <v>300</v>
      </c>
      <c r="EA2" s="214" t="s">
        <v>302</v>
      </c>
      <c r="EB2" s="213" t="s">
        <v>245</v>
      </c>
      <c r="EC2" s="207" t="s">
        <v>298</v>
      </c>
      <c r="ED2" s="207" t="s">
        <v>230</v>
      </c>
      <c r="EE2" s="207" t="s">
        <v>137</v>
      </c>
      <c r="EF2" s="214" t="s">
        <v>301</v>
      </c>
      <c r="EG2" s="205"/>
      <c r="EH2" s="219" t="s">
        <v>15</v>
      </c>
      <c r="EI2" s="162" t="s">
        <v>111</v>
      </c>
      <c r="EJ2" s="205" t="s">
        <v>108</v>
      </c>
      <c r="EK2" s="205"/>
      <c r="EL2" s="213" t="s">
        <v>170</v>
      </c>
      <c r="EM2" s="207" t="s">
        <v>171</v>
      </c>
      <c r="EN2" s="207" t="s">
        <v>157</v>
      </c>
      <c r="EO2" s="207" t="s">
        <v>158</v>
      </c>
      <c r="EP2" s="214" t="s">
        <v>166</v>
      </c>
      <c r="EQ2" s="205"/>
      <c r="ER2" s="213" t="s">
        <v>4</v>
      </c>
      <c r="ES2" s="207" t="s">
        <v>5</v>
      </c>
      <c r="ET2" s="207" t="s">
        <v>11</v>
      </c>
      <c r="EU2" s="207" t="s">
        <v>12</v>
      </c>
      <c r="EV2" s="214" t="s">
        <v>119</v>
      </c>
      <c r="EW2" s="213" t="s">
        <v>6</v>
      </c>
      <c r="EX2" s="207" t="s">
        <v>230</v>
      </c>
      <c r="EY2" s="207" t="s">
        <v>7</v>
      </c>
      <c r="EZ2" s="207" t="s">
        <v>120</v>
      </c>
      <c r="FA2" s="207" t="s">
        <v>137</v>
      </c>
      <c r="FB2" s="214" t="s">
        <v>8</v>
      </c>
      <c r="FC2" s="205"/>
      <c r="FD2" s="213" t="s">
        <v>4</v>
      </c>
      <c r="FE2" s="207" t="s">
        <v>5</v>
      </c>
      <c r="FF2" s="207" t="s">
        <v>11</v>
      </c>
      <c r="FG2" s="207" t="s">
        <v>12</v>
      </c>
      <c r="FH2" s="214" t="s">
        <v>119</v>
      </c>
      <c r="FI2" s="213" t="s">
        <v>6</v>
      </c>
      <c r="FJ2" s="207" t="s">
        <v>230</v>
      </c>
      <c r="FK2" s="207" t="s">
        <v>7</v>
      </c>
      <c r="FL2" s="207" t="s">
        <v>120</v>
      </c>
      <c r="FM2" s="207" t="s">
        <v>137</v>
      </c>
      <c r="FN2" s="214" t="s">
        <v>8</v>
      </c>
      <c r="FO2" s="205"/>
      <c r="FP2" s="213" t="s">
        <v>170</v>
      </c>
      <c r="FQ2" s="207" t="s">
        <v>171</v>
      </c>
      <c r="FR2" s="207" t="s">
        <v>157</v>
      </c>
      <c r="FS2" s="207" t="s">
        <v>158</v>
      </c>
      <c r="FT2" s="214" t="s">
        <v>166</v>
      </c>
      <c r="FU2" s="211"/>
      <c r="FV2" s="207" t="s">
        <v>170</v>
      </c>
      <c r="FW2" s="207" t="s">
        <v>171</v>
      </c>
      <c r="FX2" s="207" t="s">
        <v>157</v>
      </c>
      <c r="FY2" s="207" t="s">
        <v>158</v>
      </c>
      <c r="FZ2" s="207" t="s">
        <v>166</v>
      </c>
      <c r="GC2" s="207" t="s">
        <v>4</v>
      </c>
      <c r="GD2" s="207" t="s">
        <v>5</v>
      </c>
      <c r="GE2" s="207" t="s">
        <v>11</v>
      </c>
      <c r="GF2" s="207" t="s">
        <v>12</v>
      </c>
      <c r="GG2" s="207" t="s">
        <v>119</v>
      </c>
      <c r="GH2" s="207" t="s">
        <v>6</v>
      </c>
      <c r="GI2" s="207" t="s">
        <v>230</v>
      </c>
      <c r="GJ2" s="207" t="s">
        <v>7</v>
      </c>
      <c r="GK2" s="207" t="s">
        <v>120</v>
      </c>
      <c r="GL2" s="207" t="s">
        <v>137</v>
      </c>
      <c r="GM2" s="207" t="s">
        <v>8</v>
      </c>
      <c r="GO2" s="207" t="s">
        <v>4</v>
      </c>
      <c r="GP2" s="207" t="s">
        <v>5</v>
      </c>
      <c r="GQ2" s="207" t="s">
        <v>11</v>
      </c>
      <c r="GR2" s="207" t="s">
        <v>12</v>
      </c>
      <c r="GS2" s="207" t="s">
        <v>119</v>
      </c>
      <c r="GT2" s="207" t="s">
        <v>6</v>
      </c>
      <c r="GU2" s="207" t="s">
        <v>230</v>
      </c>
      <c r="GV2" s="207" t="s">
        <v>7</v>
      </c>
      <c r="GW2" s="207" t="s">
        <v>120</v>
      </c>
      <c r="GX2" s="207" t="s">
        <v>137</v>
      </c>
      <c r="GY2" s="207" t="s">
        <v>8</v>
      </c>
      <c r="HA2" s="207" t="s">
        <v>170</v>
      </c>
      <c r="HB2" s="207" t="s">
        <v>171</v>
      </c>
      <c r="HC2" s="207" t="s">
        <v>157</v>
      </c>
      <c r="HD2" s="207" t="s">
        <v>158</v>
      </c>
      <c r="HE2" s="207" t="s">
        <v>166</v>
      </c>
      <c r="HG2" s="207" t="s">
        <v>170</v>
      </c>
      <c r="HH2" s="207" t="s">
        <v>171</v>
      </c>
      <c r="HI2" s="207" t="s">
        <v>157</v>
      </c>
      <c r="HJ2" s="207" t="s">
        <v>158</v>
      </c>
      <c r="HK2" s="207" t="s">
        <v>166</v>
      </c>
    </row>
    <row r="3" spans="1:221" customFormat="1" x14ac:dyDescent="0.25">
      <c r="A3" s="3"/>
      <c r="B3" s="4" t="s">
        <v>121</v>
      </c>
      <c r="C3" s="5"/>
      <c r="D3" s="3">
        <v>25</v>
      </c>
      <c r="E3" s="4">
        <v>7.5</v>
      </c>
      <c r="F3" s="4"/>
      <c r="G3" s="4"/>
      <c r="H3" s="5"/>
      <c r="I3" s="3" t="str">
        <f>IF(AND($E3&lt;&gt;"",F3&lt;&gt;""),20.78-$E3+0.25*LOG($F3),"")</f>
        <v/>
      </c>
      <c r="J3" s="4" t="str">
        <f>IF(I3&lt;&gt;"", IF($D3&lt;&gt;"",I3*2.303*0.0019858*($D3+273.15)/23.06, 0.059*I3),"")</f>
        <v/>
      </c>
      <c r="K3" s="3" t="str">
        <f>IF(AND($E3&lt;&gt;"",F3&lt;&gt;""),14.9-$E3+0.5*LOG($F3),"")</f>
        <v/>
      </c>
      <c r="L3" s="4" t="str">
        <f>IF(K3&lt;&gt;"", IF($D3&lt;&gt;"",K3*2.303*0.0019858*($D3+273.15)/23.06, 0.059*K3),"")</f>
        <v/>
      </c>
      <c r="M3" s="3" t="str">
        <f t="shared" ref="M3:M26" si="0">IF(AND($E3&lt;&gt;"",$DB3&lt;&gt;""),20.76-2*$E3-0.5*LOG($DB3),"")</f>
        <v/>
      </c>
      <c r="N3" s="4" t="str">
        <f t="shared" ref="L3:AB25" si="1">IF(M3&lt;&gt;"", IF($D3&lt;&gt;"",M3*2.303*0.0019858*($D3+273.15)/23.06, 0.059*M3),"")</f>
        <v/>
      </c>
      <c r="O3" s="3">
        <f t="shared" ref="O3:O26" si="2">IF(AND($E3&lt;&gt;"",$DA3&lt;&gt;""),17.9-3*$E3-LOG($DA3),"")</f>
        <v>1.4480142909380529</v>
      </c>
      <c r="P3" s="4">
        <f t="shared" si="1"/>
        <v>8.5620508568426665E-2</v>
      </c>
      <c r="Q3" s="3">
        <f t="shared" ref="Q3:Q26" si="3">IF(AND($E3&lt;&gt;"",$DA3&lt;&gt;""),11.77-3*$E3-LOG($DA3),"")</f>
        <v>-4.6819857090619461</v>
      </c>
      <c r="R3" s="4">
        <f t="shared" si="1"/>
        <v>-0.27684395107750992</v>
      </c>
      <c r="S3" s="3">
        <f t="shared" ref="S3:S26" si="4">IF(AND($E3&lt;&gt;"",$DA3&lt;&gt;""),16.5-3*$E3-LOG($DA3),"")</f>
        <v>4.8014290938054316E-2</v>
      </c>
      <c r="T3" s="4">
        <f t="shared" si="1"/>
        <v>2.8390659086696005E-3</v>
      </c>
      <c r="U3" s="3" t="str">
        <f>IF(AND($E3&lt;&gt;"",$CX3&lt;&gt;"",$DG3&lt;&gt;""),IF($E3&lt;7,5.12-5/4*$E3+1/8*LOG($CX3/$DG3),4.25-9/8*$E3+1/8*(LOG($CX3)-$E3-LOG($DG3)+pKa!$B$3)),"")</f>
        <v/>
      </c>
      <c r="V3" s="4" t="str">
        <f t="shared" si="1"/>
        <v/>
      </c>
      <c r="W3" s="3" t="str">
        <f t="shared" ref="W3:W26" si="5">IF(AND($E3&lt;&gt;"",$CW3&lt;&gt;"",$DM3&lt;&gt;""), 14.15-$E3+1/2*LOG($CW3/$DM3),"")</f>
        <v/>
      </c>
      <c r="X3" s="4" t="str">
        <f t="shared" si="1"/>
        <v/>
      </c>
      <c r="Y3" s="3" t="str">
        <f t="shared" ref="Y3:Y26" si="6">IF(AND($E3&lt;&gt;"",$CW3&lt;&gt;"",$DC3&lt;&gt;""), 14.9-5/4*$E3+1/8*LOG($CW3/$DC3),"")</f>
        <v/>
      </c>
      <c r="Z3" s="4" t="str">
        <f t="shared" si="1"/>
        <v/>
      </c>
      <c r="AA3" s="3" t="str">
        <f t="shared" ref="AA3:AA26" si="7">IF(AND($E3&lt;&gt;"",$DF3&lt;&gt;"",$DE3&lt;&gt;""), 2.87-$E3+1/8*LOG($DF3/$DE3),"")</f>
        <v/>
      </c>
      <c r="AB3" s="4" t="str">
        <f t="shared" si="1"/>
        <v/>
      </c>
      <c r="AC3" s="4"/>
      <c r="AD3" s="83">
        <f>IF(E3&lt;&gt;"",10^(-2*$E3)/(10^(-2*$E3)+10^(-$E3-pKa!$B$2)+(10^(-pKa!$B$2-pKa!$C$2))),"")</f>
        <v>5.9262592753143981E-2</v>
      </c>
      <c r="AE3" s="84">
        <f>IF(E3&lt;&gt;"",10^(-$E3-pKa!$B$2)/(10^(-2*$E3)+10^(-$E3-pKa!$B$2)+10^(-pKa!$B$2-pKa!$C$2)),"")</f>
        <v>0.93924879822052898</v>
      </c>
      <c r="AF3" s="212">
        <f>IF(E3&lt;&gt;"",10^(-pKa!$B$2-pKa!$C$2)/(10^(-2*$E3)+10^(-$E3-pKa!$B$2)+10^(-pKa!$B$2-pKa!$C$2)),"")</f>
        <v>1.4886090263269958E-3</v>
      </c>
      <c r="AG3" s="152"/>
      <c r="AH3" s="221"/>
      <c r="AI3" s="85">
        <f>IF($AK3&lt;&gt;"",$AK3/'Elements and ions'!$G$5/1000/'ppm-mgL-1'!$AE3,IF($E3="","",""))</f>
        <v>1.68464579765021E-3</v>
      </c>
      <c r="AJ3" s="84">
        <f>IF(AI3&lt;&gt;"",AI3*1000*'Elements and ions'!$B$7,"")</f>
        <v>20.233775281837378</v>
      </c>
      <c r="AK3" s="206">
        <v>152</v>
      </c>
      <c r="AL3" s="85">
        <f>IF($AK3&lt;&gt;"",$AK3*'Elements and ions'!$G$3/Minerals!$B$6,IF($E3="","","Enter Alk(HCO3-)"))</f>
        <v>92.665070853428361</v>
      </c>
      <c r="AM3" s="201"/>
      <c r="AN3" s="126">
        <f t="shared" ref="AN3:AN26" si="8">IF(AND($E3&lt;&gt;"",AI3&lt;&gt;""),AI3*AD3,"")</f>
        <v>9.9836477839439794E-5</v>
      </c>
      <c r="AO3" s="86">
        <f t="shared" ref="AO3:AO26" si="9">IF(AND($E3&lt;&gt;"",AI3&lt;&gt;""),AI3*AE3,"")</f>
        <v>1.5823015408702242E-3</v>
      </c>
      <c r="AP3" s="87">
        <f t="shared" ref="AP3:AP26" si="10">IF(AND($E3&lt;&gt;"",AI3&lt;&gt;""),AI3*AF3,"")</f>
        <v>2.5077789405459443E-6</v>
      </c>
      <c r="AQ3" s="201"/>
      <c r="AR3" s="201"/>
      <c r="AS3" s="83">
        <f>IF(AT3&lt;&gt;"",AT3/10000,"")</f>
        <v>0.29363669952776411</v>
      </c>
      <c r="AT3" s="83">
        <f>IF(AN3&lt;&gt;"",AN3/'Henrys law constants'!$B$7*1000000,"")</f>
        <v>2936.3669952776409</v>
      </c>
      <c r="AU3" s="3">
        <v>2.1</v>
      </c>
      <c r="AV3" s="4"/>
      <c r="AW3" s="4">
        <v>48</v>
      </c>
      <c r="AX3" s="4">
        <v>3.6</v>
      </c>
      <c r="AY3" s="83">
        <f>AO3*'Elements and ions'!$G$3*1000</f>
        <v>96.54703995103192</v>
      </c>
      <c r="AZ3" s="4">
        <v>8</v>
      </c>
      <c r="BA3" s="4"/>
      <c r="BB3" s="5">
        <v>3.2</v>
      </c>
      <c r="BC3" s="221">
        <f>IF($E3&lt;&gt;"",10^-$E3*'Elements and ions'!B2*1000,"")</f>
        <v>3.1873861447901068E-5</v>
      </c>
      <c r="BD3" s="4"/>
      <c r="BE3" s="4">
        <v>0.05</v>
      </c>
      <c r="BF3" s="4"/>
      <c r="BG3" s="5"/>
      <c r="BH3" s="3"/>
      <c r="BI3" s="4"/>
      <c r="BJ3" s="194">
        <f>IF($AN3&lt;&gt;"",$AN3*'Elements and ions'!$G$2*1000,"")</f>
        <v>6.192335573966127</v>
      </c>
      <c r="BK3" s="228"/>
      <c r="BL3" s="231"/>
      <c r="BM3" s="126">
        <f>IF($E3&lt;&gt;"",(10^-14+$E3)*'Elements and ions'!$G$8,"")</f>
        <v>127.55505000000016</v>
      </c>
      <c r="BN3" s="4"/>
      <c r="BO3" s="98">
        <f>IF($AP3&lt;&gt;"",$AP3*'Elements and ions'!$G$4*1000,"")</f>
        <v>0.1504890556653275</v>
      </c>
      <c r="BP3" s="4"/>
      <c r="BQ3" s="5"/>
      <c r="BR3" s="195"/>
      <c r="BS3" s="233">
        <f>IF($AU3&lt;&gt;"",$AU3/'Elements and ions'!$B$12,"")</f>
        <v>9.1344979343785743E-2</v>
      </c>
      <c r="BT3" s="234" t="str">
        <f>IF($AV3&lt;&gt;"",$AV3/'Elements and ions'!$B$20,"")</f>
        <v/>
      </c>
      <c r="BU3" s="234">
        <f>IF($AW3&lt;&gt;"",$AW3/'Elements and ions'!$B$21, "")</f>
        <v>1.197664554119467</v>
      </c>
      <c r="BV3" s="235">
        <f>IF($AX3&lt;&gt;"",$AX3/'Elements and ions'!$B$13, "")</f>
        <v>0.1481176712610574</v>
      </c>
      <c r="BW3" s="233">
        <f>IF($AY3&lt;&gt;"",$AY3/'Elements and ions'!$G$3,"")</f>
        <v>1.5823015408702241</v>
      </c>
      <c r="BX3" s="234">
        <f>IF($AZ3&lt;&gt;"",$AZ3/'Elements and ions'!$B$18,"")</f>
        <v>0.2256508617042281</v>
      </c>
      <c r="BY3" s="234" t="str">
        <f>IF($BA3&lt;&gt;"",$BA3/'Elements and ions'!$G$7,"")</f>
        <v/>
      </c>
      <c r="BZ3" s="236">
        <f>IF($BB3&lt;&gt;"",$BB3/'Elements and ions'!$G$5,"")</f>
        <v>3.331161138674156E-2</v>
      </c>
      <c r="CA3" s="100">
        <f>IF($E3&lt;&gt;"",10^-$E3*1000,"")</f>
        <v>3.16227766016837E-5</v>
      </c>
      <c r="CB3" s="196" t="str">
        <f>IF($BD3&lt;&gt;"",$BD3/'Elements and ions'!$B$14,"")</f>
        <v/>
      </c>
      <c r="CC3" s="105">
        <f>IF($BE3&lt;&gt;"",$BE3/'Elements and ions'!$B$27, "")</f>
        <v>8.9533530307100019E-4</v>
      </c>
      <c r="CD3" s="247" t="str">
        <f>IF($BF3&lt;&gt;"",$BF3/'Elements and ions'!$B$26,"")</f>
        <v/>
      </c>
      <c r="CE3" s="248" t="str">
        <f>IF($BG3&lt;&gt;"",$BG3/'Elements and ions'!$G$6,"")</f>
        <v/>
      </c>
      <c r="CF3" s="100" t="str">
        <f>IF($BH3&lt;&gt;"",$BH3/'Elements and ions'!$G$15,"")</f>
        <v/>
      </c>
      <c r="CG3" s="105" t="str">
        <f>IF($BI3&lt;&gt;"",$BI3/'Elements and ions'!$G$16,"")</f>
        <v/>
      </c>
      <c r="CH3" s="106">
        <f>IF($BJ3&lt;&gt;"",$BJ3/'Elements and ions'!$G$2,"")</f>
        <v>9.9836477839439774E-2</v>
      </c>
      <c r="CI3" s="100" t="str">
        <f>IF($BK3&lt;&gt;"",$BK3/'Elements and ions'!$B$15, "")</f>
        <v/>
      </c>
      <c r="CJ3" s="194" t="str">
        <f>IF($BL3&lt;&gt;"", $BL3/'Elements and ions'!$G$17,"")</f>
        <v/>
      </c>
      <c r="CK3" s="105">
        <f>IF($E3&lt;&gt;"",(10^(-14+$E3))*1000,"")</f>
        <v>3.1622776601683734E-4</v>
      </c>
      <c r="CL3" s="196" t="str">
        <f>IF($BN3&lt;&gt;"", $BN3/'Elements and ions'!$G$19,"")</f>
        <v/>
      </c>
      <c r="CM3" s="105">
        <f>IF($BO3&lt;&gt;"",$BO3/'Elements and ions'!$G$4,"")</f>
        <v>2.5077789405459441E-3</v>
      </c>
      <c r="CN3" s="105" t="str">
        <f>IF($BP3&lt;&gt;"",$BP3/'Elements and ions'!$B$10,"")</f>
        <v/>
      </c>
      <c r="CO3" s="103" t="str">
        <f>IF($BQ3&lt;&gt;"",$BQ3/'Elements and ions'!$G$18,"")</f>
        <v/>
      </c>
      <c r="CP3" s="237"/>
      <c r="CQ3" s="233">
        <f>IF($BS3&lt;&gt;"",BS3/1000,"")</f>
        <v>9.134497934378574E-5</v>
      </c>
      <c r="CR3" s="234" t="str">
        <f>IF($BT3&lt;&gt;"",BT3/1000,"")</f>
        <v/>
      </c>
      <c r="CS3" s="234">
        <f>IF($BU3&lt;&gt;"",BU3/1000,"")</f>
        <v>1.1976645541194671E-3</v>
      </c>
      <c r="CT3" s="236">
        <f>IF($BV3&lt;&gt;"",BV3/1000,"")</f>
        <v>1.4811767126105739E-4</v>
      </c>
      <c r="CU3" s="233">
        <f t="shared" ref="CU3:CU18" si="11">IF($BW3&lt;&gt;"",BW3/1000,"")</f>
        <v>1.5823015408702242E-3</v>
      </c>
      <c r="CV3" s="234">
        <f t="shared" ref="CV3:CV18" si="12">IF($BX3&lt;&gt;"",BX3/1000,"")</f>
        <v>2.2565086170422811E-4</v>
      </c>
      <c r="CW3" s="234" t="str">
        <f t="shared" ref="CW3:CW18" si="13">IF($BY3&lt;&gt;"",BY3/1000,"")</f>
        <v/>
      </c>
      <c r="CX3" s="236">
        <f>IF(BZ3&lt;&gt;"",BZ3/1000,"")</f>
        <v>3.3311611386741561E-5</v>
      </c>
      <c r="CY3" s="251">
        <f>IF($E3&lt;&gt;"",10^-$E3,"")</f>
        <v>3.1622776601683699E-8</v>
      </c>
      <c r="CZ3" s="252" t="str">
        <f>IF(CB3&lt;&gt;"",CB3/1000,"")</f>
        <v/>
      </c>
      <c r="DA3" s="151">
        <f t="shared" ref="DA3:DJ3" si="14">IF(CC3&lt;&gt;"",CC3/1000,"")</f>
        <v>8.9533530307100018E-7</v>
      </c>
      <c r="DB3" s="253" t="str">
        <f t="shared" si="14"/>
        <v/>
      </c>
      <c r="DC3" s="254" t="str">
        <f t="shared" si="14"/>
        <v/>
      </c>
      <c r="DD3" s="255" t="str">
        <f t="shared" si="14"/>
        <v/>
      </c>
      <c r="DE3" s="252" t="str">
        <f t="shared" si="14"/>
        <v/>
      </c>
      <c r="DF3" s="151">
        <f t="shared" si="14"/>
        <v>9.983647783943978E-5</v>
      </c>
      <c r="DG3" s="151" t="str">
        <f t="shared" si="14"/>
        <v/>
      </c>
      <c r="DH3" s="256" t="str">
        <f t="shared" si="14"/>
        <v/>
      </c>
      <c r="DI3" s="251">
        <f>IF($E3&lt;&gt;"",(10^(-14+$E3)),"")</f>
        <v>3.1622776601683734E-7</v>
      </c>
      <c r="DJ3" s="151" t="str">
        <f t="shared" si="14"/>
        <v/>
      </c>
      <c r="DK3" s="151">
        <f t="shared" ref="DK3" si="15">IF(CM3&lt;&gt;"",CM3/1000,"")</f>
        <v>2.5077789405459443E-6</v>
      </c>
      <c r="DL3" s="151" t="str">
        <f t="shared" ref="DL3" si="16">IF(CN3&lt;&gt;"",CN3/1000,"")</f>
        <v/>
      </c>
      <c r="DM3" s="257" t="str">
        <f t="shared" ref="DM3" si="17">IF(CO3&lt;&gt;"",CO3/1000,"")</f>
        <v/>
      </c>
      <c r="DN3" s="237"/>
      <c r="DO3" s="233">
        <f t="shared" ref="DO3:DO18" si="18">IF($BS3&lt;&gt;"",BS3,0)</f>
        <v>9.1344979343785743E-2</v>
      </c>
      <c r="DP3" s="234">
        <f t="shared" ref="DP3:DP18" si="19">IF($BT3&lt;&gt;"",BT3,0)</f>
        <v>0</v>
      </c>
      <c r="DQ3" s="234">
        <f t="shared" ref="DQ3:DQ18" si="20">IF($BU3&lt;&gt;"",BU3*2,0)</f>
        <v>2.3953291082389341</v>
      </c>
      <c r="DR3" s="236">
        <f t="shared" ref="DR3:DR18" si="21">IF($BV3&lt;&gt;"",BV3*2,0)</f>
        <v>0.29623534252211481</v>
      </c>
      <c r="DS3" s="233">
        <f t="shared" ref="DS3:DS18" si="22">IF($BW3&lt;&gt;"",BW3*-1,0)</f>
        <v>-1.5823015408702241</v>
      </c>
      <c r="DT3" s="234">
        <f t="shared" ref="DT3:DT17" si="23">IF($BX3&lt;&gt;"",BX3*-1,0)</f>
        <v>-0.2256508617042281</v>
      </c>
      <c r="DU3" s="234">
        <f t="shared" ref="DU3:DU17" si="24">IF($BY3&lt;&gt;"",BY3*-1,0)</f>
        <v>0</v>
      </c>
      <c r="DV3" s="236">
        <f t="shared" ref="DV3:DV17" si="25">IF($BZ3&lt;&gt;"",BZ3*-2,0)</f>
        <v>-6.6623222773483121E-2</v>
      </c>
      <c r="DW3" s="100">
        <f>IF($E3&lt;&gt;"",10^-$E3*1000,"")</f>
        <v>3.16227766016837E-5</v>
      </c>
      <c r="DX3" s="105">
        <f>IF(CB3&lt;&gt;"",CB3*3,0)</f>
        <v>0</v>
      </c>
      <c r="DY3" s="105">
        <f>IF(CC3&lt;&gt;"",CC3*2,0)</f>
        <v>1.7906706061420004E-3</v>
      </c>
      <c r="DZ3" s="105">
        <f>IF(CD3&lt;&gt;"",CD3*2,0)</f>
        <v>0</v>
      </c>
      <c r="EA3" s="106">
        <f>IF(CE3&lt;&gt;"",CE3,0)</f>
        <v>0</v>
      </c>
      <c r="EB3" s="91">
        <f>IF($E3&lt;&gt;"",(10^(-14+$E3))*-1000,"")</f>
        <v>-3.1622776601683734E-4</v>
      </c>
      <c r="EC3" s="105">
        <f>IF(CL3&lt;&gt;"",CL3*-1,0)</f>
        <v>0</v>
      </c>
      <c r="ED3" s="105">
        <f>IF(CM3&lt;&gt;"",CM3*-2,0)</f>
        <v>-5.0155578810918882E-3</v>
      </c>
      <c r="EE3" s="105">
        <f t="shared" ref="EE3" si="26">IF(CN3&lt;&gt;"",CN3*-1,0)</f>
        <v>0</v>
      </c>
      <c r="EF3" s="106">
        <f>IF(CO3&lt;&gt;"",CO3*-2,0)</f>
        <v>0</v>
      </c>
      <c r="EG3" s="237"/>
      <c r="EH3" s="243">
        <f>SUM(DO3:DR3,DW3:EA3)</f>
        <v>2.7847317234875786</v>
      </c>
      <c r="EI3" s="244">
        <f>SUM(DS3:DV3,EB3:EF3)</f>
        <v>-1.8799074109950442</v>
      </c>
      <c r="EJ3" s="197">
        <f>IF(EH3&lt;&gt;EI3,(EH3+EI3)/(EH3-EI3)*100,0)</f>
        <v>19.397520074034468</v>
      </c>
      <c r="EK3" s="197">
        <f t="shared" ref="EK3:EK26" si="27">0.5*(DO3+DP3+4*DQ3+4*DR3+4*DY3-DS3-DT3-4*DV3-DU3-EE3)/1000</f>
        <v>6.469605379240467E-3</v>
      </c>
      <c r="EL3" s="126">
        <f>IF(AND(CS3&lt;&gt;"",DK3&lt;&gt;""),LOG(CS3*DK3/Minerals!$C$6),"")</f>
        <v>-4.2203546331832549E-2</v>
      </c>
      <c r="EM3" s="86">
        <f>IF(AND(CS3&lt;&gt;"",DK3&lt;&gt;""),LOG(CS3*DK3/Minerals!$C$5),"")</f>
        <v>-0.17268307568805025</v>
      </c>
      <c r="EN3" s="86" t="str">
        <f>IF(AND(CS3&lt;&gt;"",DL3&lt;&gt;""),LOG(CS3*DL3^2/Minerals!$C$2),"")</f>
        <v/>
      </c>
      <c r="EO3" s="86">
        <f>IF(AND(CS3&lt;&gt;"",CX3&lt;&gt;""),LOG($CS3*$CX3/Minerals!$C$3),"")</f>
        <v>-2.7990887972461382</v>
      </c>
      <c r="EP3" s="87">
        <f>IF(AND(CS3&lt;&gt;"",CX3&lt;&gt;""),LOG($CS3*$CX3/Minerals!$C$4),"")</f>
        <v>-3.0390733087120405</v>
      </c>
      <c r="EQ3" s="201"/>
      <c r="ER3" s="126">
        <f t="shared" ref="ER3:ES20" si="28">10^(-0.5*SQRT($EK3)/(1+SQRT($EK3)))</f>
        <v>0.91786129442977504</v>
      </c>
      <c r="ES3" s="86">
        <f t="shared" si="28"/>
        <v>0.91786129442977504</v>
      </c>
      <c r="ET3" s="86">
        <f t="shared" ref="ET3:EV20" si="29">10^(-0.5*4*SQRT($EK3)/(1+SQRT($EK3)))</f>
        <v>0.70975461548279517</v>
      </c>
      <c r="EU3" s="86">
        <f t="shared" si="29"/>
        <v>0.70975461548279517</v>
      </c>
      <c r="EV3" s="87">
        <f t="shared" si="29"/>
        <v>0.70975461548279517</v>
      </c>
      <c r="EW3" s="126">
        <f t="shared" ref="EW3:EZ20" si="30">10^(-0.5*SQRT($EK3)/(1+SQRT($EK3)))</f>
        <v>0.91786129442977504</v>
      </c>
      <c r="EX3" s="86">
        <f t="shared" ref="EX3:EX66" si="31">10^(-0.5*4*SQRT($EK3)/(1+SQRT($EK3)))</f>
        <v>0.70975461548279517</v>
      </c>
      <c r="EY3" s="86">
        <f>10^(-0.5*SQRT($EK3)/(1+SQRT($EK3)))</f>
        <v>0.91786129442977504</v>
      </c>
      <c r="EZ3" s="86">
        <f>10^(-0.5*SQRT($EK3)/(1+SQRT($EK3)))</f>
        <v>0.91786129442977504</v>
      </c>
      <c r="FA3" s="86">
        <f>10^(-0.5*SQRT($EK3)/(1+SQRT($EK3)))</f>
        <v>0.91786129442977504</v>
      </c>
      <c r="FB3" s="87">
        <f t="shared" ref="FB3:FB66" si="32">10^(-0.5*4*SQRT($EK3)/(1+SQRT($EK3)))</f>
        <v>0.70975461548279517</v>
      </c>
      <c r="FC3" s="201"/>
      <c r="FD3" s="126">
        <f t="shared" ref="FD3:FD18" si="33">IF($CQ3&lt;&gt;"",ER3*$CQ3,"")</f>
        <v>8.3842020980148243E-5</v>
      </c>
      <c r="FE3" s="86" t="str">
        <f t="shared" ref="FE3:FE18" si="34">IF($CR3&lt;&gt;"",ES3*$CR3,"")</f>
        <v/>
      </c>
      <c r="FF3" s="86">
        <f t="shared" ref="FF3:FF18" si="35">IF($CS3&lt;&gt;"",ET3*$CS3,"")</f>
        <v>8.5004794508643569E-4</v>
      </c>
      <c r="FG3" s="86">
        <f t="shared" ref="FG3:FG18" si="36">IF($CT3&lt;&gt;"",EU3*$CT3,"")</f>
        <v>1.0512720081209885E-4</v>
      </c>
      <c r="FH3" s="87">
        <f t="shared" ref="FH3:FH18" si="37">IF($DA3&lt;&gt;"",EV3*$DA3,"")</f>
        <v>6.3546836375932957E-7</v>
      </c>
      <c r="FI3" s="126">
        <f>IF($DK3&lt;&gt;"",EX3*$DK3,"")</f>
        <v>1.7799076776630382E-6</v>
      </c>
      <c r="FJ3" s="86">
        <f t="shared" ref="FJ3:FJ18" si="38">IF($DK3&lt;&gt;"",EX3*$DK3,"")</f>
        <v>1.7799076776630382E-6</v>
      </c>
      <c r="FK3" s="86">
        <f t="shared" ref="FK3:FK18" si="39">IF($CV3&lt;&gt;"",EY3*$CV3,"")</f>
        <v>2.0711619201303695E-4</v>
      </c>
      <c r="FL3" s="86" t="str">
        <f t="shared" ref="FL3:FL18" si="40">IF($CW3&lt;&gt;"",EZ3*$CW3,"")</f>
        <v/>
      </c>
      <c r="FM3" s="86" t="str">
        <f t="shared" ref="FM3:FM18" si="41">IF($DL3&lt;&gt;"",FA3*$DL3,"")</f>
        <v/>
      </c>
      <c r="FN3" s="87">
        <f t="shared" ref="FN3:FN18" si="42">IF($CX3&lt;&gt;"",FB3*$CX3,"")</f>
        <v>2.3643069930909056E-5</v>
      </c>
      <c r="FO3" s="201"/>
      <c r="FP3" s="126">
        <f>IF(EL3&lt;&gt;"",LOG(FF3*FJ3/Minerals!$C$6),"")</f>
        <v>-0.33998709554663326</v>
      </c>
      <c r="FQ3" s="86">
        <f>IF(EL3&lt;&gt;"",LOG(FF3*FJ3/Minerals!$C$5),"")</f>
        <v>-0.47046662490285096</v>
      </c>
      <c r="FR3" s="86" t="str">
        <f>IF(EN3&lt;&gt;"",LOG(FF3*FM3^2/Minerals!$C$2),"")</f>
        <v/>
      </c>
      <c r="FS3" s="86">
        <f>IF(EO3&lt;&gt;"",LOG($FF3*$FN3/Minerals!$C$3),"")</f>
        <v>-3.0968723464609389</v>
      </c>
      <c r="FT3" s="87">
        <f>IF(EP3&lt;&gt;"",LOG($FF3*$FN3/Minerals!$C$4),"")</f>
        <v>-3.3368568579268412</v>
      </c>
      <c r="FU3" s="200"/>
      <c r="FV3" s="126">
        <f>IF(FP3&lt;&gt;"",LOG(FF3*FJ3/(EXP(-1*Minerals!$E$6/'Other Constants'!$B$2*(1/(273.15+'ppm-mgL-1'!$D3)-1/298.15)+LN(Minerals!$C$6)))),"")</f>
        <v>-0.33998709554663264</v>
      </c>
      <c r="FW3" s="86">
        <f>IF(FP3&lt;&gt;"",LOG(FF3*FJ3/(EXP(-1*Minerals!$E$5/'Other Constants'!$B$2*(1/(273.15+'ppm-mgL-1'!$D3)-1/298.15)+LN(Minerals!$C$5)))),"")</f>
        <v>-0.47046662490285052</v>
      </c>
      <c r="FX3" s="86" t="str">
        <f>IF(FR3&lt;&gt;"",LOG(FF3*FM3^2/(EXP(-1*Minerals!$E$2/'Other Constants'!$B$2*(1/(273.15+'ppm-mgL-1'!$D3)-1/298.15)+LN(Minerals!$C$2)))),"")</f>
        <v/>
      </c>
      <c r="FY3" s="86">
        <f>IF(FS3&lt;&gt;"",LOG($FF3*$FN3/(EXP(-1*Minerals!$E$3/'Other Constants'!$B$2*(1/(273.15+'ppm-mgL-1'!$D3)-1/298.15)+LN(Minerals!$C$3)))),"")</f>
        <v>-3.0968723464609389</v>
      </c>
      <c r="FZ3" s="87">
        <f>IF(FT3&lt;&gt;"",LOG($FF3*$FN3/(EXP(-1*Minerals!$E$4/'Other Constants'!$B$2*(1/(273.15+'ppm-mgL-1'!$D3)-1/298.15)+LN(Minerals!$C$4)))),"")</f>
        <v>-3.3368568579268412</v>
      </c>
      <c r="GA3" s="200"/>
      <c r="GB3" s="200"/>
      <c r="GC3" s="126">
        <f>10^(-1825000*(79.755*EXP(-0.0046*($D3-20))*($D3+273.15))^-1.5*$EK3^0.5/(1+'Elements and ions'!$D$12*$EK3^0.5/(2*(79.755*EXP(-0.0046*($D3-20))*($D3+273.15))^0.5)))</f>
        <v>0.91731333472818499</v>
      </c>
      <c r="GD3" s="86">
        <f>10^(-1825000*(79.755*EXP(-0.0046*($D3-20))*($D3+273.15))^-1.5*$EK3^0.5/(1+'Elements and ions'!$D$20*$EK3^0.5/(2*(79.755*EXP(-0.0046*($D3-20))*($D3+273.15))^0.5)))</f>
        <v>0.91537990569046923</v>
      </c>
      <c r="GE3" s="86">
        <f>10^(-1825000*(79.755*EXP(-0.0046*($D3-20))*($D3+273.15))^-1.5*4*$EK3^0.5/(1+'Elements and ions'!$D$21*$EK3^0.5/(2*(79.755*EXP(-0.0046*($D3-20))*($D3+273.15))^0.5)))</f>
        <v>0.71928430157068046</v>
      </c>
      <c r="GF3" s="86">
        <f>10^(-1825000*(79.755*EXP(-0.0046*($D3-20))*($D3+273.15))^-1.5*4*$EK3^0.5/(1+'Elements and ions'!$D$13*$EK3^0.5/(2*(79.755*EXP(-0.0046*($D3-20))*($D3+273.15))^0.5)))</f>
        <v>0.72968465292780216</v>
      </c>
      <c r="GG3" s="87">
        <f>10^(-1825000*(79.755*EXP(-0.0046*($D3-20))*($D3+273.15))^-1.5*4*$EK3^0.5/(1+'Elements and ions'!$D$27*$EK3^0.5/(2*(79.755*EXP(-0.0046*($D3-20))*($D3+273.15))^0.5)))</f>
        <v>0.71928430157068046</v>
      </c>
      <c r="GH3" s="126">
        <f>10^(-1825000*(79.755*EXP(-0.0046*($D3-20))*($D3+273.15))^-1.5*$EK3^0.5/(1+'Elements and ions'!$G$3*$EK3^0.5/(2*(79.755*EXP(-0.0046*($D3-20))*($D3+273.15))^0.5)))</f>
        <v>0.91037171517770532</v>
      </c>
      <c r="GI3" s="86">
        <f>10^(-1825000*(79.755*EXP(-0.0046*($D3-20))*($D3+273.15))^-1.5*4*$EK3^0.5/(1+'Elements and ions'!$G$4*$EK3^0.5/(2*(79.755*EXP(-0.0046*($D3-20))*($D3+273.15))^0.5)))</f>
        <v>0.68680321980200776</v>
      </c>
      <c r="GJ3" s="86">
        <f>10^(-1825000*(79.755*EXP(-0.0046*($D3-20))*($D3+273.15))^-1.5*$EK3^0.5/(1+'Elements and ions'!$D$18*$EK3^0.5/(2*(79.755*EXP(-0.0046*($D3-20))*($D3+273.15))^0.5)))</f>
        <v>0.91537990569046923</v>
      </c>
      <c r="GK3" s="86">
        <f>10^(-1825000*(79.755*EXP(-0.0046*($D3-20))*($D3+273.15))^-1.5*$EK3^0.5/(1+'Elements and ions'!$I$7*$EK3^0.5/(2*(79.755*EXP(-0.0046*($D3-20))*($D3+273.15))^0.5)))</f>
        <v>0.91537990569046923</v>
      </c>
      <c r="GL3" s="86">
        <f>10^(-1825000*(79.755*EXP(-0.0046*($D3-20))*($D3+273.15))^-1.5*$EK3^0.5/(1+'Elements and ions'!$D$10*$EK3^0.5/(2*(79.755*EXP(-0.0046*($D3-20))*($D3+273.15))^0.5)))</f>
        <v>0.91635778432632609</v>
      </c>
      <c r="GM3" s="87">
        <f>10^(-1825000*(79.755*EXP(-0.0046*($D3-20))*($D3+273.15))^-1.5*4*$EK3^0.5/(1+'Elements and ions'!$I$5*$EK3^0.5/(2*(79.755*EXP(-0.0046*($D3-20))*($D3+273.15))^0.5)))</f>
        <v>0.70806124941381843</v>
      </c>
      <c r="GN3" s="200"/>
      <c r="GO3" s="126">
        <f t="shared" ref="GO3:GO18" si="43">IF($CQ3&lt;&gt;"",GC3*$CQ3,"")</f>
        <v>8.3791967612525272E-5</v>
      </c>
      <c r="GP3" s="86" t="str">
        <f t="shared" ref="GP3:GP18" si="44">IF($CR3&lt;&gt;"",GD3*$CR3,"")</f>
        <v/>
      </c>
      <c r="GQ3" s="86">
        <f t="shared" ref="GQ3:GQ18" si="45">IF($CS3&lt;&gt;"",GE3*$CS3,"")</f>
        <v>8.6146131232578134E-4</v>
      </c>
      <c r="GR3" s="86">
        <f t="shared" ref="GR3:GR18" si="46">IF($CT3&lt;&gt;"",GF3*$CT3,"")</f>
        <v>1.0807919154659896E-4</v>
      </c>
      <c r="GS3" s="87">
        <f t="shared" ref="GS3:GS18" si="47">IF($DA3&lt;&gt;"",GG3*$DA3,"")</f>
        <v>6.440006281409979E-7</v>
      </c>
      <c r="GT3" s="126">
        <f t="shared" ref="GT3:GT18" si="48">IF($CU3&lt;&gt;"",GH3*$CU3,"")</f>
        <v>1.4404825676903521E-3</v>
      </c>
      <c r="GU3" s="86">
        <f t="shared" ref="GU3:GU18" si="49">IF($DK3&lt;&gt;"",GI3*$DK3,"")</f>
        <v>1.7223506509186224E-6</v>
      </c>
      <c r="GV3" s="86">
        <f t="shared" ref="GV3:GV18" si="50">IF($CV3&lt;&gt;"",GJ3*$CV3,"")</f>
        <v>2.0655626450578944E-4</v>
      </c>
      <c r="GW3" s="86" t="str">
        <f t="shared" ref="GW3:GW18" si="51">IF($CW3&lt;&gt;"",GK3*$CW3,"")</f>
        <v/>
      </c>
      <c r="GX3" s="86" t="str">
        <f t="shared" ref="GX3:GX18" si="52">IF($DL3&lt;&gt;"",GL3*$DL3,"")</f>
        <v/>
      </c>
      <c r="GY3" s="98">
        <f t="shared" ref="GY3:GY18" si="53">IF($CX3&lt;&gt;"",GM3*$CX3,"")</f>
        <v>2.358666117848381E-5</v>
      </c>
      <c r="GZ3" s="201"/>
      <c r="HA3" s="85">
        <f>IF(AND(GQ3&lt;&gt;"",GU3&lt;&gt;""),LOG(GQ3*GU3/Minerals!$C$6),"")</f>
        <v>-0.34847064192502425</v>
      </c>
      <c r="HB3" s="86">
        <f>IF(AND(GQ3&lt;&gt;"",GU3&lt;&gt;""),LOG(GQ3*GU3/Minerals!$C$5),"")</f>
        <v>-0.47895017128124201</v>
      </c>
      <c r="HC3" s="86" t="str">
        <f>IF(AND(GQ3&lt;&gt;"",GX3&lt;&gt;""),LOG(GQ3*GX3^2/Minerals!$C$2),"")</f>
        <v/>
      </c>
      <c r="HD3" s="86">
        <f>IF(AND(GQ3&lt;&gt;"",GY3&lt;&gt;""),LOG($GQ3*$GY3/Minerals!$C$3),"")</f>
        <v>-3.0921173882637198</v>
      </c>
      <c r="HE3" s="98">
        <f>IF(AND(GQ3&lt;&gt;"",GY3&lt;&gt;""),LOG($GQ3*$GY3/Minerals!$C$3),"")</f>
        <v>-3.0921173882637198</v>
      </c>
      <c r="HF3" s="201"/>
      <c r="HG3" s="85">
        <f>IF(HA3&lt;&gt;"",LOG(GQ3*GU3/(EXP(-1*Minerals!$E$6/'Other Constants'!$B$2*(1/(273.15+'ppm-mgL-1'!$D3)-1/298.15)+LN(Minerals!$C$6)))),"")</f>
        <v>-0.34847064192502364</v>
      </c>
      <c r="HH3" s="86">
        <f>IF(HA3&lt;&gt;"",LOG(GQ3*GU3/(EXP(-1*Minerals!$E$5/'Other Constants'!$B$2*(1/(273.15+'ppm-mgL-1'!$D3)-1/298.15)+LN(Minerals!$C$5)))),"")</f>
        <v>-0.47895017128124145</v>
      </c>
      <c r="HI3" s="86" t="str">
        <f>IF(HC3&lt;&gt;"",LOG(GQ3*GX3^2/(EXP(-1*Minerals!$E$2/'Other Constants'!$B$2*(1/(273.15+'ppm-mgL-1'!$D3)-1/298.15)+LN(Minerals!$C$2)))),"")</f>
        <v/>
      </c>
      <c r="HJ3" s="86">
        <f>IF(HD3&lt;&gt;"",LOG($FF3*$FN3/(EXP(-1*Minerals!$E$3/'Other Constants'!$B$2*(1/(273.15+'ppm-mgL-1'!$D3)-1/298.15)+LN(Minerals!$C$3)))),"")</f>
        <v>-3.0968723464609389</v>
      </c>
      <c r="HK3" s="87">
        <f>IF(HE3&lt;&gt;"",LOG($FF3*$FN3/(EXP(-1*Minerals!$E$4/'Other Constants'!$B$2*(1/(273.15+'ppm-mgL-1'!$D3)-1/298.15)+LN(Minerals!$C$4)))),"")</f>
        <v>-3.3368568579268412</v>
      </c>
      <c r="HL3" s="201"/>
      <c r="HM3" s="201"/>
    </row>
    <row r="4" spans="1:221" customFormat="1" x14ac:dyDescent="0.25">
      <c r="A4" s="3"/>
      <c r="B4" s="4" t="s">
        <v>122</v>
      </c>
      <c r="C4" s="5"/>
      <c r="D4" s="3">
        <v>25</v>
      </c>
      <c r="E4" s="4"/>
      <c r="F4" s="4"/>
      <c r="G4" s="4"/>
      <c r="H4" s="5"/>
      <c r="I4" s="3" t="str">
        <f t="shared" ref="I4:I25" si="54">IF(AND($E4&lt;&gt;"",F4&lt;&gt;""),20.78-$E4+0.25*LOG($F4),"")</f>
        <v/>
      </c>
      <c r="J4" s="4" t="str">
        <f t="shared" ref="J4:J25" si="55">IF(I4&lt;&gt;"", IF($D4&lt;&gt;"",I4*2.303*0.0019858*($D4+273.15)/23.06, 0.059*I4),"")</f>
        <v/>
      </c>
      <c r="K4" s="3" t="str">
        <f t="shared" ref="K4:K25" si="56">IF(AND($E4&lt;&gt;"",F4&lt;&gt;""),14.9-$E4+0.5*LOG($F4),"")</f>
        <v/>
      </c>
      <c r="L4" s="4" t="str">
        <f t="shared" si="1"/>
        <v/>
      </c>
      <c r="M4" s="3" t="str">
        <f t="shared" si="0"/>
        <v/>
      </c>
      <c r="N4" s="4" t="str">
        <f t="shared" ref="N4" si="57">IF(M4&lt;&gt;"", IF($D4&lt;&gt;"",M4*2.303*0.0019858*($D4+273.15)/23.06, 0.059*M4),"")</f>
        <v/>
      </c>
      <c r="O4" s="3" t="str">
        <f t="shared" si="2"/>
        <v/>
      </c>
      <c r="P4" s="4" t="str">
        <f t="shared" ref="P4" si="58">IF(O4&lt;&gt;"", IF($D4&lt;&gt;"",O4*2.303*0.0019858*($D4+273.15)/23.06, 0.059*O4),"")</f>
        <v/>
      </c>
      <c r="Q4" s="3" t="str">
        <f t="shared" si="3"/>
        <v/>
      </c>
      <c r="R4" s="4" t="str">
        <f t="shared" ref="R4" si="59">IF(Q4&lt;&gt;"", IF($D4&lt;&gt;"",Q4*2.303*0.0019858*($D4+273.15)/23.06, 0.059*Q4),"")</f>
        <v/>
      </c>
      <c r="S4" s="3" t="str">
        <f t="shared" si="4"/>
        <v/>
      </c>
      <c r="T4" s="4" t="str">
        <f t="shared" ref="T4" si="60">IF(S4&lt;&gt;"", IF($D4&lt;&gt;"",S4*2.303*0.0019858*($D4+273.15)/23.06, 0.059*S4),"")</f>
        <v/>
      </c>
      <c r="U4" s="3" t="str">
        <f>IF(AND($E4&lt;&gt;"",$CX4&lt;&gt;"",$DG4&lt;&gt;""),IF($E4&lt;7,5.12-5/4*$E4+1/8*LOG($CX4/$DG4),4.25-9/8*$E4+1/8*(LOG($CX4)-$E4-LOG($DG4)+pKa!$B$3)),"")</f>
        <v/>
      </c>
      <c r="V4" s="4" t="str">
        <f t="shared" ref="V4" si="61">IF(U4&lt;&gt;"", IF($D4&lt;&gt;"",U4*2.303*0.0019858*($D4+273.15)/23.06, 0.059*U4),"")</f>
        <v/>
      </c>
      <c r="W4" s="3" t="str">
        <f t="shared" si="5"/>
        <v/>
      </c>
      <c r="X4" s="4" t="str">
        <f t="shared" ref="X4" si="62">IF(W4&lt;&gt;"", IF($D4&lt;&gt;"",W4*2.303*0.0019858*($D4+273.15)/23.06, 0.059*W4),"")</f>
        <v/>
      </c>
      <c r="Y4" s="3" t="str">
        <f t="shared" si="6"/>
        <v/>
      </c>
      <c r="Z4" s="4" t="str">
        <f t="shared" ref="Z4" si="63">IF(Y4&lt;&gt;"", IF($D4&lt;&gt;"",Y4*2.303*0.0019858*($D4+273.15)/23.06, 0.059*Y4),"")</f>
        <v/>
      </c>
      <c r="AA4" s="3" t="str">
        <f t="shared" si="7"/>
        <v/>
      </c>
      <c r="AB4" s="4" t="str">
        <f t="shared" ref="AB4" si="64">IF(AA4&lt;&gt;"", IF($D4&lt;&gt;"",AA4*2.303*0.0019858*($D4+273.15)/23.06, 0.059*AA4),"")</f>
        <v/>
      </c>
      <c r="AC4" s="4"/>
      <c r="AD4" s="83" t="str">
        <f>IF(E4&lt;&gt;"",10^(-2*$E4)/(10^(-2*$E4)+10^(-$E4-pKa!$B$2)+(10^(-pKa!$B$2-pKa!$C$2))),"")</f>
        <v/>
      </c>
      <c r="AE4" s="84" t="str">
        <f>IF(E4&lt;&gt;"",10^(-$E4-pKa!$B$2)/(10^(-2*$E4)+10^(-$E4-pKa!$B$2)+10^(-pKa!$B$2-pKa!$C$2)),"")</f>
        <v/>
      </c>
      <c r="AF4" s="212" t="str">
        <f>IF(E4&lt;&gt;"",10^(-pKa!$B$2-pKa!$C$2)/(10^(-2*$E4)+10^(-$E4-pKa!$B$2)+10^(-pKa!$B$2-pKa!$C$2)),"")</f>
        <v/>
      </c>
      <c r="AG4" s="152"/>
      <c r="AH4" s="222" t="str">
        <f>IF($AK4&lt;&gt;"",$AK4/'Elements and ions'!$G$3,IF($E4="","","Enter Alk(HCO3-)"))</f>
        <v/>
      </c>
      <c r="AI4" s="85" t="str">
        <f t="shared" ref="AI4:AI13" si="65">IF($AH4&lt;&gt;"",($AH4-10^(-14+$E4)+10^(-$E4))/1000/(AE4+2*AF4),IF($E4="","",""))</f>
        <v/>
      </c>
      <c r="AJ4" s="84" t="str">
        <f>IF(AI4&lt;&gt;"",AI4*1000*'Elements and ions'!$B$7,"")</f>
        <v/>
      </c>
      <c r="AK4" s="99"/>
      <c r="AL4" s="88" t="str">
        <f>IF($AK4&lt;&gt;"",$AK4*'Elements and ions'!$G$3/Minerals!$B$6,IF($E4="","","Enter Alk(HCO3-)"))</f>
        <v/>
      </c>
      <c r="AM4" s="198"/>
      <c r="AN4" s="91" t="str">
        <f t="shared" si="8"/>
        <v/>
      </c>
      <c r="AO4" s="89" t="str">
        <f t="shared" si="9"/>
        <v/>
      </c>
      <c r="AP4" s="90" t="str">
        <f t="shared" si="10"/>
        <v/>
      </c>
      <c r="AQ4" s="198"/>
      <c r="AR4" s="198"/>
      <c r="AS4" s="83" t="str">
        <f t="shared" ref="AS4:AS67" si="66">IF(AT4&lt;&gt;"",AT4/10000,"")</f>
        <v/>
      </c>
      <c r="AT4" s="83" t="str">
        <f>IF(AN4&lt;&gt;"",AN4/'Henrys law constants'!$B$7*1000000,"")</f>
        <v/>
      </c>
      <c r="AU4" s="3">
        <v>29</v>
      </c>
      <c r="AV4" s="4"/>
      <c r="AW4" s="4">
        <v>144</v>
      </c>
      <c r="AX4" s="4">
        <v>55</v>
      </c>
      <c r="AY4" s="226"/>
      <c r="AZ4" s="4">
        <v>53</v>
      </c>
      <c r="BA4" s="4">
        <v>0.3</v>
      </c>
      <c r="BB4" s="5">
        <v>60</v>
      </c>
      <c r="BC4" s="222" t="str">
        <f>IF($E4&lt;&gt;"",10^-$E4*'Elements and ions'!B3*1000,"")</f>
        <v/>
      </c>
      <c r="BD4" s="4"/>
      <c r="BE4" s="4"/>
      <c r="BF4" s="4"/>
      <c r="BG4" s="5"/>
      <c r="BH4" s="3"/>
      <c r="BI4" s="4"/>
      <c r="BJ4" s="88" t="str">
        <f>IF($AN4&lt;&gt;"",$AN4*'Elements and ions'!$G$2*1000,"")</f>
        <v/>
      </c>
      <c r="BK4" s="229"/>
      <c r="BL4" s="230"/>
      <c r="BM4" s="91" t="str">
        <f>IF($E4&lt;&gt;"",(10^-14+$E4)*'Elements and ions'!$G$8,"")</f>
        <v/>
      </c>
      <c r="BN4" s="4"/>
      <c r="BO4" s="97" t="str">
        <f>IF($AP4&lt;&gt;"",$AP4*'Elements and ions'!$G$4*1000,"")</f>
        <v/>
      </c>
      <c r="BP4" s="4"/>
      <c r="BQ4" s="5"/>
      <c r="BR4" s="195"/>
      <c r="BS4" s="238">
        <f>IF($AU4&lt;&gt;"",$AU4/'Elements and ions'!$B$12,"")</f>
        <v>1.2614306671284696</v>
      </c>
      <c r="BT4" s="239" t="str">
        <f>IF($AV4&lt;&gt;"",$AV4/'Elements and ions'!$B$20,"")</f>
        <v/>
      </c>
      <c r="BU4" s="239">
        <f>IF($AW4&lt;&gt;"",$AW4/'Elements and ions'!$B$21, "")</f>
        <v>3.5929936623584009</v>
      </c>
      <c r="BV4" s="240">
        <f>IF($AX4&lt;&gt;"",$AX4/'Elements and ions'!$B$13, "")</f>
        <v>2.262908866488377</v>
      </c>
      <c r="BW4" s="238" t="str">
        <f>IF($AY4&lt;&gt;"",$AY4/'Elements and ions'!$G$3,"")</f>
        <v/>
      </c>
      <c r="BX4" s="239">
        <f>IF($AZ4&lt;&gt;"",$AZ4/'Elements and ions'!$B$18,"")</f>
        <v>1.4949369587905112</v>
      </c>
      <c r="BY4" s="239">
        <f>IF($BA4&lt;&gt;"",$BA4/'Elements and ions'!$G$7,"")</f>
        <v>4.8383272934880948E-3</v>
      </c>
      <c r="BZ4" s="241">
        <f>IF($BB4&lt;&gt;"",$BB4/'Elements and ions'!$G$5,"")</f>
        <v>0.62459271350140422</v>
      </c>
      <c r="CA4" s="91" t="str">
        <f t="shared" ref="CA4:CA67" si="67">IF($E4&lt;&gt;"",10^-$E4*1000,"")</f>
        <v/>
      </c>
      <c r="CB4" s="163" t="str">
        <f>IF($BD4&lt;&gt;"",$BD4/'Elements and ions'!$B$14,"")</f>
        <v/>
      </c>
      <c r="CC4" s="89" t="str">
        <f>IF($BE4&lt;&gt;"",$BE4/'Elements and ions'!$B$27, "")</f>
        <v/>
      </c>
      <c r="CD4" s="249" t="str">
        <f>IF($BF4&lt;&gt;"",$BF4/'Elements and ions'!$B$26,"")</f>
        <v/>
      </c>
      <c r="CE4" s="250" t="str">
        <f>IF($BG4&lt;&gt;"",$BG4/'Elements and ions'!$G$6,"")</f>
        <v/>
      </c>
      <c r="CF4" s="91" t="str">
        <f>IF($BH4&lt;&gt;"",$BH4/'Elements and ions'!$G$15,"")</f>
        <v/>
      </c>
      <c r="CG4" s="89" t="str">
        <f>IF($BI4&lt;&gt;"",$BI4/'Elements and ions'!$G$16,"")</f>
        <v/>
      </c>
      <c r="CH4" s="90" t="str">
        <f>IF($BJ4&lt;&gt;"",$BJ4/'Elements and ions'!$G$2,"")</f>
        <v/>
      </c>
      <c r="CI4" s="91" t="str">
        <f>IF($BK4&lt;&gt;"",$BK4/'Elements and ions'!$B$15, "")</f>
        <v/>
      </c>
      <c r="CJ4" s="88" t="str">
        <f>IF($BL4&lt;&gt;"", $BL4/'Elements and ions'!$G$17,"")</f>
        <v/>
      </c>
      <c r="CK4" s="89" t="str">
        <f t="shared" ref="CK4:CK67" si="68">IF($E4&lt;&gt;"",(10^(-14+$E4))*1000,"")</f>
        <v/>
      </c>
      <c r="CL4" s="163" t="str">
        <f>IF($BN4&lt;&gt;"", $BN4/'Elements and ions'!$G$19,"")</f>
        <v/>
      </c>
      <c r="CM4" s="89" t="str">
        <f>IF($BO4&lt;&gt;"",$BO4/'Elements and ions'!$G$4,"")</f>
        <v/>
      </c>
      <c r="CN4" s="89" t="str">
        <f>IF($BP4&lt;&gt;"",$BP4/'Elements and ions'!$B$10,"")</f>
        <v/>
      </c>
      <c r="CO4" s="104" t="str">
        <f>IF($BQ4&lt;&gt;"",$BQ4/'Elements and ions'!$G$18,"")</f>
        <v/>
      </c>
      <c r="CP4" s="242"/>
      <c r="CQ4" s="238">
        <f>IF($BS4&lt;&gt;"",BS4/1000,"")</f>
        <v>1.2614306671284697E-3</v>
      </c>
      <c r="CR4" s="239" t="str">
        <f>IF($BT4&lt;&gt;"",BT4/1000,"")</f>
        <v/>
      </c>
      <c r="CS4" s="239">
        <f>IF($BU4&lt;&gt;"",BU4/1000,"")</f>
        <v>3.5929936623584008E-3</v>
      </c>
      <c r="CT4" s="241">
        <f>IF($BV4&lt;&gt;"",BV4/1000,"")</f>
        <v>2.2629088664883768E-3</v>
      </c>
      <c r="CU4" s="238" t="str">
        <f t="shared" si="11"/>
        <v/>
      </c>
      <c r="CV4" s="239">
        <f t="shared" si="12"/>
        <v>1.4949369587905113E-3</v>
      </c>
      <c r="CW4" s="239">
        <f t="shared" si="13"/>
        <v>4.8383272934880948E-6</v>
      </c>
      <c r="CX4" s="241">
        <f t="shared" ref="CX4:CX18" si="69">IF(BZ4&lt;&gt;"",BZ4/1000,"")</f>
        <v>6.2459271350140421E-4</v>
      </c>
      <c r="CY4" s="258" t="str">
        <f>IF($E4&lt;&gt;"",10^-$E4,"")</f>
        <v/>
      </c>
      <c r="CZ4" s="259" t="str">
        <f>IF(CB4&lt;&gt;"",CB4/1000,"")</f>
        <v/>
      </c>
      <c r="DA4" s="260" t="str">
        <f t="shared" ref="DA4" si="70">IF(CC4&lt;&gt;"",CC4/1000,"")</f>
        <v/>
      </c>
      <c r="DB4" s="261" t="str">
        <f t="shared" ref="DB4" si="71">IF(CD4&lt;&gt;"",CD4/1000,"")</f>
        <v/>
      </c>
      <c r="DC4" s="262" t="str">
        <f t="shared" ref="DC4" si="72">IF(CE4&lt;&gt;"",CE4/1000,"")</f>
        <v/>
      </c>
      <c r="DD4" s="263" t="str">
        <f t="shared" ref="DD4" si="73">IF(CF4&lt;&gt;"",CF4/1000,"")</f>
        <v/>
      </c>
      <c r="DE4" s="259" t="str">
        <f t="shared" ref="DE4" si="74">IF(CG4&lt;&gt;"",CG4/1000,"")</f>
        <v/>
      </c>
      <c r="DF4" s="260" t="str">
        <f t="shared" ref="DF4" si="75">IF(CH4&lt;&gt;"",CH4/1000,"")</f>
        <v/>
      </c>
      <c r="DG4" s="260" t="str">
        <f t="shared" ref="DG4" si="76">IF(CI4&lt;&gt;"",CI4/1000,"")</f>
        <v/>
      </c>
      <c r="DH4" s="264" t="str">
        <f t="shared" ref="DH4" si="77">IF(CJ4&lt;&gt;"",CJ4/1000,"")</f>
        <v/>
      </c>
      <c r="DI4" s="258" t="str">
        <f>IF($E4&lt;&gt;"",(10^(-14+$E4)),"")</f>
        <v/>
      </c>
      <c r="DJ4" s="260" t="str">
        <f t="shared" ref="DJ4" si="78">IF(CL4&lt;&gt;"",CL4/1000,"")</f>
        <v/>
      </c>
      <c r="DK4" s="260" t="str">
        <f t="shared" ref="DK4" si="79">IF(CM4&lt;&gt;"",CM4/1000,"")</f>
        <v/>
      </c>
      <c r="DL4" s="260" t="str">
        <f t="shared" ref="DL4" si="80">IF(CN4&lt;&gt;"",CN4/1000,"")</f>
        <v/>
      </c>
      <c r="DM4" s="265" t="str">
        <f t="shared" ref="DM4" si="81">IF(CO4&lt;&gt;"",CO4/1000,"")</f>
        <v/>
      </c>
      <c r="DN4" s="242"/>
      <c r="DO4" s="238">
        <f t="shared" si="18"/>
        <v>1.2614306671284696</v>
      </c>
      <c r="DP4" s="239">
        <f t="shared" si="19"/>
        <v>0</v>
      </c>
      <c r="DQ4" s="239">
        <f t="shared" si="20"/>
        <v>7.1859873247168018</v>
      </c>
      <c r="DR4" s="241">
        <f t="shared" si="21"/>
        <v>4.5258177329767539</v>
      </c>
      <c r="DS4" s="238">
        <f t="shared" si="22"/>
        <v>0</v>
      </c>
      <c r="DT4" s="239">
        <f t="shared" si="23"/>
        <v>-1.4949369587905112</v>
      </c>
      <c r="DU4" s="239">
        <f t="shared" si="24"/>
        <v>-4.8383272934880948E-3</v>
      </c>
      <c r="DV4" s="241">
        <f t="shared" si="25"/>
        <v>-1.2491854270028084</v>
      </c>
      <c r="DW4" s="91" t="str">
        <f>IF($E4&lt;&gt;"",10^-$E4*1000,"")</f>
        <v/>
      </c>
      <c r="DX4" s="89">
        <f>IF(CB4&lt;&gt;"",CB4*3,0)</f>
        <v>0</v>
      </c>
      <c r="DY4" s="89">
        <f>IF(CC4&lt;&gt;"",CC4*2,0)</f>
        <v>0</v>
      </c>
      <c r="DZ4" s="89">
        <f>IF(CD4&lt;&gt;"",CD4*2,0)</f>
        <v>0</v>
      </c>
      <c r="EA4" s="90">
        <f>IF(CE4&lt;&gt;"",CE4,0)</f>
        <v>0</v>
      </c>
      <c r="EB4" s="91" t="str">
        <f>IF($E4&lt;&gt;"",(10^(-14+$E4))*-1000,"")</f>
        <v/>
      </c>
      <c r="EC4" s="89">
        <f>IF(CL4&lt;&gt;"",CL4*-1,0)</f>
        <v>0</v>
      </c>
      <c r="ED4" s="89">
        <f>IF(CM4&lt;&gt;"",CM4*-2,0)</f>
        <v>0</v>
      </c>
      <c r="EE4" s="89">
        <f t="shared" ref="EE4" si="82">IF(CN4&lt;&gt;"",CN4*-1,0)</f>
        <v>0</v>
      </c>
      <c r="EF4" s="90">
        <f>IF(CO4&lt;&gt;"",CO4*-2,0)</f>
        <v>0</v>
      </c>
      <c r="EG4" s="242"/>
      <c r="EH4" s="245">
        <f>SUM(DO4:DR4,DW4:EA4)</f>
        <v>12.973235724822025</v>
      </c>
      <c r="EI4" s="246">
        <f>SUM(DS4:DV4,EB4:EF4)</f>
        <v>-2.7489607130868077</v>
      </c>
      <c r="EJ4" s="198">
        <f t="shared" ref="EJ4:EJ18" si="83">IF(EH4&lt;&gt;EI4,(EH4+EI4)/(EH4-EI4)*100,0)</f>
        <v>65.030831106287351</v>
      </c>
      <c r="EK4" s="198">
        <f t="shared" si="27"/>
        <v>2.7302583945998965E-2</v>
      </c>
      <c r="EL4" s="91" t="str">
        <f>IF(AND(CS4&lt;&gt;"",DK4&lt;&gt;""),LOG(CS4*DK4/Minerals!$C$6),"")</f>
        <v/>
      </c>
      <c r="EM4" s="89" t="str">
        <f>IF(AND(CS4&lt;&gt;"",DK4&lt;&gt;""),LOG(CS4*DK4/Minerals!$C$5),"")</f>
        <v/>
      </c>
      <c r="EN4" s="89" t="str">
        <f>IF(AND(CS4&lt;&gt;"",DL4&lt;&gt;""),LOG(CS4*DL4^2/Minerals!$C$2),"")</f>
        <v/>
      </c>
      <c r="EO4" s="89">
        <f>IF(AND(CS4&lt;&gt;"",CX4&lt;&gt;""),LOG($CS4*$CX4/Minerals!$C$3),"")</f>
        <v>-1.048966270462738</v>
      </c>
      <c r="EP4" s="90">
        <f>IF(AND(CS4&lt;&gt;"",CX4&lt;&gt;""),LOG($CS4*$CX4/Minerals!$C$4),"")</f>
        <v>-1.2889507819286405</v>
      </c>
      <c r="EQ4" s="198"/>
      <c r="ER4" s="91">
        <f t="shared" si="28"/>
        <v>0.84937214996398669</v>
      </c>
      <c r="ES4" s="89">
        <f t="shared" si="28"/>
        <v>0.84937214996398669</v>
      </c>
      <c r="ET4" s="89">
        <f t="shared" si="29"/>
        <v>0.52046564438342269</v>
      </c>
      <c r="EU4" s="89">
        <f t="shared" si="29"/>
        <v>0.52046564438342269</v>
      </c>
      <c r="EV4" s="90">
        <f t="shared" si="29"/>
        <v>0.52046564438342269</v>
      </c>
      <c r="EW4" s="91">
        <f t="shared" si="30"/>
        <v>0.84937214996398669</v>
      </c>
      <c r="EX4" s="89">
        <f t="shared" si="31"/>
        <v>0.52046564438342269</v>
      </c>
      <c r="EY4" s="89">
        <f t="shared" si="30"/>
        <v>0.84937214996398669</v>
      </c>
      <c r="EZ4" s="89">
        <f t="shared" si="30"/>
        <v>0.84937214996398669</v>
      </c>
      <c r="FA4" s="89">
        <f t="shared" ref="FA4:FA9" si="84">10^(-0.5*SQRT($EK4)/(1+SQRT($EK4)))</f>
        <v>0.84937214996398669</v>
      </c>
      <c r="FB4" s="90">
        <f t="shared" si="32"/>
        <v>0.52046564438342269</v>
      </c>
      <c r="FC4" s="198"/>
      <c r="FD4" s="91">
        <f t="shared" si="33"/>
        <v>1.0714240777694142E-3</v>
      </c>
      <c r="FE4" s="89" t="str">
        <f t="shared" si="34"/>
        <v/>
      </c>
      <c r="FF4" s="89">
        <f t="shared" si="35"/>
        <v>1.8700297617449189E-3</v>
      </c>
      <c r="FG4" s="89">
        <f t="shared" si="36"/>
        <v>1.1777663213778336E-3</v>
      </c>
      <c r="FH4" s="90" t="str">
        <f t="shared" si="37"/>
        <v/>
      </c>
      <c r="FI4" s="91" t="str">
        <f t="shared" ref="FI4:FI18" si="85">IF($CU4&lt;&gt;"",EW4*$CU4,"")</f>
        <v/>
      </c>
      <c r="FJ4" s="89" t="str">
        <f t="shared" si="38"/>
        <v/>
      </c>
      <c r="FK4" s="89">
        <f t="shared" si="39"/>
        <v>1.2697578187485204E-3</v>
      </c>
      <c r="FL4" s="89">
        <f t="shared" si="40"/>
        <v>4.10954045549942E-6</v>
      </c>
      <c r="FM4" s="89" t="str">
        <f t="shared" si="41"/>
        <v/>
      </c>
      <c r="FN4" s="90">
        <f t="shared" si="42"/>
        <v>3.2507904910969887E-4</v>
      </c>
      <c r="FO4" s="198"/>
      <c r="FP4" s="91" t="str">
        <f>IF(EL4&lt;&gt;"",LOG(FF4*FJ4/Minerals!$C$6),"")</f>
        <v/>
      </c>
      <c r="FQ4" s="89" t="str">
        <f>IF(EL4&lt;&gt;"",LOG(FF4*FJ4/Minerals!$C$5),"")</f>
        <v/>
      </c>
      <c r="FR4" s="89" t="str">
        <f>IF(EN4&lt;&gt;"",LOG(FF4*FM4^2/Minerals!$C$2),"")</f>
        <v/>
      </c>
      <c r="FS4" s="89">
        <f>IF(EO4&lt;&gt;"",LOG($FF4*$FN4/Minerals!$C$3),"")</f>
        <v>-1.6161821358998341</v>
      </c>
      <c r="FT4" s="90">
        <f>IF(EP4&lt;&gt;"",LOG($FF4*$FN4/Minerals!$C$4),"")</f>
        <v>-1.8561666473657366</v>
      </c>
      <c r="FU4" s="163"/>
      <c r="FV4" s="91" t="str">
        <f>IF(FP4&lt;&gt;"",LOG(FF4*FJ4/(EXP(-1*Minerals!$E$6/'Other Constants'!$B$2*(1/(273.15+'ppm-mgL-1'!$D4)-1/298.15)+LN(Minerals!$C$6)))),"")</f>
        <v/>
      </c>
      <c r="FW4" s="89" t="str">
        <f>IF(FP4&lt;&gt;"",LOG(FF4*FJ4/(EXP(-1*Minerals!$E$5/'Other Constants'!$B$2*(1/(273.15+'ppm-mgL-1'!$D4)-1/298.15)+LN(Minerals!$C$5)))),"")</f>
        <v/>
      </c>
      <c r="FX4" s="89" t="str">
        <f>IF(FR4&lt;&gt;"",LOG(FF4*FM4^2/(EXP(-1*Minerals!$E$2/'Other Constants'!$B$2*(1/(273.15+'ppm-mgL-1'!$D4)-1/298.15)+LN(Minerals!$C$2)))),"")</f>
        <v/>
      </c>
      <c r="FY4" s="89">
        <f>IF(FS4&lt;&gt;"",LOG($FF4*$FN4/(EXP(-1*Minerals!$E$3/'Other Constants'!$B$2*(1/(273.15+'ppm-mgL-1'!$D4)-1/298.15)+LN(Minerals!$C$3)))),"")</f>
        <v>-1.6161821358998341</v>
      </c>
      <c r="FZ4" s="90">
        <f>IF(FT4&lt;&gt;"",LOG($FF4*$FN4/(EXP(-1*Minerals!$E$4/'Other Constants'!$B$2*(1/(273.15+'ppm-mgL-1'!$D4)-1/298.15)+LN(Minerals!$C$4)))),"")</f>
        <v>-1.8561666473657363</v>
      </c>
      <c r="GA4" s="163"/>
      <c r="GB4" s="163"/>
      <c r="GC4" s="91">
        <f>10^(-1825000*(79.755*EXP(-0.0046*($D4-20))*($D4+273.15))^-1.5*$EK4^0.5/(1+'Elements and ions'!$D$12*$EK4^0.5/(2*(79.755*EXP(-0.0046*($D4-20))*($D4+273.15))^0.5)))</f>
        <v>0.85121800110158774</v>
      </c>
      <c r="GD4" s="89">
        <f>10^(-1825000*(79.755*EXP(-0.0046*($D4-20))*($D4+273.15))^-1.5*$EK4^0.5/(1+'Elements and ions'!$D$20*$EK4^0.5/(2*(79.755*EXP(-0.0046*($D4-20))*($D4+273.15))^0.5)))</f>
        <v>0.84484982012671317</v>
      </c>
      <c r="GE4" s="89">
        <f>10^(-1825000*(79.755*EXP(-0.0046*($D4-20))*($D4+273.15))^-1.5*4*$EK4^0.5/(1+'Elements and ions'!$D$21*$EK4^0.5/(2*(79.755*EXP(-0.0046*($D4-20))*($D4+273.15))^0.5)))</f>
        <v>0.55341686727640038</v>
      </c>
      <c r="GF4" s="89">
        <f>10^(-1825000*(79.755*EXP(-0.0046*($D4-20))*($D4+273.15))^-1.5*4*$EK4^0.5/(1+'Elements and ions'!$D$13*$EK4^0.5/(2*(79.755*EXP(-0.0046*($D4-20))*($D4+273.15))^0.5)))</f>
        <v>0.5787356954765831</v>
      </c>
      <c r="GG4" s="90">
        <f>10^(-1825000*(79.755*EXP(-0.0046*($D4-20))*($D4+273.15))^-1.5*4*$EK4^0.5/(1+'Elements and ions'!$D$27*$EK4^0.5/(2*(79.755*EXP(-0.0046*($D4-20))*($D4+273.15))^0.5)))</f>
        <v>0.55341686727640038</v>
      </c>
      <c r="GH4" s="91">
        <f>10^(-1825000*(79.755*EXP(-0.0046*($D4-20))*($D4+273.15))^-1.5*$EK4^0.5/(1+'Elements and ions'!$G$3*$EK4^0.5/(2*(79.755*EXP(-0.0046*($D4-20))*($D4+273.15))^0.5)))</f>
        <v>0.82717911725535986</v>
      </c>
      <c r="GI4" s="89">
        <f>10^(-1825000*(79.755*EXP(-0.0046*($D4-20))*($D4+273.15))^-1.5*4*$EK4^0.5/(1+'Elements and ions'!$G$4*$EK4^0.5/(2*(79.755*EXP(-0.0046*($D4-20))*($D4+273.15))^0.5)))</f>
        <v>0.46797630936006446</v>
      </c>
      <c r="GJ4" s="89">
        <f>10^(-1825000*(79.755*EXP(-0.0046*($D4-20))*($D4+273.15))^-1.5*$EK4^0.5/(1+'Elements and ions'!$D$18*$EK4^0.5/(2*(79.755*EXP(-0.0046*($D4-20))*($D4+273.15))^0.5)))</f>
        <v>0.84484982012671317</v>
      </c>
      <c r="GK4" s="89">
        <f>10^(-1825000*(79.755*EXP(-0.0046*($D4-20))*($D4+273.15))^-1.5*$EK4^0.5/(1+'Elements and ions'!$I$7*$EK4^0.5/(2*(79.755*EXP(-0.0046*($D4-20))*($D4+273.15))^0.5)))</f>
        <v>0.84484982012671317</v>
      </c>
      <c r="GL4" s="89">
        <f>10^(-1825000*(79.755*EXP(-0.0046*($D4-20))*($D4+273.15))^-1.5*$EK4^0.5/(1+'Elements and ions'!$D$10*$EK4^0.5/(2*(79.755*EXP(-0.0046*($D4-20))*($D4+273.15))^0.5)))</f>
        <v>0.84810046171416009</v>
      </c>
      <c r="GM4" s="90">
        <f>10^(-1825000*(79.755*EXP(-0.0046*($D4-20))*($D4+273.15))^-1.5*4*$EK4^0.5/(1+'Elements and ions'!$I$5*$EK4^0.5/(2*(79.755*EXP(-0.0046*($D4-20))*($D4+273.15))^0.5)))</f>
        <v>0.52500470694001034</v>
      </c>
      <c r="GN4" s="163"/>
      <c r="GO4" s="91">
        <f t="shared" si="43"/>
        <v>1.0737524910013382E-3</v>
      </c>
      <c r="GP4" s="89" t="str">
        <f t="shared" si="44"/>
        <v/>
      </c>
      <c r="GQ4" s="89">
        <f t="shared" si="45"/>
        <v>1.9884232967663468E-3</v>
      </c>
      <c r="GR4" s="89">
        <f t="shared" si="46"/>
        <v>1.3096261366472772E-3</v>
      </c>
      <c r="GS4" s="90" t="str">
        <f t="shared" si="47"/>
        <v/>
      </c>
      <c r="GT4" s="91" t="str">
        <f t="shared" si="48"/>
        <v/>
      </c>
      <c r="GU4" s="89" t="str">
        <f t="shared" si="49"/>
        <v/>
      </c>
      <c r="GV4" s="89">
        <f t="shared" si="50"/>
        <v>1.2629972207349391E-3</v>
      </c>
      <c r="GW4" s="89">
        <f t="shared" si="51"/>
        <v>4.0876599436175835E-6</v>
      </c>
      <c r="GX4" s="89" t="str">
        <f t="shared" si="52"/>
        <v/>
      </c>
      <c r="GY4" s="97">
        <f t="shared" si="53"/>
        <v>3.2791411450867056E-4</v>
      </c>
      <c r="GZ4" s="198"/>
      <c r="HA4" s="88" t="str">
        <f>IF(AND(GQ4&lt;&gt;"",GU4&lt;&gt;""),LOG(GQ4*GU4/Minerals!$C$6),"")</f>
        <v/>
      </c>
      <c r="HB4" s="89" t="str">
        <f>IF(AND(GQ4&lt;&gt;"",GU4&lt;&gt;""),LOG(GQ4*GU4/Minerals!$C$5),"")</f>
        <v/>
      </c>
      <c r="HC4" s="89" t="str">
        <f>IF(AND(GQ4&lt;&gt;"",GX4&lt;&gt;""),LOG(GQ4*GX4^2/Minerals!$C$2),"")</f>
        <v/>
      </c>
      <c r="HD4" s="89">
        <f>IF(AND(GQ4&lt;&gt;"",GY4&lt;&gt;""),LOG($GQ4*$GY4/Minerals!$C$3),"")</f>
        <v>-1.5857506817436682</v>
      </c>
      <c r="HE4" s="97">
        <f>IF(AND(GQ4&lt;&gt;"",GY4&lt;&gt;""),LOG($GQ4*$GY4/Minerals!$C$3),"")</f>
        <v>-1.5857506817436682</v>
      </c>
      <c r="HF4" s="198"/>
      <c r="HG4" s="88" t="str">
        <f>IF(HA4&lt;&gt;"",LOG(GQ4*GU4/(EXP(-1*Minerals!$E$6/'Other Constants'!$B$2*(1/(273.15+'ppm-mgL-1'!$D4)-1/298.15)+LN(Minerals!$C$6)))),"")</f>
        <v/>
      </c>
      <c r="HH4" s="89" t="str">
        <f>IF(HA4&lt;&gt;"",LOG(GQ4*GU4/(EXP(-1*Minerals!$E$5/'Other Constants'!$B$2*(1/(273.15+'ppm-mgL-1'!$D4)-1/298.15)+LN(Minerals!$C$5)))),"")</f>
        <v/>
      </c>
      <c r="HI4" s="89" t="str">
        <f>IF(HC4&lt;&gt;"",LOG(GQ4*GX4^2/(EXP(-1*Minerals!$E$2/'Other Constants'!$B$2*(1/(273.15+'ppm-mgL-1'!$D4)-1/298.15)+LN(Minerals!$C$2)))),"")</f>
        <v/>
      </c>
      <c r="HJ4" s="89">
        <f>IF(HD4&lt;&gt;"",LOG($FF4*$FN4/(EXP(-1*Minerals!$E$3/'Other Constants'!$B$2*(1/(273.15+'ppm-mgL-1'!$D4)-1/298.15)+LN(Minerals!$C$3)))),"")</f>
        <v>-1.6161821358998341</v>
      </c>
      <c r="HK4" s="90">
        <f>IF(HE4&lt;&gt;"",LOG($FF4*$FN4/(EXP(-1*Minerals!$E$4/'Other Constants'!$B$2*(1/(273.15+'ppm-mgL-1'!$D4)-1/298.15)+LN(Minerals!$C$4)))),"")</f>
        <v>-1.8561666473657363</v>
      </c>
      <c r="HL4" s="198"/>
      <c r="HM4" s="198"/>
    </row>
    <row r="5" spans="1:221" customFormat="1" x14ac:dyDescent="0.25">
      <c r="A5" s="3"/>
      <c r="B5" s="4" t="s">
        <v>123</v>
      </c>
      <c r="C5" s="5"/>
      <c r="D5" s="3">
        <v>25</v>
      </c>
      <c r="E5" s="4">
        <v>7.4</v>
      </c>
      <c r="F5" s="4"/>
      <c r="G5" s="4"/>
      <c r="H5" s="5"/>
      <c r="I5" s="3" t="str">
        <f t="shared" si="54"/>
        <v/>
      </c>
      <c r="J5" s="4" t="str">
        <f t="shared" si="55"/>
        <v/>
      </c>
      <c r="K5" s="3" t="str">
        <f t="shared" si="56"/>
        <v/>
      </c>
      <c r="L5" s="4" t="str">
        <f t="shared" si="1"/>
        <v/>
      </c>
      <c r="M5" s="3" t="str">
        <f t="shared" si="0"/>
        <v/>
      </c>
      <c r="N5" s="4" t="str">
        <f t="shared" ref="N5" si="86">IF(M5&lt;&gt;"", IF($D5&lt;&gt;"",M5*2.303*0.0019858*($D5+273.15)/23.06, 0.059*M5),"")</f>
        <v/>
      </c>
      <c r="O5" s="3">
        <f t="shared" si="2"/>
        <v>1.0667730535624633</v>
      </c>
      <c r="P5" s="4">
        <f t="shared" ref="P5" si="87">IF(O5&lt;&gt;"", IF($D5&lt;&gt;"",O5*2.303*0.0019858*($D5+273.15)/23.06, 0.059*O5),"")</f>
        <v>6.3077865974610778E-2</v>
      </c>
      <c r="Q5" s="3">
        <f t="shared" si="3"/>
        <v>-5.0632269464375357</v>
      </c>
      <c r="R5" s="4">
        <f t="shared" ref="R5" si="88">IF(Q5&lt;&gt;"", IF($D5&lt;&gt;"",Q5*2.303*0.0019858*($D5+273.15)/23.06, 0.059*Q5),"")</f>
        <v>-0.29938659367132581</v>
      </c>
      <c r="S5" s="3">
        <f t="shared" si="4"/>
        <v>-0.33322694643753525</v>
      </c>
      <c r="T5" s="4">
        <f t="shared" ref="T5" si="89">IF(S5&lt;&gt;"", IF($D5&lt;&gt;"",S5*2.303*0.0019858*($D5+273.15)/23.06, 0.059*S5),"")</f>
        <v>-1.9703576685146277E-2</v>
      </c>
      <c r="U5" s="3" t="str">
        <f>IF(AND($E5&lt;&gt;"",$CX5&lt;&gt;"",$DG5&lt;&gt;""),IF($E5&lt;7,5.12-5/4*$E5+1/8*LOG($CX5/$DG5),4.25-9/8*$E5+1/8*(LOG($CX5)-$E5-LOG($DG5)+pKa!$B$3)),"")</f>
        <v/>
      </c>
      <c r="V5" s="4" t="str">
        <f t="shared" ref="V5" si="90">IF(U5&lt;&gt;"", IF($D5&lt;&gt;"",U5*2.303*0.0019858*($D5+273.15)/23.06, 0.059*U5),"")</f>
        <v/>
      </c>
      <c r="W5" s="3" t="str">
        <f t="shared" si="5"/>
        <v/>
      </c>
      <c r="X5" s="4" t="str">
        <f t="shared" ref="X5" si="91">IF(W5&lt;&gt;"", IF($D5&lt;&gt;"",W5*2.303*0.0019858*($D5+273.15)/23.06, 0.059*W5),"")</f>
        <v/>
      </c>
      <c r="Y5" s="3" t="str">
        <f t="shared" si="6"/>
        <v/>
      </c>
      <c r="Z5" s="4" t="str">
        <f t="shared" ref="Z5" si="92">IF(Y5&lt;&gt;"", IF($D5&lt;&gt;"",Y5*2.303*0.0019858*($D5+273.15)/23.06, 0.059*Y5),"")</f>
        <v/>
      </c>
      <c r="AA5" s="3" t="str">
        <f t="shared" si="7"/>
        <v/>
      </c>
      <c r="AB5" s="4" t="str">
        <f t="shared" ref="AB5" si="93">IF(AA5&lt;&gt;"", IF($D5&lt;&gt;"",AA5*2.303*0.0019858*($D5+273.15)/23.06, 0.059*AA5),"")</f>
        <v/>
      </c>
      <c r="AC5" s="4"/>
      <c r="AD5" s="83">
        <f>IF(E5&lt;&gt;"",10^(-2*$E5)/(10^(-2*$E5)+10^(-$E5-pKa!$B$2)+(10^(-pKa!$B$2-pKa!$C$2))),"")</f>
        <v>7.3501832094525862E-2</v>
      </c>
      <c r="AE5" s="84">
        <f>IF(E5&lt;&gt;"",10^(-$E5-pKa!$B$2)/(10^(-2*$E5)+10^(-$E5-pKa!$B$2)+10^(-pKa!$B$2-pKa!$C$2)),"")</f>
        <v>0.92533324237227377</v>
      </c>
      <c r="AF5" s="212">
        <f>IF(E5&lt;&gt;"",10^(-pKa!$B$2-pKa!$C$2)/(10^(-2*$E5)+10^(-$E5-pKa!$B$2)+10^(-pKa!$B$2-pKa!$C$2)),"")</f>
        <v>1.1649255332003418E-3</v>
      </c>
      <c r="AG5" s="152"/>
      <c r="AH5" s="222">
        <f>IF($AK5&lt;&gt;"",$AK5/'Elements and ions'!$G$3,IF($E5="","","Enter Alk(HCO3-)"))</f>
        <v>3.4908395780574679</v>
      </c>
      <c r="AI5" s="85">
        <f t="shared" si="65"/>
        <v>3.7630465104951517E-3</v>
      </c>
      <c r="AJ5" s="84">
        <f>IF(AI5&lt;&gt;"",AI5*1000*'Elements and ions'!$B$7,"")</f>
        <v>45.196822723604114</v>
      </c>
      <c r="AK5" s="99">
        <v>213</v>
      </c>
      <c r="AL5" s="88">
        <f>IF($AK5&lt;&gt;"",$AK5/'Elements and ions'!$G$3*Minerals!$B$6/2,IF($E5="","","Enter Alk(HCO3-)"))</f>
        <v>174.69365588253999</v>
      </c>
      <c r="AM5" s="198"/>
      <c r="AN5" s="91">
        <f t="shared" si="8"/>
        <v>2.7659081277830609E-4</v>
      </c>
      <c r="AO5" s="89">
        <f t="shared" si="9"/>
        <v>3.4820720287541494E-3</v>
      </c>
      <c r="AP5" s="90">
        <f t="shared" si="10"/>
        <v>4.38366896269625E-6</v>
      </c>
      <c r="AQ5" s="198"/>
      <c r="AR5" s="198"/>
      <c r="AS5" s="83">
        <f t="shared" si="66"/>
        <v>0.81350239052442952</v>
      </c>
      <c r="AT5" s="83">
        <f>IF(AN5&lt;&gt;"",AN5/'Henrys law constants'!$B$7*1000000,"")</f>
        <v>8135.0239052442957</v>
      </c>
      <c r="AU5" s="3">
        <v>0.4</v>
      </c>
      <c r="AV5" s="4">
        <v>1.2</v>
      </c>
      <c r="AW5" s="4">
        <v>40</v>
      </c>
      <c r="AX5" s="4">
        <v>22</v>
      </c>
      <c r="AY5" s="226">
        <f>AO5*'Elements and ions'!$G$3*1000</f>
        <v>212.46503184696729</v>
      </c>
      <c r="AZ5" s="4">
        <v>2</v>
      </c>
      <c r="BA5" s="4">
        <v>4.8</v>
      </c>
      <c r="BB5" s="5">
        <v>4.9000000000000004</v>
      </c>
      <c r="BC5" s="222">
        <f>IF($E5&lt;&gt;"",10^-$E5*'Elements and ions'!B4*1000,"")</f>
        <v>2.7632618708118135E-4</v>
      </c>
      <c r="BD5" s="4"/>
      <c r="BE5" s="4">
        <v>0.24</v>
      </c>
      <c r="BF5" s="4"/>
      <c r="BG5" s="5"/>
      <c r="BH5" s="3"/>
      <c r="BI5" s="4"/>
      <c r="BJ5" s="88">
        <f>IF($AN5&lt;&gt;"",$AN5*'Elements and ions'!$G$2*1000,"")</f>
        <v>17.155484312595622</v>
      </c>
      <c r="BK5" s="229"/>
      <c r="BL5" s="230"/>
      <c r="BM5" s="91">
        <f>IF($E5&lt;&gt;"",(10^-14+$E5)*'Elements and ions'!$G$8,"")</f>
        <v>125.85431600000017</v>
      </c>
      <c r="BN5" s="4"/>
      <c r="BO5" s="97">
        <f>IF($AP5&lt;&gt;"",$AP5*'Elements and ions'!$G$4*1000,"")</f>
        <v>0.26305915241554295</v>
      </c>
      <c r="BP5" s="4"/>
      <c r="BQ5" s="5"/>
      <c r="BR5" s="195"/>
      <c r="BS5" s="238">
        <f>IF($AU5&lt;&gt;"",$AU5/'Elements and ions'!$B$12,"")</f>
        <v>1.7399043684530619E-2</v>
      </c>
      <c r="BT5" s="239">
        <f>IF($AV5&lt;&gt;"",$AV5/'Elements and ions'!$B$20,"")</f>
        <v>3.0691871513595217E-2</v>
      </c>
      <c r="BU5" s="239">
        <f>IF($AW5&lt;&gt;"",$AW5/'Elements and ions'!$B$21, "")</f>
        <v>0.99805379509955583</v>
      </c>
      <c r="BV5" s="240">
        <f>IF($AX5&lt;&gt;"",$AX5/'Elements and ions'!$B$13, "")</f>
        <v>0.90516354659535081</v>
      </c>
      <c r="BW5" s="238">
        <f>IF($AY5&lt;&gt;"",$AY5/'Elements and ions'!$G$3,"")</f>
        <v>3.4820720287541489</v>
      </c>
      <c r="BX5" s="239">
        <f>IF($AZ5&lt;&gt;"",$AZ5/'Elements and ions'!$B$18,"")</f>
        <v>5.6412715426057025E-2</v>
      </c>
      <c r="BY5" s="239">
        <f>IF($BA5&lt;&gt;"",$BA5/'Elements and ions'!$G$7,"")</f>
        <v>7.7413236695809517E-2</v>
      </c>
      <c r="BZ5" s="241">
        <f>IF($BB5&lt;&gt;"",$BB5/'Elements and ions'!$G$5,"")</f>
        <v>5.1008404935948021E-2</v>
      </c>
      <c r="CA5" s="91">
        <f t="shared" si="67"/>
        <v>3.9810717055349573E-5</v>
      </c>
      <c r="CB5" s="163" t="str">
        <f>IF($BD5&lt;&gt;"",$BD5/'Elements and ions'!$B$14,"")</f>
        <v/>
      </c>
      <c r="CC5" s="89">
        <f>IF($BE5&lt;&gt;"",$BE5/'Elements and ions'!$B$27, "")</f>
        <v>4.2976094547408005E-3</v>
      </c>
      <c r="CD5" s="249" t="str">
        <f>IF($BF5&lt;&gt;"",$BF5/'Elements and ions'!$B$26,"")</f>
        <v/>
      </c>
      <c r="CE5" s="250" t="str">
        <f>IF($BG5&lt;&gt;"",$BG5/'Elements and ions'!$G$6,"")</f>
        <v/>
      </c>
      <c r="CF5" s="91" t="str">
        <f>IF($BH5&lt;&gt;"",$BH5/'Elements and ions'!$G$15,"")</f>
        <v/>
      </c>
      <c r="CG5" s="89" t="str">
        <f>IF($BI5&lt;&gt;"",$BI5/'Elements and ions'!$G$16,"")</f>
        <v/>
      </c>
      <c r="CH5" s="90">
        <f>IF($BJ5&lt;&gt;"",$BJ5/'Elements and ions'!$G$2,"")</f>
        <v>0.27659081277830611</v>
      </c>
      <c r="CI5" s="91" t="str">
        <f>IF($BK5&lt;&gt;"",$BK5/'Elements and ions'!$B$15, "")</f>
        <v/>
      </c>
      <c r="CJ5" s="88" t="str">
        <f>IF($BL5&lt;&gt;"", $BL5/'Elements and ions'!$G$17,"")</f>
        <v/>
      </c>
      <c r="CK5" s="89">
        <f t="shared" si="68"/>
        <v>2.5118864315095779E-4</v>
      </c>
      <c r="CL5" s="163" t="str">
        <f>IF($BN5&lt;&gt;"", $BN5/'Elements and ions'!$G$19,"")</f>
        <v/>
      </c>
      <c r="CM5" s="89">
        <f>IF($BO5&lt;&gt;"",$BO5/'Elements and ions'!$G$4,"")</f>
        <v>4.3836689626962494E-3</v>
      </c>
      <c r="CN5" s="89" t="str">
        <f>IF($BP5&lt;&gt;"",$BP5/'Elements and ions'!$B$10,"")</f>
        <v/>
      </c>
      <c r="CO5" s="104" t="str">
        <f>IF($BQ5&lt;&gt;"",$BQ5/'Elements and ions'!$G$18,"")</f>
        <v/>
      </c>
      <c r="CP5" s="242"/>
      <c r="CQ5" s="238">
        <f t="shared" ref="CQ5:CQ18" si="94">IF($BS5&lt;&gt;"",BS5/1000,"")</f>
        <v>1.739904368453062E-5</v>
      </c>
      <c r="CR5" s="239">
        <f t="shared" ref="CR5:CR18" si="95">IF($BT5&lt;&gt;"",BT5/1000,"")</f>
        <v>3.069187151359522E-5</v>
      </c>
      <c r="CS5" s="239">
        <f t="shared" ref="CS5:CS18" si="96">IF($BU5&lt;&gt;"",BU5/1000,"")</f>
        <v>9.980537950995559E-4</v>
      </c>
      <c r="CT5" s="241">
        <f t="shared" ref="CT5:CT18" si="97">IF($BV5&lt;&gt;"",BV5/1000,"")</f>
        <v>9.0516354659535086E-4</v>
      </c>
      <c r="CU5" s="238">
        <f t="shared" si="11"/>
        <v>3.4820720287541489E-3</v>
      </c>
      <c r="CV5" s="239">
        <f t="shared" si="12"/>
        <v>5.6412715426057027E-5</v>
      </c>
      <c r="CW5" s="239">
        <f t="shared" si="13"/>
        <v>7.7413236695809517E-5</v>
      </c>
      <c r="CX5" s="241">
        <f t="shared" si="69"/>
        <v>5.1008404935948024E-5</v>
      </c>
      <c r="CY5" s="258">
        <f t="shared" ref="CY5:CY68" si="98">IF($E5&lt;&gt;"",10^-$E5,"")</f>
        <v>3.981071705534957E-8</v>
      </c>
      <c r="CZ5" s="259" t="str">
        <f t="shared" ref="CZ5:CZ18" si="99">IF(CB5&lt;&gt;"",CB5/1000,"")</f>
        <v/>
      </c>
      <c r="DA5" s="260">
        <f t="shared" ref="DA5:DA18" si="100">IF(CC5&lt;&gt;"",CC5/1000,"")</f>
        <v>4.2976094547408005E-6</v>
      </c>
      <c r="DB5" s="261" t="str">
        <f t="shared" ref="DB5:DB18" si="101">IF(CD5&lt;&gt;"",CD5/1000,"")</f>
        <v/>
      </c>
      <c r="DC5" s="262" t="str">
        <f t="shared" ref="DC5:DC18" si="102">IF(CE5&lt;&gt;"",CE5/1000,"")</f>
        <v/>
      </c>
      <c r="DD5" s="263" t="str">
        <f t="shared" ref="DD5:DD18" si="103">IF(CF5&lt;&gt;"",CF5/1000,"")</f>
        <v/>
      </c>
      <c r="DE5" s="259" t="str">
        <f t="shared" ref="DE5:DE18" si="104">IF(CG5&lt;&gt;"",CG5/1000,"")</f>
        <v/>
      </c>
      <c r="DF5" s="260">
        <f t="shared" ref="DF5:DF18" si="105">IF(CH5&lt;&gt;"",CH5/1000,"")</f>
        <v>2.7659081277830609E-4</v>
      </c>
      <c r="DG5" s="260" t="str">
        <f t="shared" ref="DG5:DG18" si="106">IF(CI5&lt;&gt;"",CI5/1000,"")</f>
        <v/>
      </c>
      <c r="DH5" s="264" t="str">
        <f t="shared" ref="DH5:DH18" si="107">IF(CJ5&lt;&gt;"",CJ5/1000,"")</f>
        <v/>
      </c>
      <c r="DI5" s="258">
        <f t="shared" ref="DI5:DI68" si="108">IF($E5&lt;&gt;"",(10^(-14+$E5)),"")</f>
        <v>2.511886431509578E-7</v>
      </c>
      <c r="DJ5" s="260" t="str">
        <f t="shared" ref="DJ5:DJ18" si="109">IF(CL5&lt;&gt;"",CL5/1000,"")</f>
        <v/>
      </c>
      <c r="DK5" s="260">
        <f t="shared" ref="DK5:DK18" si="110">IF(CM5&lt;&gt;"",CM5/1000,"")</f>
        <v>4.3836689626962491E-6</v>
      </c>
      <c r="DL5" s="260" t="str">
        <f t="shared" ref="DL5:DL18" si="111">IF(CN5&lt;&gt;"",CN5/1000,"")</f>
        <v/>
      </c>
      <c r="DM5" s="265" t="str">
        <f t="shared" ref="DM5:DM18" si="112">IF(CO5&lt;&gt;"",CO5/1000,"")</f>
        <v/>
      </c>
      <c r="DN5" s="242"/>
      <c r="DO5" s="238">
        <f t="shared" si="18"/>
        <v>1.7399043684530619E-2</v>
      </c>
      <c r="DP5" s="239">
        <f t="shared" si="19"/>
        <v>3.0691871513595217E-2</v>
      </c>
      <c r="DQ5" s="239">
        <f t="shared" si="20"/>
        <v>1.9961075901991117</v>
      </c>
      <c r="DR5" s="241">
        <f t="shared" si="21"/>
        <v>1.8103270931907016</v>
      </c>
      <c r="DS5" s="238">
        <f t="shared" si="22"/>
        <v>-3.4820720287541489</v>
      </c>
      <c r="DT5" s="239">
        <f t="shared" si="23"/>
        <v>-5.6412715426057025E-2</v>
      </c>
      <c r="DU5" s="239">
        <f t="shared" si="24"/>
        <v>-7.7413236695809517E-2</v>
      </c>
      <c r="DV5" s="241">
        <f t="shared" si="25"/>
        <v>-0.10201680987189604</v>
      </c>
      <c r="DW5" s="91">
        <f t="shared" ref="DW5:DW68" si="113">IF($E5&lt;&gt;"",10^-$E5*1000,"")</f>
        <v>3.9810717055349573E-5</v>
      </c>
      <c r="DX5" s="89">
        <f t="shared" ref="DX5:DX18" si="114">IF(CB5&lt;&gt;"",CB5*3,0)</f>
        <v>0</v>
      </c>
      <c r="DY5" s="89">
        <f t="shared" ref="DY5:DY18" si="115">IF(CC5&lt;&gt;"",CC5*2,0)</f>
        <v>8.5952189094816011E-3</v>
      </c>
      <c r="DZ5" s="89">
        <f t="shared" ref="DZ5:DZ18" si="116">IF(CD5&lt;&gt;"",CD5*2,0)</f>
        <v>0</v>
      </c>
      <c r="EA5" s="90">
        <f t="shared" ref="EA5:EA18" si="117">IF(CE5&lt;&gt;"",CE5,0)</f>
        <v>0</v>
      </c>
      <c r="EB5" s="91">
        <f t="shared" ref="EB5:EB68" si="118">IF($E5&lt;&gt;"",(10^(-14+$E5))*-1000,"")</f>
        <v>-2.5118864315095779E-4</v>
      </c>
      <c r="EC5" s="89">
        <f t="shared" ref="EC5:EC18" si="119">IF(CL5&lt;&gt;"",CL5*-1,0)</f>
        <v>0</v>
      </c>
      <c r="ED5" s="89">
        <f t="shared" ref="ED5:ED18" si="120">IF(CM5&lt;&gt;"",CM5*-2,0)</f>
        <v>-8.7673379253924988E-3</v>
      </c>
      <c r="EE5" s="89">
        <f t="shared" ref="EE5:EE18" si="121">IF(CN5&lt;&gt;"",CN5*-1,0)</f>
        <v>0</v>
      </c>
      <c r="EF5" s="90">
        <f t="shared" ref="EF5:EF18" si="122">IF(CO5&lt;&gt;"",CO5*-2,0)</f>
        <v>0</v>
      </c>
      <c r="EG5" s="242"/>
      <c r="EH5" s="245">
        <f t="shared" ref="EH5:EH18" si="123">SUM(DO5:DR5,DW5:EA5)</f>
        <v>3.8631606282144761</v>
      </c>
      <c r="EI5" s="246">
        <f t="shared" ref="EI5:EI18" si="124">SUM(DS5:DV5,EB5:EF5)</f>
        <v>-3.7269333173164547</v>
      </c>
      <c r="EJ5" s="198">
        <f t="shared" si="83"/>
        <v>1.7948040152814242</v>
      </c>
      <c r="EK5" s="198">
        <f t="shared" si="27"/>
        <v>9.6660878723794502E-3</v>
      </c>
      <c r="EL5" s="91">
        <f>IF(AND(CS5&lt;&gt;"",DK5&lt;&gt;""),LOG(CS5*DK5/Minerals!$C$6),"")</f>
        <v>0.1211637071318932</v>
      </c>
      <c r="EM5" s="89">
        <f>IF(AND(CS5&lt;&gt;"",DK5&lt;&gt;""),LOG(CS5*DK5/Minerals!$C$5),"")</f>
        <v>-9.3158222243245464E-3</v>
      </c>
      <c r="EN5" s="89" t="str">
        <f>IF(AND(CS5&lt;&gt;"",DL5&lt;&gt;""),LOG(CS5*DL5^2/Minerals!$C$2),"")</f>
        <v/>
      </c>
      <c r="EO5" s="89">
        <f>IF(AND(CS5&lt;&gt;"",CX5&lt;&gt;""),LOG($CS5*$CX5/Minerals!$C$3),"")</f>
        <v>-2.6932239415851553</v>
      </c>
      <c r="EP5" s="90">
        <f>IF(AND(CS5&lt;&gt;"",CX5&lt;&gt;""),LOG($CS5*$CX5/Minerals!$C$4),"")</f>
        <v>-2.9332084530510576</v>
      </c>
      <c r="EQ5" s="198"/>
      <c r="ER5" s="91">
        <f t="shared" si="28"/>
        <v>0.90207423689037713</v>
      </c>
      <c r="ES5" s="89">
        <f t="shared" si="28"/>
        <v>0.90207423689037713</v>
      </c>
      <c r="ET5" s="89">
        <f t="shared" si="29"/>
        <v>0.66216941686756958</v>
      </c>
      <c r="EU5" s="89">
        <f t="shared" si="29"/>
        <v>0.66216941686756958</v>
      </c>
      <c r="EV5" s="90">
        <f t="shared" si="29"/>
        <v>0.66216941686756958</v>
      </c>
      <c r="EW5" s="91">
        <f t="shared" si="30"/>
        <v>0.90207423689037713</v>
      </c>
      <c r="EX5" s="89">
        <f t="shared" si="31"/>
        <v>0.66216941686756958</v>
      </c>
      <c r="EY5" s="89">
        <f t="shared" si="30"/>
        <v>0.90207423689037713</v>
      </c>
      <c r="EZ5" s="89">
        <f t="shared" si="30"/>
        <v>0.90207423689037713</v>
      </c>
      <c r="FA5" s="89">
        <f t="shared" si="84"/>
        <v>0.90207423689037713</v>
      </c>
      <c r="FB5" s="90">
        <f t="shared" si="32"/>
        <v>0.66216941686756958</v>
      </c>
      <c r="FC5" s="198"/>
      <c r="FD5" s="91">
        <f t="shared" si="33"/>
        <v>1.5695229054345296E-5</v>
      </c>
      <c r="FE5" s="89">
        <f t="shared" si="34"/>
        <v>2.7686346574363913E-5</v>
      </c>
      <c r="FF5" s="89">
        <f t="shared" si="35"/>
        <v>6.6088069950353775E-4</v>
      </c>
      <c r="FG5" s="89">
        <f t="shared" si="36"/>
        <v>5.9937161781882466E-4</v>
      </c>
      <c r="FH5" s="90">
        <f t="shared" si="37"/>
        <v>2.8457455465702696E-6</v>
      </c>
      <c r="FI5" s="91">
        <f t="shared" si="85"/>
        <v>3.1410874681357262E-3</v>
      </c>
      <c r="FJ5" s="89">
        <f t="shared" si="38"/>
        <v>2.9027315207690387E-6</v>
      </c>
      <c r="FK5" s="89">
        <f t="shared" si="39"/>
        <v>5.0888457218874399E-5</v>
      </c>
      <c r="FL5" s="89">
        <f t="shared" si="40"/>
        <v>6.9832486417586512E-5</v>
      </c>
      <c r="FM5" s="89" t="str">
        <f t="shared" si="41"/>
        <v/>
      </c>
      <c r="FN5" s="90">
        <f t="shared" si="42"/>
        <v>3.3776205751781562E-5</v>
      </c>
      <c r="FO5" s="198"/>
      <c r="FP5" s="91">
        <f>IF(EL5&lt;&gt;"",LOG(FF5*FJ5/Minerals!$C$6),"")</f>
        <v>-0.23689805599002192</v>
      </c>
      <c r="FQ5" s="89">
        <f>IF(EL5&lt;&gt;"",LOG(FF5*FJ5/Minerals!$C$5),"")</f>
        <v>-0.3673775853462396</v>
      </c>
      <c r="FR5" s="89" t="str">
        <f>IF(EN5&lt;&gt;"",LOG(FF5*FM5^2/Minerals!$C$2),"")</f>
        <v/>
      </c>
      <c r="FS5" s="89">
        <f>IF(EO5&lt;&gt;"",LOG($FF5*$FN5/Minerals!$C$3),"")</f>
        <v>-3.0512857047070701</v>
      </c>
      <c r="FT5" s="90">
        <f>IF(EP5&lt;&gt;"",LOG($FF5*$FN5/Minerals!$C$4),"")</f>
        <v>-3.2912702161729728</v>
      </c>
      <c r="FU5" s="163"/>
      <c r="FV5" s="91">
        <f>IF(FP5&lt;&gt;"",LOG(FF5*FJ5/(EXP(-1*Minerals!$E$6/'Other Constants'!$B$2*(1/(273.15+'ppm-mgL-1'!$D5)-1/298.15)+LN(Minerals!$C$6)))),"")</f>
        <v>-0.23689805599002126</v>
      </c>
      <c r="FW5" s="89">
        <f>IF(FP5&lt;&gt;"",LOG(FF5*FJ5/(EXP(-1*Minerals!$E$5/'Other Constants'!$B$2*(1/(273.15+'ppm-mgL-1'!$D5)-1/298.15)+LN(Minerals!$C$5)))),"")</f>
        <v>-0.3673775853462391</v>
      </c>
      <c r="FX5" s="89" t="str">
        <f>IF(FR5&lt;&gt;"",LOG(FF5*FM5^2/(EXP(-1*Minerals!$E$2/'Other Constants'!$B$2*(1/(273.15+'ppm-mgL-1'!$D5)-1/298.15)+LN(Minerals!$C$2)))),"")</f>
        <v/>
      </c>
      <c r="FY5" s="89">
        <f>IF(FS5&lt;&gt;"",LOG($FF5*$FN5/(EXP(-1*Minerals!$E$3/'Other Constants'!$B$2*(1/(273.15+'ppm-mgL-1'!$D5)-1/298.15)+LN(Minerals!$C$3)))),"")</f>
        <v>-3.0512857047070701</v>
      </c>
      <c r="FZ5" s="90">
        <f>IF(FT5&lt;&gt;"",LOG($FF5*$FN5/(EXP(-1*Minerals!$E$4/'Other Constants'!$B$2*(1/(273.15+'ppm-mgL-1'!$D5)-1/298.15)+LN(Minerals!$C$4)))),"")</f>
        <v>-3.2912702161729723</v>
      </c>
      <c r="GA5" s="163"/>
      <c r="GB5" s="163"/>
      <c r="GC5" s="91">
        <f>10^(-1825000*(79.755*EXP(-0.0046*($D5-20))*($D5+273.15))^-1.5*$EK5^0.5/(1+'Elements and ions'!$D$12*$EK5^0.5/(2*(79.755*EXP(-0.0046*($D5-20))*($D5+273.15))^0.5)))</f>
        <v>0.90185468690988069</v>
      </c>
      <c r="GD5" s="89">
        <f>10^(-1825000*(79.755*EXP(-0.0046*($D5-20))*($D5+273.15))^-1.5*$EK5^0.5/(1+'Elements and ions'!$D$20*$EK5^0.5/(2*(79.755*EXP(-0.0046*($D5-20))*($D5+273.15))^0.5)))</f>
        <v>0.89911957986356095</v>
      </c>
      <c r="GE5" s="89">
        <f>10^(-1825000*(79.755*EXP(-0.0046*($D5-20))*($D5+273.15))^-1.5*4*$EK5^0.5/(1+'Elements and ions'!$D$21*$EK5^0.5/(2*(79.755*EXP(-0.0046*($D5-20))*($D5+273.15))^0.5)))</f>
        <v>0.67646254756779312</v>
      </c>
      <c r="GF5" s="89">
        <f>10^(-1825000*(79.755*EXP(-0.0046*($D5-20))*($D5+273.15))^-1.5*4*$EK5^0.5/(1+'Elements and ions'!$D$13*$EK5^0.5/(2*(79.755*EXP(-0.0046*($D5-20))*($D5+273.15))^0.5)))</f>
        <v>0.6901554097083954</v>
      </c>
      <c r="GG5" s="90">
        <f>10^(-1825000*(79.755*EXP(-0.0046*($D5-20))*($D5+273.15))^-1.5*4*$EK5^0.5/(1+'Elements and ions'!$D$27*$EK5^0.5/(2*(79.755*EXP(-0.0046*($D5-20))*($D5+273.15))^0.5)))</f>
        <v>0.67646254756779312</v>
      </c>
      <c r="GH5" s="91">
        <f>10^(-1825000*(79.755*EXP(-0.0046*($D5-20))*($D5+273.15))^-1.5*$EK5^0.5/(1+'Elements and ions'!$G$3*$EK5^0.5/(2*(79.755*EXP(-0.0046*($D5-20))*($D5+273.15))^0.5)))</f>
        <v>0.89192235051126723</v>
      </c>
      <c r="GI5" s="89">
        <f>10^(-1825000*(79.755*EXP(-0.0046*($D5-20))*($D5+273.15))^-1.5*4*$EK5^0.5/(1+'Elements and ions'!$G$4*$EK5^0.5/(2*(79.755*EXP(-0.0046*($D5-20))*($D5+273.15))^0.5)))</f>
        <v>0.63276847240802492</v>
      </c>
      <c r="GJ5" s="89">
        <f>10^(-1825000*(79.755*EXP(-0.0046*($D5-20))*($D5+273.15))^-1.5*$EK5^0.5/(1+'Elements and ions'!$D$18*$EK5^0.5/(2*(79.755*EXP(-0.0046*($D5-20))*($D5+273.15))^0.5)))</f>
        <v>0.89911957986356095</v>
      </c>
      <c r="GK5" s="89">
        <f>10^(-1825000*(79.755*EXP(-0.0046*($D5-20))*($D5+273.15))^-1.5*$EK5^0.5/(1+'Elements and ions'!$I$7*$EK5^0.5/(2*(79.755*EXP(-0.0046*($D5-20))*($D5+273.15))^0.5)))</f>
        <v>0.89911957986356095</v>
      </c>
      <c r="GL5" s="89">
        <f>10^(-1825000*(79.755*EXP(-0.0046*($D5-20))*($D5+273.15))^-1.5*$EK5^0.5/(1+'Elements and ions'!$D$10*$EK5^0.5/(2*(79.755*EXP(-0.0046*($D5-20))*($D5+273.15))^0.5)))</f>
        <v>0.90050590883179704</v>
      </c>
      <c r="GM5" s="90">
        <f>10^(-1825000*(79.755*EXP(-0.0046*($D5-20))*($D5+273.15))^-1.5*4*$EK5^0.5/(1+'Elements and ions'!$I$5*$EK5^0.5/(2*(79.755*EXP(-0.0046*($D5-20))*($D5+273.15))^0.5)))</f>
        <v>0.6615250077453495</v>
      </c>
      <c r="GN5" s="163"/>
      <c r="GO5" s="91">
        <f t="shared" si="43"/>
        <v>1.5691409094643699E-5</v>
      </c>
      <c r="GP5" s="89">
        <f t="shared" si="44"/>
        <v>2.7595662620530127E-5</v>
      </c>
      <c r="GQ5" s="89">
        <f t="shared" si="45"/>
        <v>6.7514601284274982E-4</v>
      </c>
      <c r="GR5" s="89">
        <f t="shared" si="46"/>
        <v>6.247035183536186E-4</v>
      </c>
      <c r="GS5" s="90">
        <f t="shared" si="47"/>
        <v>2.9071718402053964E-6</v>
      </c>
      <c r="GT5" s="91">
        <f t="shared" si="48"/>
        <v>3.1057378685359375E-3</v>
      </c>
      <c r="GU5" s="89">
        <f t="shared" si="49"/>
        <v>2.7738475130677769E-6</v>
      </c>
      <c r="GV5" s="89">
        <f t="shared" si="50"/>
        <v>5.0721776992839017E-5</v>
      </c>
      <c r="GW5" s="89">
        <f t="shared" si="51"/>
        <v>6.9603756853814651E-5</v>
      </c>
      <c r="GX5" s="89" t="str">
        <f t="shared" si="52"/>
        <v/>
      </c>
      <c r="GY5" s="97">
        <f t="shared" si="53"/>
        <v>3.3743335470330943E-5</v>
      </c>
      <c r="GZ5" s="198"/>
      <c r="HA5" s="88">
        <f>IF(AND(GQ5&lt;&gt;"",GU5&lt;&gt;""),LOG(GQ5*GU5/Minerals!$C$6),"")</f>
        <v>-0.24734770366351413</v>
      </c>
      <c r="HB5" s="89">
        <f>IF(AND(GQ5&lt;&gt;"",GU5&lt;&gt;""),LOG(GQ5*GU5/Minerals!$C$5),"")</f>
        <v>-0.37782723301973181</v>
      </c>
      <c r="HC5" s="89" t="str">
        <f>IF(AND(GQ5&lt;&gt;"",GX5&lt;&gt;""),LOG(GQ5*GX5^2/Minerals!$C$2),"")</f>
        <v/>
      </c>
      <c r="HD5" s="89">
        <f>IF(AND(GQ5&lt;&gt;"",GY5&lt;&gt;""),LOG($GQ5*$GY5/Minerals!$C$3),"")</f>
        <v>-3.0424339182094</v>
      </c>
      <c r="HE5" s="97">
        <f>IF(AND(GQ5&lt;&gt;"",GY5&lt;&gt;""),LOG($GQ5*$GY5/Minerals!$C$3),"")</f>
        <v>-3.0424339182094</v>
      </c>
      <c r="HF5" s="198"/>
      <c r="HG5" s="88">
        <f>IF(HA5&lt;&gt;"",LOG(GQ5*GU5/(EXP(-1*Minerals!$E$6/'Other Constants'!$B$2*(1/(273.15+'ppm-mgL-1'!$D5)-1/298.15)+LN(Minerals!$C$6)))),"")</f>
        <v>-0.24734770366351344</v>
      </c>
      <c r="HH5" s="89">
        <f>IF(HA5&lt;&gt;"",LOG(GQ5*GU5/(EXP(-1*Minerals!$E$5/'Other Constants'!$B$2*(1/(273.15+'ppm-mgL-1'!$D5)-1/298.15)+LN(Minerals!$C$5)))),"")</f>
        <v>-0.37782723301973131</v>
      </c>
      <c r="HI5" s="89" t="str">
        <f>IF(HC5&lt;&gt;"",LOG(GQ5*GX5^2/(EXP(-1*Minerals!$E$2/'Other Constants'!$B$2*(1/(273.15+'ppm-mgL-1'!$D5)-1/298.15)+LN(Minerals!$C$2)))),"")</f>
        <v/>
      </c>
      <c r="HJ5" s="89">
        <f>IF(HD5&lt;&gt;"",LOG($FF5*$FN5/(EXP(-1*Minerals!$E$3/'Other Constants'!$B$2*(1/(273.15+'ppm-mgL-1'!$D5)-1/298.15)+LN(Minerals!$C$3)))),"")</f>
        <v>-3.0512857047070701</v>
      </c>
      <c r="HK5" s="90">
        <f>IF(HE5&lt;&gt;"",LOG($FF5*$FN5/(EXP(-1*Minerals!$E$4/'Other Constants'!$B$2*(1/(273.15+'ppm-mgL-1'!$D5)-1/298.15)+LN(Minerals!$C$4)))),"")</f>
        <v>-3.2912702161729723</v>
      </c>
      <c r="HL5" s="198"/>
      <c r="HM5" s="198"/>
    </row>
    <row r="6" spans="1:221" customFormat="1" x14ac:dyDescent="0.25">
      <c r="A6" s="3"/>
      <c r="B6" s="4" t="s">
        <v>124</v>
      </c>
      <c r="C6" s="5"/>
      <c r="D6" s="3">
        <v>25</v>
      </c>
      <c r="E6" s="4"/>
      <c r="F6" s="4"/>
      <c r="G6" s="4"/>
      <c r="H6" s="5"/>
      <c r="I6" s="3" t="str">
        <f t="shared" si="54"/>
        <v/>
      </c>
      <c r="J6" s="4" t="str">
        <f t="shared" si="55"/>
        <v/>
      </c>
      <c r="K6" s="3" t="str">
        <f t="shared" si="56"/>
        <v/>
      </c>
      <c r="L6" s="4" t="str">
        <f t="shared" si="1"/>
        <v/>
      </c>
      <c r="M6" s="3" t="str">
        <f t="shared" si="0"/>
        <v/>
      </c>
      <c r="N6" s="4" t="str">
        <f t="shared" ref="N6" si="125">IF(M6&lt;&gt;"", IF($D6&lt;&gt;"",M6*2.303*0.0019858*($D6+273.15)/23.06, 0.059*M6),"")</f>
        <v/>
      </c>
      <c r="O6" s="3" t="str">
        <f t="shared" si="2"/>
        <v/>
      </c>
      <c r="P6" s="4" t="str">
        <f t="shared" ref="P6" si="126">IF(O6&lt;&gt;"", IF($D6&lt;&gt;"",O6*2.303*0.0019858*($D6+273.15)/23.06, 0.059*O6),"")</f>
        <v/>
      </c>
      <c r="Q6" s="3" t="str">
        <f t="shared" si="3"/>
        <v/>
      </c>
      <c r="R6" s="4" t="str">
        <f t="shared" ref="R6" si="127">IF(Q6&lt;&gt;"", IF($D6&lt;&gt;"",Q6*2.303*0.0019858*($D6+273.15)/23.06, 0.059*Q6),"")</f>
        <v/>
      </c>
      <c r="S6" s="3" t="str">
        <f t="shared" si="4"/>
        <v/>
      </c>
      <c r="T6" s="4" t="str">
        <f t="shared" ref="T6" si="128">IF(S6&lt;&gt;"", IF($D6&lt;&gt;"",S6*2.303*0.0019858*($D6+273.15)/23.06, 0.059*S6),"")</f>
        <v/>
      </c>
      <c r="U6" s="3" t="str">
        <f>IF(AND($E6&lt;&gt;"",$CX6&lt;&gt;"",$DG6&lt;&gt;""),IF($E6&lt;7,5.12-5/4*$E6+1/8*LOG($CX6/$DG6),4.25-9/8*$E6+1/8*(LOG($CX6)-$E6-LOG($DG6)+pKa!$B$3)),"")</f>
        <v/>
      </c>
      <c r="V6" s="4" t="str">
        <f t="shared" ref="V6" si="129">IF(U6&lt;&gt;"", IF($D6&lt;&gt;"",U6*2.303*0.0019858*($D6+273.15)/23.06, 0.059*U6),"")</f>
        <v/>
      </c>
      <c r="W6" s="3" t="str">
        <f t="shared" si="5"/>
        <v/>
      </c>
      <c r="X6" s="4" t="str">
        <f t="shared" ref="X6" si="130">IF(W6&lt;&gt;"", IF($D6&lt;&gt;"",W6*2.303*0.0019858*($D6+273.15)/23.06, 0.059*W6),"")</f>
        <v/>
      </c>
      <c r="Y6" s="3" t="str">
        <f t="shared" si="6"/>
        <v/>
      </c>
      <c r="Z6" s="4" t="str">
        <f t="shared" ref="Z6" si="131">IF(Y6&lt;&gt;"", IF($D6&lt;&gt;"",Y6*2.303*0.0019858*($D6+273.15)/23.06, 0.059*Y6),"")</f>
        <v/>
      </c>
      <c r="AA6" s="3" t="str">
        <f t="shared" si="7"/>
        <v/>
      </c>
      <c r="AB6" s="4" t="str">
        <f t="shared" ref="AB6" si="132">IF(AA6&lt;&gt;"", IF($D6&lt;&gt;"",AA6*2.303*0.0019858*($D6+273.15)/23.06, 0.059*AA6),"")</f>
        <v/>
      </c>
      <c r="AC6" s="4"/>
      <c r="AD6" s="83" t="str">
        <f>IF(E6&lt;&gt;"",10^(-2*$E6)/(10^(-2*$E6)+10^(-$E6-pKa!$B$2)+(10^(-pKa!$B$2-pKa!$C$2))),"")</f>
        <v/>
      </c>
      <c r="AE6" s="84" t="str">
        <f>IF(E6&lt;&gt;"",10^(-$E6-pKa!$B$2)/(10^(-2*$E6)+10^(-$E6-pKa!$B$2)+10^(-pKa!$B$2-pKa!$C$2)),"")</f>
        <v/>
      </c>
      <c r="AF6" s="212" t="str">
        <f>IF(E6&lt;&gt;"",10^(-pKa!$B$2-pKa!$C$2)/(10^(-2*$E6)+10^(-$E6-pKa!$B$2)+10^(-pKa!$B$2-pKa!$C$2)),"")</f>
        <v/>
      </c>
      <c r="AG6" s="152"/>
      <c r="AH6" s="222" t="str">
        <f>IF($AK6&lt;&gt;"",$AK6/'Elements and ions'!$G$3,IF($E6="","","Enter Alk(HCO3-)"))</f>
        <v/>
      </c>
      <c r="AI6" s="85" t="str">
        <f t="shared" si="65"/>
        <v/>
      </c>
      <c r="AJ6" s="84" t="str">
        <f>IF(AI6&lt;&gt;"",AI6*1000*'Elements and ions'!$B$7,"")</f>
        <v/>
      </c>
      <c r="AK6" s="99"/>
      <c r="AL6" s="88" t="str">
        <f>IF($AK6&lt;&gt;"",$AK6/'Elements and ions'!$G$3*Minerals!$B$6/2,IF($E6="","","Enter Alk(HCO3-)"))</f>
        <v/>
      </c>
      <c r="AM6" s="198"/>
      <c r="AN6" s="91" t="str">
        <f t="shared" si="8"/>
        <v/>
      </c>
      <c r="AO6" s="89" t="str">
        <f t="shared" si="9"/>
        <v/>
      </c>
      <c r="AP6" s="90" t="str">
        <f t="shared" si="10"/>
        <v/>
      </c>
      <c r="AQ6" s="198"/>
      <c r="AR6" s="198"/>
      <c r="AS6" s="83" t="str">
        <f t="shared" si="66"/>
        <v/>
      </c>
      <c r="AT6" s="83" t="str">
        <f>IF(AN6&lt;&gt;"",AN6/'Henrys law constants'!$B$7*1000000,"")</f>
        <v/>
      </c>
      <c r="AU6" s="3">
        <v>1220</v>
      </c>
      <c r="AV6" s="4">
        <v>9.8000000000000007</v>
      </c>
      <c r="AW6" s="4">
        <v>353</v>
      </c>
      <c r="AX6" s="4">
        <v>149</v>
      </c>
      <c r="AY6" s="226"/>
      <c r="AZ6" s="4">
        <v>1980</v>
      </c>
      <c r="BA6" s="4">
        <v>24</v>
      </c>
      <c r="BB6" s="5">
        <v>1000</v>
      </c>
      <c r="BC6" s="222" t="str">
        <f>IF($E6&lt;&gt;"",10^-$E6*'Elements and ions'!B5*1000,"")</f>
        <v/>
      </c>
      <c r="BD6" s="4"/>
      <c r="BE6" s="4">
        <v>0.01</v>
      </c>
      <c r="BF6" s="4"/>
      <c r="BG6" s="5"/>
      <c r="BH6" s="3"/>
      <c r="BI6" s="4"/>
      <c r="BJ6" s="88" t="str">
        <f>IF($AN6&lt;&gt;"",$AN6*'Elements and ions'!$G$2*1000,"")</f>
        <v/>
      </c>
      <c r="BK6" s="229"/>
      <c r="BL6" s="230"/>
      <c r="BM6" s="91" t="str">
        <f>IF($E6&lt;&gt;"",(10^-14+$E6)*'Elements and ions'!$G$8,"")</f>
        <v/>
      </c>
      <c r="BN6" s="4"/>
      <c r="BO6" s="97" t="str">
        <f>IF($AP6&lt;&gt;"",$AP6*'Elements and ions'!$G$4*1000,"")</f>
        <v/>
      </c>
      <c r="BP6" s="4"/>
      <c r="BQ6" s="5"/>
      <c r="BR6" s="195"/>
      <c r="BS6" s="238">
        <f>IF($AU6&lt;&gt;"",$AU6/'Elements and ions'!$B$12,"")</f>
        <v>53.06708323781838</v>
      </c>
      <c r="BT6" s="239">
        <f>IF($AV6&lt;&gt;"",$AV6/'Elements and ions'!$B$20,"")</f>
        <v>0.25065028402769429</v>
      </c>
      <c r="BU6" s="239">
        <f>IF($AW6&lt;&gt;"",$AW6/'Elements and ions'!$B$21, "")</f>
        <v>8.8078247417535795</v>
      </c>
      <c r="BV6" s="240">
        <f>IF($AX6&lt;&gt;"",$AX6/'Elements and ions'!$B$13, "")</f>
        <v>6.130425838304876</v>
      </c>
      <c r="BW6" s="238" t="str">
        <f>IF($AY6&lt;&gt;"",$AY6/'Elements and ions'!$G$3,"")</f>
        <v/>
      </c>
      <c r="BX6" s="239">
        <f>IF($AZ6&lt;&gt;"",$AZ6/'Elements and ions'!$B$18,"")</f>
        <v>55.848588271796459</v>
      </c>
      <c r="BY6" s="239">
        <f>IF($BA6&lt;&gt;"",$BA6/'Elements and ions'!$G$7,"")</f>
        <v>0.38706618347904764</v>
      </c>
      <c r="BZ6" s="241">
        <f>IF($BB6&lt;&gt;"",$BB6/'Elements and ions'!$G$5,"")</f>
        <v>10.409878558356738</v>
      </c>
      <c r="CA6" s="91" t="str">
        <f t="shared" si="67"/>
        <v/>
      </c>
      <c r="CB6" s="163" t="str">
        <f>IF($BD6&lt;&gt;"",$BD6/'Elements and ions'!$B$14,"")</f>
        <v/>
      </c>
      <c r="CC6" s="89">
        <f>IF($BE6&lt;&gt;"",$BE6/'Elements and ions'!$B$27, "")</f>
        <v>1.7906706061420003E-4</v>
      </c>
      <c r="CD6" s="249" t="str">
        <f>IF($BF6&lt;&gt;"",$BF6/'Elements and ions'!$B$26,"")</f>
        <v/>
      </c>
      <c r="CE6" s="250" t="str">
        <f>IF($BG6&lt;&gt;"",$BG6/'Elements and ions'!$G$6,"")</f>
        <v/>
      </c>
      <c r="CF6" s="91" t="str">
        <f>IF($BH6&lt;&gt;"",$BH6/'Elements and ions'!$G$15,"")</f>
        <v/>
      </c>
      <c r="CG6" s="89" t="str">
        <f>IF($BI6&lt;&gt;"",$BI6/'Elements and ions'!$G$16,"")</f>
        <v/>
      </c>
      <c r="CH6" s="90" t="str">
        <f>IF($BJ6&lt;&gt;"",$BJ6/'Elements and ions'!$G$2,"")</f>
        <v/>
      </c>
      <c r="CI6" s="91" t="str">
        <f>IF($BK6&lt;&gt;"",$BK6/'Elements and ions'!$B$15, "")</f>
        <v/>
      </c>
      <c r="CJ6" s="88" t="str">
        <f>IF($BL6&lt;&gt;"", $BL6/'Elements and ions'!$G$17,"")</f>
        <v/>
      </c>
      <c r="CK6" s="89" t="str">
        <f t="shared" si="68"/>
        <v/>
      </c>
      <c r="CL6" s="163" t="str">
        <f>IF($BN6&lt;&gt;"", $BN6/'Elements and ions'!$G$19,"")</f>
        <v/>
      </c>
      <c r="CM6" s="89" t="str">
        <f>IF($BO6&lt;&gt;"",$BO6/'Elements and ions'!$G$4,"")</f>
        <v/>
      </c>
      <c r="CN6" s="89" t="str">
        <f>IF($BP6&lt;&gt;"",$BP6/'Elements and ions'!$B$10,"")</f>
        <v/>
      </c>
      <c r="CO6" s="104" t="str">
        <f>IF($BQ6&lt;&gt;"",$BQ6/'Elements and ions'!$G$18,"")</f>
        <v/>
      </c>
      <c r="CP6" s="242"/>
      <c r="CQ6" s="238">
        <f t="shared" si="94"/>
        <v>5.3067083237818377E-2</v>
      </c>
      <c r="CR6" s="239">
        <f t="shared" si="95"/>
        <v>2.5065028402769432E-4</v>
      </c>
      <c r="CS6" s="239">
        <f t="shared" si="96"/>
        <v>8.8078247417535793E-3</v>
      </c>
      <c r="CT6" s="241">
        <f t="shared" si="97"/>
        <v>6.1304258383048761E-3</v>
      </c>
      <c r="CU6" s="238" t="str">
        <f t="shared" si="11"/>
        <v/>
      </c>
      <c r="CV6" s="239">
        <f t="shared" si="12"/>
        <v>5.5848588271796458E-2</v>
      </c>
      <c r="CW6" s="239">
        <f t="shared" si="13"/>
        <v>3.8706618347904764E-4</v>
      </c>
      <c r="CX6" s="241">
        <f t="shared" si="69"/>
        <v>1.0409878558356738E-2</v>
      </c>
      <c r="CY6" s="258" t="str">
        <f t="shared" si="98"/>
        <v/>
      </c>
      <c r="CZ6" s="259" t="str">
        <f t="shared" si="99"/>
        <v/>
      </c>
      <c r="DA6" s="260">
        <f t="shared" si="100"/>
        <v>1.7906706061420003E-7</v>
      </c>
      <c r="DB6" s="261" t="str">
        <f t="shared" si="101"/>
        <v/>
      </c>
      <c r="DC6" s="262" t="str">
        <f t="shared" si="102"/>
        <v/>
      </c>
      <c r="DD6" s="263" t="str">
        <f t="shared" si="103"/>
        <v/>
      </c>
      <c r="DE6" s="259" t="str">
        <f t="shared" si="104"/>
        <v/>
      </c>
      <c r="DF6" s="260" t="str">
        <f t="shared" si="105"/>
        <v/>
      </c>
      <c r="DG6" s="260" t="str">
        <f t="shared" si="106"/>
        <v/>
      </c>
      <c r="DH6" s="264" t="str">
        <f t="shared" si="107"/>
        <v/>
      </c>
      <c r="DI6" s="258" t="str">
        <f t="shared" si="108"/>
        <v/>
      </c>
      <c r="DJ6" s="260" t="str">
        <f t="shared" si="109"/>
        <v/>
      </c>
      <c r="DK6" s="260" t="str">
        <f t="shared" si="110"/>
        <v/>
      </c>
      <c r="DL6" s="260" t="str">
        <f t="shared" si="111"/>
        <v/>
      </c>
      <c r="DM6" s="265" t="str">
        <f t="shared" si="112"/>
        <v/>
      </c>
      <c r="DN6" s="242"/>
      <c r="DO6" s="238">
        <f t="shared" si="18"/>
        <v>53.06708323781838</v>
      </c>
      <c r="DP6" s="239">
        <f t="shared" si="19"/>
        <v>0.25065028402769429</v>
      </c>
      <c r="DQ6" s="239">
        <f t="shared" si="20"/>
        <v>17.615649483507159</v>
      </c>
      <c r="DR6" s="241">
        <f t="shared" si="21"/>
        <v>12.260851676609752</v>
      </c>
      <c r="DS6" s="238">
        <f t="shared" si="22"/>
        <v>0</v>
      </c>
      <c r="DT6" s="239">
        <f t="shared" si="23"/>
        <v>-55.848588271796459</v>
      </c>
      <c r="DU6" s="239">
        <f t="shared" si="24"/>
        <v>-0.38706618347904764</v>
      </c>
      <c r="DV6" s="241">
        <f t="shared" si="25"/>
        <v>-20.819757116713475</v>
      </c>
      <c r="DW6" s="91" t="str">
        <f t="shared" si="113"/>
        <v/>
      </c>
      <c r="DX6" s="89">
        <f t="shared" si="114"/>
        <v>0</v>
      </c>
      <c r="DY6" s="89">
        <f t="shared" si="115"/>
        <v>3.5813412122840006E-4</v>
      </c>
      <c r="DZ6" s="89">
        <f t="shared" si="116"/>
        <v>0</v>
      </c>
      <c r="EA6" s="90">
        <f t="shared" si="117"/>
        <v>0</v>
      </c>
      <c r="EB6" s="91" t="str">
        <f t="shared" si="118"/>
        <v/>
      </c>
      <c r="EC6" s="89">
        <f t="shared" si="119"/>
        <v>0</v>
      </c>
      <c r="ED6" s="89">
        <f t="shared" si="120"/>
        <v>0</v>
      </c>
      <c r="EE6" s="89">
        <f t="shared" si="121"/>
        <v>0</v>
      </c>
      <c r="EF6" s="90">
        <f t="shared" si="122"/>
        <v>0</v>
      </c>
      <c r="EG6" s="242"/>
      <c r="EH6" s="245">
        <f t="shared" si="123"/>
        <v>83.19459281608421</v>
      </c>
      <c r="EI6" s="246">
        <f t="shared" si="124"/>
        <v>-77.055411571988984</v>
      </c>
      <c r="EJ6" s="198">
        <f t="shared" si="83"/>
        <v>3.8310022315058001</v>
      </c>
      <c r="EK6" s="198">
        <f t="shared" si="27"/>
        <v>0.15616992681046402</v>
      </c>
      <c r="EL6" s="91" t="str">
        <f>IF(AND(CS6&lt;&gt;"",DK6&lt;&gt;""),LOG(CS6*DK6/Minerals!$C$6),"")</f>
        <v/>
      </c>
      <c r="EM6" s="89" t="str">
        <f>IF(AND(CS6&lt;&gt;"",DK6&lt;&gt;""),LOG(CS6*DK6/Minerals!$C$5),"")</f>
        <v/>
      </c>
      <c r="EN6" s="89" t="str">
        <f>IF(AND(CS6&lt;&gt;"",DL6&lt;&gt;""),LOG(CS6*DL6^2/Minerals!$C$2),"")</f>
        <v/>
      </c>
      <c r="EO6" s="89">
        <f>IF(AND(CS6&lt;&gt;"",CX6&lt;&gt;""),LOG($CS6*$CX6/Minerals!$C$3),"")</f>
        <v>0.56229469244619112</v>
      </c>
      <c r="EP6" s="90">
        <f>IF(AND(CS6&lt;&gt;"",CX6&lt;&gt;""),LOG($CS6*$CX6/Minerals!$C$4),"")</f>
        <v>0.32231018098028874</v>
      </c>
      <c r="EQ6" s="198"/>
      <c r="ER6" s="91">
        <f t="shared" si="28"/>
        <v>0.72173176709626874</v>
      </c>
      <c r="ES6" s="89">
        <f t="shared" si="28"/>
        <v>0.72173176709626874</v>
      </c>
      <c r="ET6" s="89">
        <f t="shared" si="29"/>
        <v>0.27133341753048729</v>
      </c>
      <c r="EU6" s="89">
        <f t="shared" si="29"/>
        <v>0.27133341753048729</v>
      </c>
      <c r="EV6" s="90">
        <f t="shared" si="29"/>
        <v>0.27133341753048729</v>
      </c>
      <c r="EW6" s="91">
        <f t="shared" si="30"/>
        <v>0.72173176709626874</v>
      </c>
      <c r="EX6" s="89">
        <f t="shared" si="31"/>
        <v>0.27133341753048729</v>
      </c>
      <c r="EY6" s="89">
        <f t="shared" si="30"/>
        <v>0.72173176709626874</v>
      </c>
      <c r="EZ6" s="89">
        <f t="shared" si="30"/>
        <v>0.72173176709626874</v>
      </c>
      <c r="FA6" s="89">
        <f t="shared" si="84"/>
        <v>0.72173176709626874</v>
      </c>
      <c r="FB6" s="90">
        <f t="shared" si="32"/>
        <v>0.27133341753048729</v>
      </c>
      <c r="FC6" s="198"/>
      <c r="FD6" s="91">
        <f t="shared" si="33"/>
        <v>3.830019975987544E-2</v>
      </c>
      <c r="FE6" s="89">
        <f t="shared" si="34"/>
        <v>1.809022724144895E-4</v>
      </c>
      <c r="FF6" s="89">
        <f t="shared" si="35"/>
        <v>2.3898571881895802E-3</v>
      </c>
      <c r="FG6" s="89">
        <f t="shared" si="36"/>
        <v>1.6633893936244645E-3</v>
      </c>
      <c r="FH6" s="90">
        <f t="shared" si="37"/>
        <v>4.8586877523589811E-8</v>
      </c>
      <c r="FI6" s="91" t="str">
        <f t="shared" si="85"/>
        <v/>
      </c>
      <c r="FJ6" s="89" t="str">
        <f t="shared" si="38"/>
        <v/>
      </c>
      <c r="FK6" s="89">
        <f t="shared" si="39"/>
        <v>4.0307700303235605E-2</v>
      </c>
      <c r="FL6" s="89">
        <f t="shared" si="40"/>
        <v>2.7935796058554165E-4</v>
      </c>
      <c r="FM6" s="89" t="str">
        <f t="shared" si="41"/>
        <v/>
      </c>
      <c r="FN6" s="90">
        <f t="shared" si="42"/>
        <v>2.824547925316276E-3</v>
      </c>
      <c r="FO6" s="198"/>
      <c r="FP6" s="91" t="str">
        <f>IF(EL6&lt;&gt;"",LOG(FF6*FJ6/Minerals!$C$6),"")</f>
        <v/>
      </c>
      <c r="FQ6" s="89" t="str">
        <f>IF(EL6&lt;&gt;"",LOG(FF6*FJ6/Minerals!$C$5),"")</f>
        <v/>
      </c>
      <c r="FR6" s="89" t="str">
        <f>IF(EN6&lt;&gt;"",LOG(FF6*FM6^2/Minerals!$C$2),"")</f>
        <v/>
      </c>
      <c r="FS6" s="89">
        <f>IF(EO6&lt;&gt;"",LOG($FF6*$FN6/Minerals!$C$3),"")</f>
        <v>-0.5706987376838687</v>
      </c>
      <c r="FT6" s="90">
        <f>IF(EP6&lt;&gt;"",LOG($FF6*$FN6/Minerals!$C$4),"")</f>
        <v>-0.81068324914977119</v>
      </c>
      <c r="FU6" s="163"/>
      <c r="FV6" s="91" t="str">
        <f>IF(FP6&lt;&gt;"",LOG(FF6*FJ6/(EXP(-1*Minerals!$E$6/'Other Constants'!$B$2*(1/(273.15+'ppm-mgL-1'!$D6)-1/298.15)+LN(Minerals!$C$6)))),"")</f>
        <v/>
      </c>
      <c r="FW6" s="89" t="str">
        <f>IF(FP6&lt;&gt;"",LOG(FF6*FJ6/(EXP(-1*Minerals!$E$5/'Other Constants'!$B$2*(1/(273.15+'ppm-mgL-1'!$D6)-1/298.15)+LN(Minerals!$C$5)))),"")</f>
        <v/>
      </c>
      <c r="FX6" s="89" t="str">
        <f>IF(FR6&lt;&gt;"",LOG(FF6*FM6^2/(EXP(-1*Minerals!$E$2/'Other Constants'!$B$2*(1/(273.15+'ppm-mgL-1'!$D6)-1/298.15)+LN(Minerals!$C$2)))),"")</f>
        <v/>
      </c>
      <c r="FY6" s="89">
        <f>IF(FS6&lt;&gt;"",LOG($FF6*$FN6/(EXP(-1*Minerals!$E$3/'Other Constants'!$B$2*(1/(273.15+'ppm-mgL-1'!$D6)-1/298.15)+LN(Minerals!$C$3)))),"")</f>
        <v>-0.5706987376838687</v>
      </c>
      <c r="FZ6" s="90">
        <f>IF(FT6&lt;&gt;"",LOG($FF6*$FN6/(EXP(-1*Minerals!$E$4/'Other Constants'!$B$2*(1/(273.15+'ppm-mgL-1'!$D6)-1/298.15)+LN(Minerals!$C$4)))),"")</f>
        <v>-0.81068324914977086</v>
      </c>
      <c r="GA6" s="163"/>
      <c r="GB6" s="163"/>
      <c r="GC6" s="91">
        <f>10^(-1825000*(79.755*EXP(-0.0046*($D6-20))*($D6+273.15))^-1.5*$EK6^0.5/(1+'Elements and ions'!$D$12*$EK6^0.5/(2*(79.755*EXP(-0.0046*($D6-20))*($D6+273.15))^0.5)))</f>
        <v>0.73438674256725489</v>
      </c>
      <c r="GD6" s="89">
        <f>10^(-1825000*(79.755*EXP(-0.0046*($D6-20))*($D6+273.15))^-1.5*$EK6^0.5/(1+'Elements and ions'!$D$20*$EK6^0.5/(2*(79.755*EXP(-0.0046*($D6-20))*($D6+273.15))^0.5)))</f>
        <v>0.71352948581390852</v>
      </c>
      <c r="GE6" s="89">
        <f>10^(-1825000*(79.755*EXP(-0.0046*($D6-20))*($D6+273.15))^-1.5*4*$EK6^0.5/(1+'Elements and ions'!$D$21*$EK6^0.5/(2*(79.755*EXP(-0.0046*($D6-20))*($D6+273.15))^0.5)))</f>
        <v>0.34826194865932403</v>
      </c>
      <c r="GF6" s="89">
        <f>10^(-1825000*(79.755*EXP(-0.0046*($D6-20))*($D6+273.15))^-1.5*4*$EK6^0.5/(1+'Elements and ions'!$D$13*$EK6^0.5/(2*(79.755*EXP(-0.0046*($D6-20))*($D6+273.15))^0.5)))</f>
        <v>0.39829643604143838</v>
      </c>
      <c r="GG6" s="90">
        <f>10^(-1825000*(79.755*EXP(-0.0046*($D6-20))*($D6+273.15))^-1.5*4*$EK6^0.5/(1+'Elements and ions'!$D$27*$EK6^0.5/(2*(79.755*EXP(-0.0046*($D6-20))*($D6+273.15))^0.5)))</f>
        <v>0.34826194865932403</v>
      </c>
      <c r="GH6" s="91">
        <f>10^(-1825000*(79.755*EXP(-0.0046*($D6-20))*($D6+273.15))^-1.5*$EK6^0.5/(1+'Elements and ions'!$G$3*$EK6^0.5/(2*(79.755*EXP(-0.0046*($D6-20))*($D6+273.15))^0.5)))</f>
        <v>0.64763745684099827</v>
      </c>
      <c r="GI6" s="89">
        <f>10^(-1825000*(79.755*EXP(-0.0046*($D6-20))*($D6+273.15))^-1.5*4*$EK6^0.5/(1+'Elements and ions'!$G$4*$EK6^0.5/(2*(79.755*EXP(-0.0046*($D6-20))*($D6+273.15))^0.5)))</f>
        <v>0.17555492990983262</v>
      </c>
      <c r="GJ6" s="89">
        <f>10^(-1825000*(79.755*EXP(-0.0046*($D6-20))*($D6+273.15))^-1.5*$EK6^0.5/(1+'Elements and ions'!$D$18*$EK6^0.5/(2*(79.755*EXP(-0.0046*($D6-20))*($D6+273.15))^0.5)))</f>
        <v>0.71352948581390852</v>
      </c>
      <c r="GK6" s="89">
        <f>10^(-1825000*(79.755*EXP(-0.0046*($D6-20))*($D6+273.15))^-1.5*$EK6^0.5/(1+'Elements and ions'!$I$7*$EK6^0.5/(2*(79.755*EXP(-0.0046*($D6-20))*($D6+273.15))^0.5)))</f>
        <v>0.71352948581390852</v>
      </c>
      <c r="GL6" s="89">
        <f>10^(-1825000*(79.755*EXP(-0.0046*($D6-20))*($D6+273.15))^-1.5*$EK6^0.5/(1+'Elements and ions'!$D$10*$EK6^0.5/(2*(79.755*EXP(-0.0046*($D6-20))*($D6+273.15))^0.5)))</f>
        <v>0.72434807430305925</v>
      </c>
      <c r="GM6" s="90">
        <f>10^(-1825000*(79.755*EXP(-0.0046*($D6-20))*($D6+273.15))^-1.5*4*$EK6^0.5/(1+'Elements and ions'!$I$5*$EK6^0.5/(2*(79.755*EXP(-0.0046*($D6-20))*($D6+273.15))^0.5)))</f>
        <v>0.29087025579912523</v>
      </c>
      <c r="GN6" s="163"/>
      <c r="GO6" s="91">
        <f t="shared" si="43"/>
        <v>3.8971762396566814E-2</v>
      </c>
      <c r="GP6" s="89">
        <f t="shared" si="44"/>
        <v>1.7884636828139085E-4</v>
      </c>
      <c r="GQ6" s="89">
        <f t="shared" si="45"/>
        <v>3.0674302080129089E-3</v>
      </c>
      <c r="GR6" s="89">
        <f t="shared" si="46"/>
        <v>2.4417267628131793E-3</v>
      </c>
      <c r="GS6" s="90">
        <f t="shared" si="47"/>
        <v>6.2362243470198598E-8</v>
      </c>
      <c r="GT6" s="91" t="str">
        <f t="shared" si="48"/>
        <v/>
      </c>
      <c r="GU6" s="89" t="str">
        <f t="shared" si="49"/>
        <v/>
      </c>
      <c r="GV6" s="89">
        <f t="shared" si="50"/>
        <v>3.9849614473007611E-2</v>
      </c>
      <c r="GW6" s="89">
        <f t="shared" si="51"/>
        <v>2.7618313487375685E-4</v>
      </c>
      <c r="GX6" s="89" t="str">
        <f t="shared" si="52"/>
        <v/>
      </c>
      <c r="GY6" s="97">
        <f t="shared" si="53"/>
        <v>3.0279240391070535E-3</v>
      </c>
      <c r="GZ6" s="198"/>
      <c r="HA6" s="88" t="str">
        <f>IF(AND(GQ6&lt;&gt;"",GU6&lt;&gt;""),LOG(GQ6*GU6/Minerals!$C$6),"")</f>
        <v/>
      </c>
      <c r="HB6" s="89" t="str">
        <f>IF(AND(GQ6&lt;&gt;"",GU6&lt;&gt;""),LOG(GQ6*GU6/Minerals!$C$5),"")</f>
        <v/>
      </c>
      <c r="HC6" s="89" t="str">
        <f>IF(AND(GQ6&lt;&gt;"",GX6&lt;&gt;""),LOG(GQ6*GX6^2/Minerals!$C$2),"")</f>
        <v/>
      </c>
      <c r="HD6" s="89">
        <f>IF(AND(GQ6&lt;&gt;"",GY6&lt;&gt;""),LOG($GQ6*$GY6/Minerals!$C$3),"")</f>
        <v>-0.43209996896827813</v>
      </c>
      <c r="HE6" s="97">
        <f>IF(AND(GQ6&lt;&gt;"",GY6&lt;&gt;""),LOG($GQ6*$GY6/Minerals!$C$3),"")</f>
        <v>-0.43209996896827813</v>
      </c>
      <c r="HF6" s="198"/>
      <c r="HG6" s="88" t="str">
        <f>IF(HA6&lt;&gt;"",LOG(GQ6*GU6/(EXP(-1*Minerals!$E$6/'Other Constants'!$B$2*(1/(273.15+'ppm-mgL-1'!$D6)-1/298.15)+LN(Minerals!$C$6)))),"")</f>
        <v/>
      </c>
      <c r="HH6" s="89" t="str">
        <f>IF(HA6&lt;&gt;"",LOG(GQ6*GU6/(EXP(-1*Minerals!$E$5/'Other Constants'!$B$2*(1/(273.15+'ppm-mgL-1'!$D6)-1/298.15)+LN(Minerals!$C$5)))),"")</f>
        <v/>
      </c>
      <c r="HI6" s="89" t="str">
        <f>IF(HC6&lt;&gt;"",LOG(GQ6*GX6^2/(EXP(-1*Minerals!$E$2/'Other Constants'!$B$2*(1/(273.15+'ppm-mgL-1'!$D6)-1/298.15)+LN(Minerals!$C$2)))),"")</f>
        <v/>
      </c>
      <c r="HJ6" s="89">
        <f>IF(HD6&lt;&gt;"",LOG($FF6*$FN6/(EXP(-1*Minerals!$E$3/'Other Constants'!$B$2*(1/(273.15+'ppm-mgL-1'!$D6)-1/298.15)+LN(Minerals!$C$3)))),"")</f>
        <v>-0.5706987376838687</v>
      </c>
      <c r="HK6" s="90">
        <f>IF(HE6&lt;&gt;"",LOG($FF6*$FN6/(EXP(-1*Minerals!$E$4/'Other Constants'!$B$2*(1/(273.15+'ppm-mgL-1'!$D6)-1/298.15)+LN(Minerals!$C$4)))),"")</f>
        <v>-0.81068324914977086</v>
      </c>
      <c r="HL6" s="198"/>
      <c r="HM6" s="198"/>
    </row>
    <row r="7" spans="1:221" customFormat="1" x14ac:dyDescent="0.25">
      <c r="A7" s="3"/>
      <c r="B7" s="4" t="s">
        <v>125</v>
      </c>
      <c r="C7" s="5"/>
      <c r="D7" s="3">
        <v>25</v>
      </c>
      <c r="E7" s="4">
        <v>7.2</v>
      </c>
      <c r="F7" s="4"/>
      <c r="G7" s="4"/>
      <c r="H7" s="5"/>
      <c r="I7" s="3" t="str">
        <f t="shared" si="54"/>
        <v/>
      </c>
      <c r="J7" s="4" t="str">
        <f t="shared" si="55"/>
        <v/>
      </c>
      <c r="K7" s="3" t="str">
        <f t="shared" si="56"/>
        <v/>
      </c>
      <c r="L7" s="4" t="str">
        <f t="shared" si="1"/>
        <v/>
      </c>
      <c r="M7" s="3" t="str">
        <f t="shared" si="0"/>
        <v/>
      </c>
      <c r="N7" s="4" t="str">
        <f t="shared" ref="N7" si="133">IF(M7&lt;&gt;"", IF($D7&lt;&gt;"",M7*2.303*0.0019858*($D7+273.15)/23.06, 0.059*M7),"")</f>
        <v/>
      </c>
      <c r="O7" s="3" t="str">
        <f t="shared" si="2"/>
        <v/>
      </c>
      <c r="P7" s="4" t="str">
        <f t="shared" ref="P7" si="134">IF(O7&lt;&gt;"", IF($D7&lt;&gt;"",O7*2.303*0.0019858*($D7+273.15)/23.06, 0.059*O7),"")</f>
        <v/>
      </c>
      <c r="Q7" s="3" t="str">
        <f t="shared" si="3"/>
        <v/>
      </c>
      <c r="R7" s="4" t="str">
        <f t="shared" ref="R7" si="135">IF(Q7&lt;&gt;"", IF($D7&lt;&gt;"",Q7*2.303*0.0019858*($D7+273.15)/23.06, 0.059*Q7),"")</f>
        <v/>
      </c>
      <c r="S7" s="3" t="str">
        <f t="shared" si="4"/>
        <v/>
      </c>
      <c r="T7" s="4" t="str">
        <f t="shared" ref="T7" si="136">IF(S7&lt;&gt;"", IF($D7&lt;&gt;"",S7*2.303*0.0019858*($D7+273.15)/23.06, 0.059*S7),"")</f>
        <v/>
      </c>
      <c r="U7" s="3" t="str">
        <f>IF(AND($E7&lt;&gt;"",$CX7&lt;&gt;"",$DG7&lt;&gt;""),IF($E7&lt;7,5.12-5/4*$E7+1/8*LOG($CX7/$DG7),4.25-9/8*$E7+1/8*(LOG($CX7)-$E7-LOG($DG7)+pKa!$B$3)),"")</f>
        <v/>
      </c>
      <c r="V7" s="4" t="str">
        <f t="shared" ref="V7" si="137">IF(U7&lt;&gt;"", IF($D7&lt;&gt;"",U7*2.303*0.0019858*($D7+273.15)/23.06, 0.059*U7),"")</f>
        <v/>
      </c>
      <c r="W7" s="3" t="str">
        <f t="shared" si="5"/>
        <v/>
      </c>
      <c r="X7" s="4" t="str">
        <f t="shared" ref="X7" si="138">IF(W7&lt;&gt;"", IF($D7&lt;&gt;"",W7*2.303*0.0019858*($D7+273.15)/23.06, 0.059*W7),"")</f>
        <v/>
      </c>
      <c r="Y7" s="3" t="str">
        <f t="shared" si="6"/>
        <v/>
      </c>
      <c r="Z7" s="4" t="str">
        <f t="shared" ref="Z7" si="139">IF(Y7&lt;&gt;"", IF($D7&lt;&gt;"",Y7*2.303*0.0019858*($D7+273.15)/23.06, 0.059*Y7),"")</f>
        <v/>
      </c>
      <c r="AA7" s="3" t="str">
        <f t="shared" si="7"/>
        <v/>
      </c>
      <c r="AB7" s="4" t="str">
        <f t="shared" ref="AB7" si="140">IF(AA7&lt;&gt;"", IF($D7&lt;&gt;"",AA7*2.303*0.0019858*($D7+273.15)/23.06, 0.059*AA7),"")</f>
        <v/>
      </c>
      <c r="AC7" s="4"/>
      <c r="AD7" s="83">
        <f>IF(E7&lt;&gt;"",10^(-2*$E7)/(10^(-2*$E7)+10^(-$E7-pKa!$B$2)+(10^(-pKa!$B$2-pKa!$C$2))),"")</f>
        <v>0.11173693827183642</v>
      </c>
      <c r="AE7" s="84">
        <f>IF(E7&lt;&gt;"",10^(-$E7-pKa!$B$2)/(10^(-2*$E7)+10^(-$E7-pKa!$B$2)+10^(-pKa!$B$2-pKa!$C$2)),"")</f>
        <v>0.88755804930964011</v>
      </c>
      <c r="AF7" s="212">
        <f>IF(E7&lt;&gt;"",10^(-pKa!$B$2-pKa!$C$2)/(10^(-2*$E7)+10^(-$E7-pKa!$B$2)+10^(-pKa!$B$2-pKa!$C$2)),"")</f>
        <v>7.0501241852345155E-4</v>
      </c>
      <c r="AG7" s="152"/>
      <c r="AH7" s="222">
        <f>IF($AK7&lt;&gt;"",$AK7/'Elements and ions'!$G$3,IF($E7="","","Enter Alk(HCO3-)"))</f>
        <v>5.6377878631538447</v>
      </c>
      <c r="AI7" s="85">
        <f t="shared" si="65"/>
        <v>6.3419462764980903E-3</v>
      </c>
      <c r="AJ7" s="84">
        <f>IF(AI7&lt;&gt;"",AI7*1000*'Elements and ions'!$B$7,"")</f>
        <v>76.171214143135614</v>
      </c>
      <c r="AK7" s="99">
        <v>344</v>
      </c>
      <c r="AL7" s="88">
        <f>IF($AK7&lt;&gt;"",$AK7/'Elements and ions'!$G$3*Minerals!$B$6/2,IF($E7="","","Enter Alk(HCO3-)"))</f>
        <v>282.13435504034629</v>
      </c>
      <c r="AM7" s="198"/>
      <c r="AN7" s="91">
        <f t="shared" si="8"/>
        <v>7.0862965962036994E-4</v>
      </c>
      <c r="AO7" s="89">
        <f t="shared" si="9"/>
        <v>5.6288454659951803E-3</v>
      </c>
      <c r="AP7" s="90">
        <f t="shared" si="10"/>
        <v>4.4711508825397167E-6</v>
      </c>
      <c r="AQ7" s="198"/>
      <c r="AR7" s="198"/>
      <c r="AS7" s="83">
        <f t="shared" si="66"/>
        <v>2.0842048812363823</v>
      </c>
      <c r="AT7" s="83">
        <f>IF(AN7&lt;&gt;"",AN7/'Henrys law constants'!$B$7*1000000,"")</f>
        <v>20842.048812363821</v>
      </c>
      <c r="AU7" s="3">
        <v>19.100000000000001</v>
      </c>
      <c r="AV7" s="4">
        <v>0</v>
      </c>
      <c r="AW7" s="4">
        <v>93.9</v>
      </c>
      <c r="AX7" s="4">
        <v>22.9</v>
      </c>
      <c r="AY7" s="226">
        <f>AO7*'Elements and ions'!$G$3*1000</f>
        <v>343.45436318335334</v>
      </c>
      <c r="AZ7" s="4">
        <v>9</v>
      </c>
      <c r="BA7" s="4"/>
      <c r="BB7" s="5">
        <v>85</v>
      </c>
      <c r="BC7" s="222">
        <f>IF($E7&lt;&gt;"",10^-$E7*'Elements and ions'!B6*1000,"")</f>
        <v>6.8212798511753533E-4</v>
      </c>
      <c r="BD7" s="4"/>
      <c r="BE7" s="4"/>
      <c r="BF7" s="4"/>
      <c r="BG7" s="5"/>
      <c r="BH7" s="3"/>
      <c r="BI7" s="4"/>
      <c r="BJ7" s="88">
        <f>IF($AN7&lt;&gt;"",$AN7*'Elements and ions'!$G$2*1000,"")</f>
        <v>43.952598739428325</v>
      </c>
      <c r="BK7" s="229"/>
      <c r="BL7" s="230"/>
      <c r="BM7" s="91">
        <f>IF($E7&lt;&gt;"",(10^-14+$E7)*'Elements and ions'!$G$8,"")</f>
        <v>122.45284800000016</v>
      </c>
      <c r="BN7" s="4"/>
      <c r="BO7" s="97">
        <f>IF($AP7&lt;&gt;"",$AP7*'Elements and ions'!$G$4*1000,"")</f>
        <v>0.26830884619523759</v>
      </c>
      <c r="BP7" s="4"/>
      <c r="BQ7" s="5"/>
      <c r="BR7" s="195"/>
      <c r="BS7" s="238">
        <f>IF($AU7&lt;&gt;"",$AU7/'Elements and ions'!$B$12,"")</f>
        <v>0.83080433593633707</v>
      </c>
      <c r="BT7" s="239">
        <f>IF($AV7&lt;&gt;"",$AV7/'Elements and ions'!$B$20,"")</f>
        <v>0</v>
      </c>
      <c r="BU7" s="239">
        <f>IF($AW7&lt;&gt;"",$AW7/'Elements and ions'!$B$21, "")</f>
        <v>2.3429312839962075</v>
      </c>
      <c r="BV7" s="240">
        <f>IF($AX7&lt;&gt;"",$AX7/'Elements and ions'!$B$13, "")</f>
        <v>0.94219296441061506</v>
      </c>
      <c r="BW7" s="238">
        <f>IF($AY7&lt;&gt;"",$AY7/'Elements and ions'!$G$3,"")</f>
        <v>5.6288454659951803</v>
      </c>
      <c r="BX7" s="239">
        <f>IF($AZ7&lt;&gt;"",$AZ7/'Elements and ions'!$B$18,"")</f>
        <v>0.25385721941725664</v>
      </c>
      <c r="BY7" s="239" t="str">
        <f>IF($BA7&lt;&gt;"",$BA7/'Elements and ions'!$G$7,"")</f>
        <v/>
      </c>
      <c r="BZ7" s="241">
        <f>IF($BB7&lt;&gt;"",$BB7/'Elements and ions'!$G$5,"")</f>
        <v>0.88483967746032277</v>
      </c>
      <c r="CA7" s="91">
        <f t="shared" si="67"/>
        <v>6.3095734448019171E-5</v>
      </c>
      <c r="CB7" s="163" t="str">
        <f>IF($BD7&lt;&gt;"",$BD7/'Elements and ions'!$B$14,"")</f>
        <v/>
      </c>
      <c r="CC7" s="89" t="str">
        <f>IF($BE7&lt;&gt;"",$BE7/'Elements and ions'!$B$27, "")</f>
        <v/>
      </c>
      <c r="CD7" s="249" t="str">
        <f>IF($BF7&lt;&gt;"",$BF7/'Elements and ions'!$B$26,"")</f>
        <v/>
      </c>
      <c r="CE7" s="250" t="str">
        <f>IF($BG7&lt;&gt;"",$BG7/'Elements and ions'!$G$6,"")</f>
        <v/>
      </c>
      <c r="CF7" s="91" t="str">
        <f>IF($BH7&lt;&gt;"",$BH7/'Elements and ions'!$G$15,"")</f>
        <v/>
      </c>
      <c r="CG7" s="89" t="str">
        <f>IF($BI7&lt;&gt;"",$BI7/'Elements and ions'!$G$16,"")</f>
        <v/>
      </c>
      <c r="CH7" s="90">
        <f>IF($BJ7&lt;&gt;"",$BJ7/'Elements and ions'!$G$2,"")</f>
        <v>0.70862965962036994</v>
      </c>
      <c r="CI7" s="91" t="str">
        <f>IF($BK7&lt;&gt;"",$BK7/'Elements and ions'!$B$15, "")</f>
        <v/>
      </c>
      <c r="CJ7" s="88" t="str">
        <f>IF($BL7&lt;&gt;"", $BL7/'Elements and ions'!$G$17,"")</f>
        <v/>
      </c>
      <c r="CK7" s="89">
        <f t="shared" si="68"/>
        <v>1.5848931924611123E-4</v>
      </c>
      <c r="CL7" s="163" t="str">
        <f>IF($BN7&lt;&gt;"", $BN7/'Elements and ions'!$G$19,"")</f>
        <v/>
      </c>
      <c r="CM7" s="89">
        <f>IF($BO7&lt;&gt;"",$BO7/'Elements and ions'!$G$4,"")</f>
        <v>4.4711508825397168E-3</v>
      </c>
      <c r="CN7" s="89" t="str">
        <f>IF($BP7&lt;&gt;"",$BP7/'Elements and ions'!$B$10,"")</f>
        <v/>
      </c>
      <c r="CO7" s="104" t="str">
        <f>IF($BQ7&lt;&gt;"",$BQ7/'Elements and ions'!$G$18,"")</f>
        <v/>
      </c>
      <c r="CP7" s="242"/>
      <c r="CQ7" s="238">
        <f t="shared" si="94"/>
        <v>8.3080433593633711E-4</v>
      </c>
      <c r="CR7" s="239">
        <f t="shared" si="95"/>
        <v>0</v>
      </c>
      <c r="CS7" s="239">
        <f t="shared" si="96"/>
        <v>2.3429312839962075E-3</v>
      </c>
      <c r="CT7" s="241">
        <f t="shared" si="97"/>
        <v>9.4219296441061507E-4</v>
      </c>
      <c r="CU7" s="238">
        <f t="shared" si="11"/>
        <v>5.6288454659951803E-3</v>
      </c>
      <c r="CV7" s="239">
        <f t="shared" si="12"/>
        <v>2.5385721941725663E-4</v>
      </c>
      <c r="CW7" s="239" t="str">
        <f t="shared" si="13"/>
        <v/>
      </c>
      <c r="CX7" s="241">
        <f t="shared" si="69"/>
        <v>8.8483967746032276E-4</v>
      </c>
      <c r="CY7" s="258">
        <f t="shared" si="98"/>
        <v>6.3095734448019177E-8</v>
      </c>
      <c r="CZ7" s="259" t="str">
        <f t="shared" si="99"/>
        <v/>
      </c>
      <c r="DA7" s="260" t="str">
        <f t="shared" si="100"/>
        <v/>
      </c>
      <c r="DB7" s="261" t="str">
        <f t="shared" si="101"/>
        <v/>
      </c>
      <c r="DC7" s="262" t="str">
        <f t="shared" si="102"/>
        <v/>
      </c>
      <c r="DD7" s="263" t="str">
        <f t="shared" si="103"/>
        <v/>
      </c>
      <c r="DE7" s="259" t="str">
        <f t="shared" si="104"/>
        <v/>
      </c>
      <c r="DF7" s="260">
        <f t="shared" si="105"/>
        <v>7.0862965962036994E-4</v>
      </c>
      <c r="DG7" s="260" t="str">
        <f t="shared" si="106"/>
        <v/>
      </c>
      <c r="DH7" s="264" t="str">
        <f t="shared" si="107"/>
        <v/>
      </c>
      <c r="DI7" s="258">
        <f t="shared" si="108"/>
        <v>1.5848931924611122E-7</v>
      </c>
      <c r="DJ7" s="260" t="str">
        <f t="shared" si="109"/>
        <v/>
      </c>
      <c r="DK7" s="260">
        <f t="shared" si="110"/>
        <v>4.4711508825397167E-6</v>
      </c>
      <c r="DL7" s="260" t="str">
        <f t="shared" si="111"/>
        <v/>
      </c>
      <c r="DM7" s="265" t="str">
        <f t="shared" si="112"/>
        <v/>
      </c>
      <c r="DN7" s="242"/>
      <c r="DO7" s="238">
        <f t="shared" si="18"/>
        <v>0.83080433593633707</v>
      </c>
      <c r="DP7" s="239">
        <f t="shared" si="19"/>
        <v>0</v>
      </c>
      <c r="DQ7" s="239">
        <f t="shared" si="20"/>
        <v>4.6858625679924151</v>
      </c>
      <c r="DR7" s="241">
        <f t="shared" si="21"/>
        <v>1.8843859288212301</v>
      </c>
      <c r="DS7" s="238">
        <f t="shared" si="22"/>
        <v>-5.6288454659951803</v>
      </c>
      <c r="DT7" s="239">
        <f t="shared" si="23"/>
        <v>-0.25385721941725664</v>
      </c>
      <c r="DU7" s="239">
        <f t="shared" si="24"/>
        <v>0</v>
      </c>
      <c r="DV7" s="241">
        <f t="shared" si="25"/>
        <v>-1.7696793549206455</v>
      </c>
      <c r="DW7" s="91">
        <f t="shared" si="113"/>
        <v>6.3095734448019171E-5</v>
      </c>
      <c r="DX7" s="89">
        <f t="shared" si="114"/>
        <v>0</v>
      </c>
      <c r="DY7" s="89">
        <f t="shared" si="115"/>
        <v>0</v>
      </c>
      <c r="DZ7" s="89">
        <f t="shared" si="116"/>
        <v>0</v>
      </c>
      <c r="EA7" s="90">
        <f t="shared" si="117"/>
        <v>0</v>
      </c>
      <c r="EB7" s="91">
        <f t="shared" si="118"/>
        <v>-1.5848931924611123E-4</v>
      </c>
      <c r="EC7" s="89">
        <f t="shared" si="119"/>
        <v>0</v>
      </c>
      <c r="ED7" s="89">
        <f t="shared" si="120"/>
        <v>-8.9423017650794336E-3</v>
      </c>
      <c r="EE7" s="89">
        <f t="shared" si="121"/>
        <v>0</v>
      </c>
      <c r="EF7" s="90">
        <f t="shared" si="122"/>
        <v>0</v>
      </c>
      <c r="EG7" s="242"/>
      <c r="EH7" s="245">
        <f t="shared" si="123"/>
        <v>7.4011159284844306</v>
      </c>
      <c r="EI7" s="246">
        <f t="shared" si="124"/>
        <v>-7.661482831417409</v>
      </c>
      <c r="EJ7" s="198">
        <f t="shared" si="83"/>
        <v>-1.728565615291443</v>
      </c>
      <c r="EK7" s="198">
        <f t="shared" si="27"/>
        <v>2.0036609214142968E-2</v>
      </c>
      <c r="EL7" s="91">
        <f>IF(AND(CS7&lt;&gt;"",DK7&lt;&gt;""),LOG(CS7*DK7/Minerals!$C$6),"")</f>
        <v>0.50035088328099842</v>
      </c>
      <c r="EM7" s="89">
        <f>IF(AND(CS7&lt;&gt;"",DK7&lt;&gt;""),LOG(CS7*DK7/Minerals!$C$5),"")</f>
        <v>0.36987135392478071</v>
      </c>
      <c r="EN7" s="89" t="str">
        <f>IF(AND(CS7&lt;&gt;"",DL7&lt;&gt;""),LOG(CS7*DL7^2/Minerals!$C$2),"")</f>
        <v/>
      </c>
      <c r="EO7" s="89">
        <f>IF(AND(CS7&lt;&gt;"",CX7&lt;&gt;""),LOG($CS7*$CX7/Minerals!$C$3),"")</f>
        <v>-1.0833954949612277</v>
      </c>
      <c r="EP7" s="90">
        <f>IF(AND(CS7&lt;&gt;"",CX7&lt;&gt;""),LOG($CS7*$CX7/Minerals!$C$4),"")</f>
        <v>-1.3233800064271302</v>
      </c>
      <c r="EQ7" s="198"/>
      <c r="ER7" s="91">
        <f t="shared" si="28"/>
        <v>0.8669632400792443</v>
      </c>
      <c r="ES7" s="89">
        <f t="shared" si="28"/>
        <v>0.8669632400792443</v>
      </c>
      <c r="ET7" s="89">
        <f t="shared" si="29"/>
        <v>0.56494053094197783</v>
      </c>
      <c r="EU7" s="89">
        <f t="shared" si="29"/>
        <v>0.56494053094197783</v>
      </c>
      <c r="EV7" s="90">
        <f t="shared" si="29"/>
        <v>0.56494053094197783</v>
      </c>
      <c r="EW7" s="91">
        <f t="shared" si="30"/>
        <v>0.8669632400792443</v>
      </c>
      <c r="EX7" s="89">
        <f t="shared" si="31"/>
        <v>0.56494053094197783</v>
      </c>
      <c r="EY7" s="89">
        <f t="shared" si="30"/>
        <v>0.8669632400792443</v>
      </c>
      <c r="EZ7" s="89">
        <f t="shared" si="30"/>
        <v>0.8669632400792443</v>
      </c>
      <c r="FA7" s="89">
        <f t="shared" si="84"/>
        <v>0.8669632400792443</v>
      </c>
      <c r="FB7" s="90">
        <f t="shared" si="32"/>
        <v>0.56494053094197783</v>
      </c>
      <c r="FC7" s="198"/>
      <c r="FD7" s="91">
        <f t="shared" si="33"/>
        <v>7.2027681895525176E-4</v>
      </c>
      <c r="FE7" s="89">
        <f t="shared" si="34"/>
        <v>0</v>
      </c>
      <c r="FF7" s="89">
        <f t="shared" si="35"/>
        <v>1.3236168435413872E-3</v>
      </c>
      <c r="FG7" s="89">
        <f t="shared" si="36"/>
        <v>5.3228299356392885E-4</v>
      </c>
      <c r="FH7" s="90" t="str">
        <f t="shared" si="37"/>
        <v/>
      </c>
      <c r="FI7" s="91">
        <f t="shared" si="85"/>
        <v>4.8800021031045453E-3</v>
      </c>
      <c r="FJ7" s="89">
        <f t="shared" si="38"/>
        <v>2.5259343535036803E-6</v>
      </c>
      <c r="FK7" s="89">
        <f t="shared" si="39"/>
        <v>2.2008487746349247E-4</v>
      </c>
      <c r="FL7" s="89" t="str">
        <f t="shared" si="40"/>
        <v/>
      </c>
      <c r="FM7" s="89" t="str">
        <f t="shared" si="41"/>
        <v/>
      </c>
      <c r="FN7" s="90">
        <f t="shared" si="42"/>
        <v>4.9988179718296318E-4</v>
      </c>
      <c r="FO7" s="198"/>
      <c r="FP7" s="91">
        <f>IF(EL7&lt;&gt;"",LOG(FF7*FJ7/Minerals!$C$6),"")</f>
        <v>4.3563508028742351E-3</v>
      </c>
      <c r="FQ7" s="89">
        <f>IF(EL7&lt;&gt;"",LOG(FF7*FJ7/Minerals!$C$5),"")</f>
        <v>-0.12612317855334346</v>
      </c>
      <c r="FR7" s="89" t="str">
        <f>IF(EN7&lt;&gt;"",LOG(FF7*FM7^2/Minerals!$C$2),"")</f>
        <v/>
      </c>
      <c r="FS7" s="89">
        <f>IF(EO7&lt;&gt;"",LOG($FF7*$FN7/Minerals!$C$3),"")</f>
        <v>-1.579390027439352</v>
      </c>
      <c r="FT7" s="90">
        <f>IF(EP7&lt;&gt;"",LOG($FF7*$FN7/Minerals!$C$4),"")</f>
        <v>-1.8193745389052542</v>
      </c>
      <c r="FU7" s="163"/>
      <c r="FV7" s="91">
        <f>IF(FP7&lt;&gt;"",LOG(FF7*FJ7/(EXP(-1*Minerals!$E$6/'Other Constants'!$B$2*(1/(273.15+'ppm-mgL-1'!$D7)-1/298.15)+LN(Minerals!$C$6)))),"")</f>
        <v>4.3563508028749039E-3</v>
      </c>
      <c r="FW7" s="89">
        <f>IF(FP7&lt;&gt;"",LOG(FF7*FJ7/(EXP(-1*Minerals!$E$5/'Other Constants'!$B$2*(1/(273.15+'ppm-mgL-1'!$D7)-1/298.15)+LN(Minerals!$C$5)))),"")</f>
        <v>-0.12612317855334298</v>
      </c>
      <c r="FX7" s="89" t="str">
        <f>IF(FR7&lt;&gt;"",LOG(FF7*FM7^2/(EXP(-1*Minerals!$E$2/'Other Constants'!$B$2*(1/(273.15+'ppm-mgL-1'!$D7)-1/298.15)+LN(Minerals!$C$2)))),"")</f>
        <v/>
      </c>
      <c r="FY7" s="89">
        <f>IF(FS7&lt;&gt;"",LOG($FF7*$FN7/(EXP(-1*Minerals!$E$3/'Other Constants'!$B$2*(1/(273.15+'ppm-mgL-1'!$D7)-1/298.15)+LN(Minerals!$C$3)))),"")</f>
        <v>-1.579390027439352</v>
      </c>
      <c r="FZ7" s="90">
        <f>IF(FT7&lt;&gt;"",LOG($FF7*$FN7/(EXP(-1*Minerals!$E$4/'Other Constants'!$B$2*(1/(273.15+'ppm-mgL-1'!$D7)-1/298.15)+LN(Minerals!$C$4)))),"")</f>
        <v>-1.819374538905254</v>
      </c>
      <c r="GA7" s="163"/>
      <c r="GB7" s="163"/>
      <c r="GC7" s="91">
        <f>10^(-1825000*(79.755*EXP(-0.0046*($D7-20))*($D7+273.15))^-1.5*$EK7^0.5/(1+'Elements and ions'!$D$12*$EK7^0.5/(2*(79.755*EXP(-0.0046*($D7-20))*($D7+273.15))^0.5)))</f>
        <v>0.86795642078353541</v>
      </c>
      <c r="GD7" s="89">
        <f>10^(-1825000*(79.755*EXP(-0.0046*($D7-20))*($D7+273.15))^-1.5*$EK7^0.5/(1+'Elements and ions'!$D$20*$EK7^0.5/(2*(79.755*EXP(-0.0046*($D7-20))*($D7+273.15))^0.5)))</f>
        <v>0.86296184082712979</v>
      </c>
      <c r="GE7" s="89">
        <f>10^(-1825000*(79.755*EXP(-0.0046*($D7-20))*($D7+273.15))^-1.5*4*$EK7^0.5/(1+'Elements and ions'!$D$21*$EK7^0.5/(2*(79.755*EXP(-0.0046*($D7-20))*($D7+273.15))^0.5)))</f>
        <v>0.59136829928736656</v>
      </c>
      <c r="GF7" s="89">
        <f>10^(-1825000*(79.755*EXP(-0.0046*($D7-20))*($D7+273.15))^-1.5*4*$EK7^0.5/(1+'Elements and ions'!$D$13*$EK7^0.5/(2*(79.755*EXP(-0.0046*($D7-20))*($D7+273.15))^0.5)))</f>
        <v>0.61278061421971541</v>
      </c>
      <c r="GG7" s="90">
        <f>10^(-1825000*(79.755*EXP(-0.0046*($D7-20))*($D7+273.15))^-1.5*4*$EK7^0.5/(1+'Elements and ions'!$D$27*$EK7^0.5/(2*(79.755*EXP(-0.0046*($D7-20))*($D7+273.15))^0.5)))</f>
        <v>0.59136829928736656</v>
      </c>
      <c r="GH7" s="91">
        <f>10^(-1825000*(79.755*EXP(-0.0046*($D7-20))*($D7+273.15))^-1.5*$EK7^0.5/(1+'Elements and ions'!$G$3*$EK7^0.5/(2*(79.755*EXP(-0.0046*($D7-20))*($D7+273.15))^0.5)))</f>
        <v>0.84934704700670283</v>
      </c>
      <c r="GI7" s="89">
        <f>10^(-1825000*(79.755*EXP(-0.0046*($D7-20))*($D7+273.15))^-1.5*4*$EK7^0.5/(1+'Elements and ions'!$G$4*$EK7^0.5/(2*(79.755*EXP(-0.0046*($D7-20))*($D7+273.15))^0.5)))</f>
        <v>0.52024939010903315</v>
      </c>
      <c r="GJ7" s="89">
        <f>10^(-1825000*(79.755*EXP(-0.0046*($D7-20))*($D7+273.15))^-1.5*$EK7^0.5/(1+'Elements and ions'!$D$18*$EK7^0.5/(2*(79.755*EXP(-0.0046*($D7-20))*($D7+273.15))^0.5)))</f>
        <v>0.86296184082712979</v>
      </c>
      <c r="GK7" s="89">
        <f>10^(-1825000*(79.755*EXP(-0.0046*($D7-20))*($D7+273.15))^-1.5*$EK7^0.5/(1+'Elements and ions'!$I$7*$EK7^0.5/(2*(79.755*EXP(-0.0046*($D7-20))*($D7+273.15))^0.5)))</f>
        <v>0.86296184082712979</v>
      </c>
      <c r="GL7" s="89">
        <f>10^(-1825000*(79.755*EXP(-0.0046*($D7-20))*($D7+273.15))^-1.5*$EK7^0.5/(1+'Elements and ions'!$D$10*$EK7^0.5/(2*(79.755*EXP(-0.0046*($D7-20))*($D7+273.15))^0.5)))</f>
        <v>0.86550539775521984</v>
      </c>
      <c r="GM7" s="90">
        <f>10^(-1825000*(79.755*EXP(-0.0046*($D7-20))*($D7+273.15))^-1.5*4*$EK7^0.5/(1+'Elements and ions'!$I$5*$EK7^0.5/(2*(79.755*EXP(-0.0046*($D7-20))*($D7+273.15))^0.5)))</f>
        <v>0.56753373400591811</v>
      </c>
      <c r="GN7" s="163"/>
      <c r="GO7" s="91">
        <f t="shared" si="43"/>
        <v>7.2110195779074508E-4</v>
      </c>
      <c r="GP7" s="89">
        <f t="shared" si="44"/>
        <v>0</v>
      </c>
      <c r="GQ7" s="89">
        <f t="shared" si="45"/>
        <v>1.3855352887640032E-3</v>
      </c>
      <c r="GR7" s="89">
        <f t="shared" si="46"/>
        <v>5.7735758344503113E-4</v>
      </c>
      <c r="GS7" s="90" t="str">
        <f t="shared" si="47"/>
        <v/>
      </c>
      <c r="GT7" s="91">
        <f t="shared" si="48"/>
        <v>4.7808432746000743E-3</v>
      </c>
      <c r="GU7" s="89">
        <f t="shared" si="49"/>
        <v>2.3261135197267531E-6</v>
      </c>
      <c r="GV7" s="89">
        <f t="shared" si="50"/>
        <v>2.1906909337557237E-4</v>
      </c>
      <c r="GW7" s="89" t="str">
        <f t="shared" si="51"/>
        <v/>
      </c>
      <c r="GX7" s="89" t="str">
        <f t="shared" si="52"/>
        <v/>
      </c>
      <c r="GY7" s="97">
        <f t="shared" si="53"/>
        <v>5.0217636614564918E-4</v>
      </c>
      <c r="GZ7" s="198"/>
      <c r="HA7" s="88">
        <f>IF(AND(GQ7&lt;&gt;"",GU7&lt;&gt;""),LOG(GQ7*GU7/Minerals!$C$6),"")</f>
        <v>-1.1579496807008509E-2</v>
      </c>
      <c r="HB7" s="89">
        <f>IF(AND(GQ7&lt;&gt;"",GU7&lt;&gt;""),LOG(GQ7*GU7/Minerals!$C$5),"")</f>
        <v>-0.14205902616322627</v>
      </c>
      <c r="HC7" s="89" t="str">
        <f>IF(AND(GQ7&lt;&gt;"",GX7&lt;&gt;""),LOG(GQ7*GX7^2/Minerals!$C$2),"")</f>
        <v/>
      </c>
      <c r="HD7" s="89">
        <f>IF(AND(GQ7&lt;&gt;"",GY7&lt;&gt;""),LOG($GQ7*$GY7/Minerals!$C$3),"")</f>
        <v>-1.5575457738636664</v>
      </c>
      <c r="HE7" s="97">
        <f>IF(AND(GQ7&lt;&gt;"",GY7&lt;&gt;""),LOG($GQ7*$GY7/Minerals!$C$3),"")</f>
        <v>-1.5575457738636664</v>
      </c>
      <c r="HF7" s="198"/>
      <c r="HG7" s="88">
        <f>IF(HA7&lt;&gt;"",LOG(GQ7*GU7/(EXP(-1*Minerals!$E$6/'Other Constants'!$B$2*(1/(273.15+'ppm-mgL-1'!$D7)-1/298.15)+LN(Minerals!$C$6)))),"")</f>
        <v>-1.1579496807007865E-2</v>
      </c>
      <c r="HH7" s="89">
        <f>IF(HA7&lt;&gt;"",LOG(GQ7*GU7/(EXP(-1*Minerals!$E$5/'Other Constants'!$B$2*(1/(273.15+'ppm-mgL-1'!$D7)-1/298.15)+LN(Minerals!$C$5)))),"")</f>
        <v>-0.14205902616322572</v>
      </c>
      <c r="HI7" s="89" t="str">
        <f>IF(HC7&lt;&gt;"",LOG(GQ7*GX7^2/(EXP(-1*Minerals!$E$2/'Other Constants'!$B$2*(1/(273.15+'ppm-mgL-1'!$D7)-1/298.15)+LN(Minerals!$C$2)))),"")</f>
        <v/>
      </c>
      <c r="HJ7" s="89">
        <f>IF(HD7&lt;&gt;"",LOG($FF7*$FN7/(EXP(-1*Minerals!$E$3/'Other Constants'!$B$2*(1/(273.15+'ppm-mgL-1'!$D7)-1/298.15)+LN(Minerals!$C$3)))),"")</f>
        <v>-1.579390027439352</v>
      </c>
      <c r="HK7" s="90">
        <f>IF(HE7&lt;&gt;"",LOG($FF7*$FN7/(EXP(-1*Minerals!$E$4/'Other Constants'!$B$2*(1/(273.15+'ppm-mgL-1'!$D7)-1/298.15)+LN(Minerals!$C$4)))),"")</f>
        <v>-1.819374538905254</v>
      </c>
      <c r="HL7" s="198"/>
      <c r="HM7" s="198"/>
    </row>
    <row r="8" spans="1:221" customFormat="1" x14ac:dyDescent="0.25">
      <c r="A8" s="3" t="s">
        <v>127</v>
      </c>
      <c r="B8" s="4" t="s">
        <v>126</v>
      </c>
      <c r="C8" s="5"/>
      <c r="D8" s="3">
        <v>25</v>
      </c>
      <c r="E8" s="4">
        <v>7.54</v>
      </c>
      <c r="F8" s="4"/>
      <c r="G8" s="4"/>
      <c r="H8" s="5"/>
      <c r="I8" s="3" t="str">
        <f t="shared" si="54"/>
        <v/>
      </c>
      <c r="J8" s="4" t="str">
        <f t="shared" si="55"/>
        <v/>
      </c>
      <c r="K8" s="3" t="str">
        <f t="shared" si="56"/>
        <v/>
      </c>
      <c r="L8" s="4" t="str">
        <f t="shared" si="1"/>
        <v/>
      </c>
      <c r="M8" s="3" t="str">
        <f t="shared" si="0"/>
        <v/>
      </c>
      <c r="N8" s="4" t="str">
        <f t="shared" ref="N8" si="141">IF(M8&lt;&gt;"", IF($D8&lt;&gt;"",M8*2.303*0.0019858*($D8+273.15)/23.06, 0.059*M8),"")</f>
        <v/>
      </c>
      <c r="O8" s="3" t="str">
        <f t="shared" si="2"/>
        <v/>
      </c>
      <c r="P8" s="4" t="str">
        <f t="shared" ref="P8" si="142">IF(O8&lt;&gt;"", IF($D8&lt;&gt;"",O8*2.303*0.0019858*($D8+273.15)/23.06, 0.059*O8),"")</f>
        <v/>
      </c>
      <c r="Q8" s="3" t="str">
        <f t="shared" si="3"/>
        <v/>
      </c>
      <c r="R8" s="4" t="str">
        <f t="shared" ref="R8" si="143">IF(Q8&lt;&gt;"", IF($D8&lt;&gt;"",Q8*2.303*0.0019858*($D8+273.15)/23.06, 0.059*Q8),"")</f>
        <v/>
      </c>
      <c r="S8" s="3" t="str">
        <f t="shared" si="4"/>
        <v/>
      </c>
      <c r="T8" s="4" t="str">
        <f t="shared" ref="T8" si="144">IF(S8&lt;&gt;"", IF($D8&lt;&gt;"",S8*2.303*0.0019858*($D8+273.15)/23.06, 0.059*S8),"")</f>
        <v/>
      </c>
      <c r="U8" s="3" t="str">
        <f>IF(AND($E8&lt;&gt;"",$CX8&lt;&gt;"",$DG8&lt;&gt;""),IF($E8&lt;7,5.12-5/4*$E8+1/8*LOG($CX8/$DG8),4.25-9/8*$E8+1/8*(LOG($CX8)-$E8-LOG($DG8)+pKa!$B$3)),"")</f>
        <v/>
      </c>
      <c r="V8" s="4" t="str">
        <f t="shared" ref="V8" si="145">IF(U8&lt;&gt;"", IF($D8&lt;&gt;"",U8*2.303*0.0019858*($D8+273.15)/23.06, 0.059*U8),"")</f>
        <v/>
      </c>
      <c r="W8" s="3" t="str">
        <f t="shared" si="5"/>
        <v/>
      </c>
      <c r="X8" s="4" t="str">
        <f t="shared" ref="X8" si="146">IF(W8&lt;&gt;"", IF($D8&lt;&gt;"",W8*2.303*0.0019858*($D8+273.15)/23.06, 0.059*W8),"")</f>
        <v/>
      </c>
      <c r="Y8" s="3" t="str">
        <f t="shared" si="6"/>
        <v/>
      </c>
      <c r="Z8" s="4" t="str">
        <f t="shared" ref="Z8" si="147">IF(Y8&lt;&gt;"", IF($D8&lt;&gt;"",Y8*2.303*0.0019858*($D8+273.15)/23.06, 0.059*Y8),"")</f>
        <v/>
      </c>
      <c r="AA8" s="3" t="str">
        <f t="shared" si="7"/>
        <v/>
      </c>
      <c r="AB8" s="4" t="str">
        <f t="shared" ref="AB8" si="148">IF(AA8&lt;&gt;"", IF($D8&lt;&gt;"",AA8*2.303*0.0019858*($D8+273.15)/23.06, 0.059*AA8),"")</f>
        <v/>
      </c>
      <c r="AC8" s="4"/>
      <c r="AD8" s="83">
        <f>IF(E8&lt;&gt;"",10^(-2*$E8)/(10^(-2*$E8)+10^(-$E8-pKa!$B$2)+(10^(-pKa!$B$2-pKa!$C$2))),"")</f>
        <v>5.432359361701674E-2</v>
      </c>
      <c r="AE8" s="84">
        <f>IF(E8&lt;&gt;"",10^(-$E8-pKa!$B$2)/(10^(-2*$E8)+10^(-$E8-pKa!$B$2)+10^(-pKa!$B$2-pKa!$C$2)),"")</f>
        <v>0.94403586008296181</v>
      </c>
      <c r="AF8" s="212">
        <f>IF(E8&lt;&gt;"",10^(-pKa!$B$2-pKa!$C$2)/(10^(-2*$E8)+10^(-$E8-pKa!$B$2)+10^(-pKa!$B$2-pKa!$C$2)),"")</f>
        <v>1.6405463000212972E-3</v>
      </c>
      <c r="AG8" s="152"/>
      <c r="AH8" s="222">
        <f>IF($AK8&lt;&gt;"",$AK8/'Elements and ions'!$G$3,IF($E8="","","Enter Alk(HCO3-)"))</f>
        <v>4.3399494303539816</v>
      </c>
      <c r="AI8" s="85">
        <f t="shared" si="65"/>
        <v>4.5813062884241451E-3</v>
      </c>
      <c r="AJ8" s="84">
        <f>IF(AI8&lt;&gt;"",AI8*1000*'Elements and ions'!$B$7,"")</f>
        <v>55.024695438375872</v>
      </c>
      <c r="AK8" s="99">
        <v>264.81</v>
      </c>
      <c r="AL8" s="88">
        <f>IF($AK8&lt;&gt;"",$AK8/'Elements and ions'!$G$3*Minerals!$B$6/2,IF($E8="","","Enter Alk(HCO3-)"))</f>
        <v>217.18604232044797</v>
      </c>
      <c r="AM8" s="198"/>
      <c r="AN8" s="91">
        <f t="shared" si="8"/>
        <v>2.4887302104743651E-4</v>
      </c>
      <c r="AO8" s="89">
        <f t="shared" si="9"/>
        <v>4.3249174222959692E-3</v>
      </c>
      <c r="AP8" s="90">
        <f t="shared" si="10"/>
        <v>7.5158450807385333E-6</v>
      </c>
      <c r="AQ8" s="198"/>
      <c r="AR8" s="198"/>
      <c r="AS8" s="83">
        <f t="shared" si="66"/>
        <v>0.7319794736689309</v>
      </c>
      <c r="AT8" s="83">
        <f>IF(AN8&lt;&gt;"",AN8/'Henrys law constants'!$B$7*1000000,"")</f>
        <v>7319.7947366893086</v>
      </c>
      <c r="AU8" s="3">
        <v>8.43</v>
      </c>
      <c r="AV8" s="4">
        <v>2.25</v>
      </c>
      <c r="AW8" s="4">
        <v>48.4</v>
      </c>
      <c r="AX8" s="4">
        <v>29.9</v>
      </c>
      <c r="AY8" s="226">
        <f>AO8*'Elements and ions'!$G$3*1000</f>
        <v>263.8927943694456</v>
      </c>
      <c r="AZ8" s="4">
        <v>9.93</v>
      </c>
      <c r="BA8" s="4">
        <v>2.34</v>
      </c>
      <c r="BB8" s="5">
        <v>42.5</v>
      </c>
      <c r="BC8" s="222">
        <f>IF($E8&lt;&gt;"",10^-$E8*'Elements and ions'!B7*1000,"")</f>
        <v>3.4639237174602638E-4</v>
      </c>
      <c r="BD8" s="4"/>
      <c r="BE8" s="4"/>
      <c r="BF8" s="4"/>
      <c r="BG8" s="5"/>
      <c r="BH8" s="3"/>
      <c r="BI8" s="4"/>
      <c r="BJ8" s="88">
        <f>IF($AN8&lt;&gt;"",$AN8*'Elements and ions'!$G$2*1000,"")</f>
        <v>15.436294378402618</v>
      </c>
      <c r="BK8" s="229"/>
      <c r="BL8" s="230"/>
      <c r="BM8" s="91">
        <f>IF($E8&lt;&gt;"",(10^-14+$E8)*'Elements and ions'!$G$8,"")</f>
        <v>128.23534360000016</v>
      </c>
      <c r="BN8" s="4"/>
      <c r="BO8" s="97">
        <f>IF($AP8&lt;&gt;"",$AP8*'Elements and ions'!$G$4*1000,"")</f>
        <v>0.45101759586553053</v>
      </c>
      <c r="BP8" s="4"/>
      <c r="BQ8" s="5"/>
      <c r="BR8" s="195"/>
      <c r="BS8" s="238">
        <f>IF($AU8&lt;&gt;"",$AU8/'Elements and ions'!$B$12,"")</f>
        <v>0.36668484565148274</v>
      </c>
      <c r="BT8" s="239">
        <f>IF($AV8&lt;&gt;"",$AV8/'Elements and ions'!$B$20,"")</f>
        <v>5.7547259087991035E-2</v>
      </c>
      <c r="BU8" s="239">
        <f>IF($AW8&lt;&gt;"",$AW8/'Elements and ions'!$B$21, "")</f>
        <v>1.2076450920704624</v>
      </c>
      <c r="BV8" s="240">
        <f>IF($AX8&lt;&gt;"",$AX8/'Elements and ions'!$B$13, "")</f>
        <v>1.2301995474182266</v>
      </c>
      <c r="BW8" s="238">
        <f>IF($AY8&lt;&gt;"",$AY8/'Elements and ions'!$G$3,"")</f>
        <v>4.3249174222959699</v>
      </c>
      <c r="BX8" s="239">
        <f>IF($AZ8&lt;&gt;"",$AZ8/'Elements and ions'!$B$18,"")</f>
        <v>0.28008913209037312</v>
      </c>
      <c r="BY8" s="239">
        <f>IF($BA8&lt;&gt;"",$BA8/'Elements and ions'!$G$7,"")</f>
        <v>3.7738952889207145E-2</v>
      </c>
      <c r="BZ8" s="241">
        <f>IF($BB8&lt;&gt;"",$BB8/'Elements and ions'!$G$5,"")</f>
        <v>0.44241983873016139</v>
      </c>
      <c r="CA8" s="91">
        <f t="shared" si="67"/>
        <v>2.8840315031265985E-5</v>
      </c>
      <c r="CB8" s="163" t="str">
        <f>IF($BD8&lt;&gt;"",$BD8/'Elements and ions'!$B$14,"")</f>
        <v/>
      </c>
      <c r="CC8" s="89" t="str">
        <f>IF($BE8&lt;&gt;"",$BE8/'Elements and ions'!$B$27, "")</f>
        <v/>
      </c>
      <c r="CD8" s="249" t="str">
        <f>IF($BF8&lt;&gt;"",$BF8/'Elements and ions'!$B$26,"")</f>
        <v/>
      </c>
      <c r="CE8" s="250" t="str">
        <f>IF($BG8&lt;&gt;"",$BG8/'Elements and ions'!$G$6,"")</f>
        <v/>
      </c>
      <c r="CF8" s="91" t="str">
        <f>IF($BH8&lt;&gt;"",$BH8/'Elements and ions'!$G$15,"")</f>
        <v/>
      </c>
      <c r="CG8" s="89" t="str">
        <f>IF($BI8&lt;&gt;"",$BI8/'Elements and ions'!$G$16,"")</f>
        <v/>
      </c>
      <c r="CH8" s="90">
        <f>IF($BJ8&lt;&gt;"",$BJ8/'Elements and ions'!$G$2,"")</f>
        <v>0.24887302104743653</v>
      </c>
      <c r="CI8" s="91" t="str">
        <f>IF($BK8&lt;&gt;"",$BK8/'Elements and ions'!$B$15, "")</f>
        <v/>
      </c>
      <c r="CJ8" s="88" t="str">
        <f>IF($BL8&lt;&gt;"", $BL8/'Elements and ions'!$G$17,"")</f>
        <v/>
      </c>
      <c r="CK8" s="89">
        <f t="shared" si="68"/>
        <v>3.4673685045253147E-4</v>
      </c>
      <c r="CL8" s="163" t="str">
        <f>IF($BN8&lt;&gt;"", $BN8/'Elements and ions'!$G$19,"")</f>
        <v/>
      </c>
      <c r="CM8" s="89">
        <f>IF($BO8&lt;&gt;"",$BO8/'Elements and ions'!$G$4,"")</f>
        <v>7.5158450807385332E-3</v>
      </c>
      <c r="CN8" s="89" t="str">
        <f>IF($BP8&lt;&gt;"",$BP8/'Elements and ions'!$B$10,"")</f>
        <v/>
      </c>
      <c r="CO8" s="104" t="str">
        <f>IF($BQ8&lt;&gt;"",$BQ8/'Elements and ions'!$G$18,"")</f>
        <v/>
      </c>
      <c r="CP8" s="242"/>
      <c r="CQ8" s="238">
        <f t="shared" si="94"/>
        <v>3.6668484565148275E-4</v>
      </c>
      <c r="CR8" s="239">
        <f t="shared" si="95"/>
        <v>5.7547259087991034E-5</v>
      </c>
      <c r="CS8" s="239">
        <f t="shared" si="96"/>
        <v>1.2076450920704624E-3</v>
      </c>
      <c r="CT8" s="241">
        <f t="shared" si="97"/>
        <v>1.2301995474182266E-3</v>
      </c>
      <c r="CU8" s="238">
        <f t="shared" si="11"/>
        <v>4.3249174222959701E-3</v>
      </c>
      <c r="CV8" s="239">
        <f t="shared" si="12"/>
        <v>2.8008913209037311E-4</v>
      </c>
      <c r="CW8" s="239">
        <f t="shared" si="13"/>
        <v>3.7738952889207146E-5</v>
      </c>
      <c r="CX8" s="241">
        <f t="shared" si="69"/>
        <v>4.4241983873016138E-4</v>
      </c>
      <c r="CY8" s="258">
        <f t="shared" si="98"/>
        <v>2.8840315031265985E-8</v>
      </c>
      <c r="CZ8" s="259" t="str">
        <f t="shared" si="99"/>
        <v/>
      </c>
      <c r="DA8" s="260" t="str">
        <f t="shared" si="100"/>
        <v/>
      </c>
      <c r="DB8" s="261" t="str">
        <f t="shared" si="101"/>
        <v/>
      </c>
      <c r="DC8" s="262" t="str">
        <f t="shared" si="102"/>
        <v/>
      </c>
      <c r="DD8" s="263" t="str">
        <f t="shared" si="103"/>
        <v/>
      </c>
      <c r="DE8" s="259" t="str">
        <f t="shared" si="104"/>
        <v/>
      </c>
      <c r="DF8" s="260">
        <f t="shared" si="105"/>
        <v>2.4887302104743651E-4</v>
      </c>
      <c r="DG8" s="260" t="str">
        <f t="shared" si="106"/>
        <v/>
      </c>
      <c r="DH8" s="264" t="str">
        <f t="shared" si="107"/>
        <v/>
      </c>
      <c r="DI8" s="258">
        <f t="shared" si="108"/>
        <v>3.4673685045253148E-7</v>
      </c>
      <c r="DJ8" s="260" t="str">
        <f t="shared" si="109"/>
        <v/>
      </c>
      <c r="DK8" s="260">
        <f t="shared" si="110"/>
        <v>7.5158450807385333E-6</v>
      </c>
      <c r="DL8" s="260" t="str">
        <f t="shared" si="111"/>
        <v/>
      </c>
      <c r="DM8" s="265" t="str">
        <f t="shared" si="112"/>
        <v/>
      </c>
      <c r="DN8" s="242"/>
      <c r="DO8" s="238">
        <f t="shared" si="18"/>
        <v>0.36668484565148274</v>
      </c>
      <c r="DP8" s="239">
        <f t="shared" si="19"/>
        <v>5.7547259087991035E-2</v>
      </c>
      <c r="DQ8" s="239">
        <f t="shared" si="20"/>
        <v>2.4152901841409249</v>
      </c>
      <c r="DR8" s="241">
        <f t="shared" si="21"/>
        <v>2.4603990948364531</v>
      </c>
      <c r="DS8" s="238">
        <f t="shared" si="22"/>
        <v>-4.3249174222959699</v>
      </c>
      <c r="DT8" s="239">
        <f t="shared" si="23"/>
        <v>-0.28008913209037312</v>
      </c>
      <c r="DU8" s="239">
        <f t="shared" si="24"/>
        <v>-3.7738952889207145E-2</v>
      </c>
      <c r="DV8" s="241">
        <f t="shared" si="25"/>
        <v>-0.88483967746032277</v>
      </c>
      <c r="DW8" s="91">
        <f t="shared" si="113"/>
        <v>2.8840315031265985E-5</v>
      </c>
      <c r="DX8" s="89">
        <f t="shared" si="114"/>
        <v>0</v>
      </c>
      <c r="DY8" s="89">
        <f t="shared" si="115"/>
        <v>0</v>
      </c>
      <c r="DZ8" s="89">
        <f t="shared" si="116"/>
        <v>0</v>
      </c>
      <c r="EA8" s="90">
        <f t="shared" si="117"/>
        <v>0</v>
      </c>
      <c r="EB8" s="91">
        <f t="shared" si="118"/>
        <v>-3.4673685045253147E-4</v>
      </c>
      <c r="EC8" s="89">
        <f t="shared" si="119"/>
        <v>0</v>
      </c>
      <c r="ED8" s="89">
        <f t="shared" si="120"/>
        <v>-1.5031690161477066E-2</v>
      </c>
      <c r="EE8" s="89">
        <f t="shared" si="121"/>
        <v>0</v>
      </c>
      <c r="EF8" s="90">
        <f t="shared" si="122"/>
        <v>0</v>
      </c>
      <c r="EG8" s="242"/>
      <c r="EH8" s="245">
        <f t="shared" si="123"/>
        <v>5.2999502240318828</v>
      </c>
      <c r="EI8" s="246">
        <f t="shared" si="124"/>
        <v>-5.5429636117478012</v>
      </c>
      <c r="EJ8" s="198">
        <f t="shared" si="83"/>
        <v>-2.2412184713118122</v>
      </c>
      <c r="EK8" s="198">
        <f t="shared" si="27"/>
        <v>1.4054546718882913E-2</v>
      </c>
      <c r="EL8" s="91">
        <f>IF(AND(CS8&lt;&gt;"",DK8&lt;&gt;""),LOG(CS8*DK8/Minerals!$C$6),"")</f>
        <v>0.43808914662058401</v>
      </c>
      <c r="EM8" s="89">
        <f>IF(AND(CS8&lt;&gt;"",DK8&lt;&gt;""),LOG(CS8*DK8/Minerals!$C$5),"")</f>
        <v>0.30760961726436631</v>
      </c>
      <c r="EN8" s="89" t="str">
        <f>IF(AND(CS8&lt;&gt;"",DL8&lt;&gt;""),LOG(CS8*DL8^2/Minerals!$C$2),"")</f>
        <v/>
      </c>
      <c r="EO8" s="89">
        <f>IF(AND(CS8&lt;&gt;"",CX8&lt;&gt;""),LOG($CS8*$CX8/Minerals!$C$3),"")</f>
        <v>-1.6722457212469075</v>
      </c>
      <c r="EP8" s="90">
        <f>IF(AND(CS8&lt;&gt;"",CX8&lt;&gt;""),LOG($CS8*$CX8/Minerals!$C$4),"")</f>
        <v>-1.9122302327128098</v>
      </c>
      <c r="EQ8" s="198"/>
      <c r="ER8" s="91">
        <f t="shared" si="28"/>
        <v>0.88512893370293089</v>
      </c>
      <c r="ES8" s="89">
        <f t="shared" si="28"/>
        <v>0.88512893370293089</v>
      </c>
      <c r="ET8" s="89">
        <f t="shared" si="29"/>
        <v>0.61379896246626331</v>
      </c>
      <c r="EU8" s="89">
        <f t="shared" si="29"/>
        <v>0.61379896246626331</v>
      </c>
      <c r="EV8" s="90">
        <f t="shared" si="29"/>
        <v>0.61379896246626331</v>
      </c>
      <c r="EW8" s="91">
        <f t="shared" si="30"/>
        <v>0.88512893370293089</v>
      </c>
      <c r="EX8" s="89">
        <f t="shared" si="31"/>
        <v>0.61379896246626331</v>
      </c>
      <c r="EY8" s="89">
        <f t="shared" si="30"/>
        <v>0.88512893370293089</v>
      </c>
      <c r="EZ8" s="89">
        <f t="shared" si="30"/>
        <v>0.88512893370293089</v>
      </c>
      <c r="FA8" s="89">
        <f t="shared" si="84"/>
        <v>0.88512893370293089</v>
      </c>
      <c r="FB8" s="90">
        <f t="shared" si="32"/>
        <v>0.61379896246626331</v>
      </c>
      <c r="FC8" s="198"/>
      <c r="FD8" s="91">
        <f t="shared" si="33"/>
        <v>3.2456336643652071E-4</v>
      </c>
      <c r="FE8" s="89">
        <f t="shared" si="34"/>
        <v>5.0936744074079804E-5</v>
      </c>
      <c r="FF8" s="89">
        <f t="shared" si="35"/>
        <v>7.4125130454032488E-4</v>
      </c>
      <c r="FG8" s="89">
        <f t="shared" si="36"/>
        <v>7.5509520583177416E-4</v>
      </c>
      <c r="FH8" s="90" t="str">
        <f t="shared" si="37"/>
        <v/>
      </c>
      <c r="FI8" s="91">
        <f t="shared" si="85"/>
        <v>3.8281095463500604E-3</v>
      </c>
      <c r="FJ8" s="89">
        <f t="shared" si="38"/>
        <v>4.6132179126144808E-6</v>
      </c>
      <c r="FK8" s="89">
        <f t="shared" si="39"/>
        <v>2.4791499482893132E-4</v>
      </c>
      <c r="FL8" s="89">
        <f t="shared" si="40"/>
        <v>3.340383912988906E-5</v>
      </c>
      <c r="FM8" s="89" t="str">
        <f t="shared" si="41"/>
        <v/>
      </c>
      <c r="FN8" s="90">
        <f t="shared" si="42"/>
        <v>2.7155683798706461E-4</v>
      </c>
      <c r="FO8" s="198"/>
      <c r="FP8" s="91">
        <f>IF(EL8&lt;&gt;"",LOG(FF8*FJ8/Minerals!$C$6),"")</f>
        <v>1.4141446595973077E-2</v>
      </c>
      <c r="FQ8" s="89">
        <f>IF(EL8&lt;&gt;"",LOG(FF8*FJ8/Minerals!$C$5),"")</f>
        <v>-0.11633808276024464</v>
      </c>
      <c r="FR8" s="89" t="str">
        <f>IF(EN8&lt;&gt;"",LOG(FF8*FM8^2/Minerals!$C$2),"")</f>
        <v/>
      </c>
      <c r="FS8" s="89">
        <f>IF(EO8&lt;&gt;"",LOG($FF8*$FN8/Minerals!$C$3),"")</f>
        <v>-2.0961934212715185</v>
      </c>
      <c r="FT8" s="90">
        <f>IF(EP8&lt;&gt;"",LOG($FF8*$FN8/Minerals!$C$4),"")</f>
        <v>-2.3361779327374208</v>
      </c>
      <c r="FU8" s="163"/>
      <c r="FV8" s="91">
        <f>IF(FP8&lt;&gt;"",LOG(FF8*FJ8/(EXP(-1*Minerals!$E$6/'Other Constants'!$B$2*(1/(273.15+'ppm-mgL-1'!$D8)-1/298.15)+LN(Minerals!$C$6)))),"")</f>
        <v>1.4141446595973729E-2</v>
      </c>
      <c r="FW8" s="89">
        <f>IF(FP8&lt;&gt;"",LOG(FF8*FJ8/(EXP(-1*Minerals!$E$5/'Other Constants'!$B$2*(1/(273.15+'ppm-mgL-1'!$D8)-1/298.15)+LN(Minerals!$C$5)))),"")</f>
        <v>-0.11633808276024414</v>
      </c>
      <c r="FX8" s="89" t="str">
        <f>IF(FR8&lt;&gt;"",LOG(FF8*FM8^2/(EXP(-1*Minerals!$E$2/'Other Constants'!$B$2*(1/(273.15+'ppm-mgL-1'!$D8)-1/298.15)+LN(Minerals!$C$2)))),"")</f>
        <v/>
      </c>
      <c r="FY8" s="89">
        <f>IF(FS8&lt;&gt;"",LOG($FF8*$FN8/(EXP(-1*Minerals!$E$3/'Other Constants'!$B$2*(1/(273.15+'ppm-mgL-1'!$D8)-1/298.15)+LN(Minerals!$C$3)))),"")</f>
        <v>-2.0961934212715185</v>
      </c>
      <c r="FZ8" s="90">
        <f>IF(FT8&lt;&gt;"",LOG($FF8*$FN8/(EXP(-1*Minerals!$E$4/'Other Constants'!$B$2*(1/(273.15+'ppm-mgL-1'!$D8)-1/298.15)+LN(Minerals!$C$4)))),"")</f>
        <v>-2.3361779327374204</v>
      </c>
      <c r="GA8" s="163"/>
      <c r="GB8" s="163"/>
      <c r="GC8" s="91">
        <f>10^(-1825000*(79.755*EXP(-0.0046*($D8-20))*($D8+273.15))^-1.5*$EK8^0.5/(1+'Elements and ions'!$D$12*$EK8^0.5/(2*(79.755*EXP(-0.0046*($D8-20))*($D8+273.15))^0.5)))</f>
        <v>0.88541240485512518</v>
      </c>
      <c r="GD8" s="89">
        <f>10^(-1825000*(79.755*EXP(-0.0046*($D8-20))*($D8+273.15))^-1.5*$EK8^0.5/(1+'Elements and ions'!$D$20*$EK8^0.5/(2*(79.755*EXP(-0.0046*($D8-20))*($D8+273.15))^0.5)))</f>
        <v>0.88166801974447306</v>
      </c>
      <c r="GE8" s="89">
        <f>10^(-1825000*(79.755*EXP(-0.0046*($D8-20))*($D8+273.15))^-1.5*4*$EK8^0.5/(1+'Elements and ions'!$D$21*$EK8^0.5/(2*(79.755*EXP(-0.0046*($D8-20))*($D8+273.15))^0.5)))</f>
        <v>0.6337439524443913</v>
      </c>
      <c r="GF8" s="89">
        <f>10^(-1825000*(79.755*EXP(-0.0046*($D8-20))*($D8+273.15))^-1.5*4*$EK8^0.5/(1+'Elements and ions'!$D$13*$EK8^0.5/(2*(79.755*EXP(-0.0046*($D8-20))*($D8+273.15))^0.5)))</f>
        <v>0.6511239793259409</v>
      </c>
      <c r="GG8" s="90">
        <f>10^(-1825000*(79.755*EXP(-0.0046*($D8-20))*($D8+273.15))^-1.5*4*$EK8^0.5/(1+'Elements and ions'!$D$27*$EK8^0.5/(2*(79.755*EXP(-0.0046*($D8-20))*($D8+273.15))^0.5)))</f>
        <v>0.6337439524443913</v>
      </c>
      <c r="GH8" s="91">
        <f>10^(-1825000*(79.755*EXP(-0.0046*($D8-20))*($D8+273.15))^-1.5*$EK8^0.5/(1+'Elements and ions'!$G$3*$EK8^0.5/(2*(79.755*EXP(-0.0046*($D8-20))*($D8+273.15))^0.5)))</f>
        <v>0.87164617631905594</v>
      </c>
      <c r="GI8" s="89">
        <f>10^(-1825000*(79.755*EXP(-0.0046*($D8-20))*($D8+273.15))^-1.5*4*$EK8^0.5/(1+'Elements and ions'!$G$4*$EK8^0.5/(2*(79.755*EXP(-0.0046*($D8-20))*($D8+273.15))^0.5)))</f>
        <v>0.57712451124395181</v>
      </c>
      <c r="GJ8" s="89">
        <f>10^(-1825000*(79.755*EXP(-0.0046*($D8-20))*($D8+273.15))^-1.5*$EK8^0.5/(1+'Elements and ions'!$D$18*$EK8^0.5/(2*(79.755*EXP(-0.0046*($D8-20))*($D8+273.15))^0.5)))</f>
        <v>0.88166801974447306</v>
      </c>
      <c r="GK8" s="89">
        <f>10^(-1825000*(79.755*EXP(-0.0046*($D8-20))*($D8+273.15))^-1.5*$EK8^0.5/(1+'Elements and ions'!$I$7*$EK8^0.5/(2*(79.755*EXP(-0.0046*($D8-20))*($D8+273.15))^0.5)))</f>
        <v>0.88166801974447306</v>
      </c>
      <c r="GL8" s="89">
        <f>10^(-1825000*(79.755*EXP(-0.0046*($D8-20))*($D8+273.15))^-1.5*$EK8^0.5/(1+'Elements and ions'!$D$10*$EK8^0.5/(2*(79.755*EXP(-0.0046*($D8-20))*($D8+273.15))^0.5)))</f>
        <v>0.88357026852501308</v>
      </c>
      <c r="GM8" s="90">
        <f>10^(-1825000*(79.755*EXP(-0.0046*($D8-20))*($D8+273.15))^-1.5*4*$EK8^0.5/(1+'Elements and ions'!$I$5*$EK8^0.5/(2*(79.755*EXP(-0.0046*($D8-20))*($D8+273.15))^0.5)))</f>
        <v>0.61458564063427068</v>
      </c>
      <c r="GN8" s="163"/>
      <c r="GO8" s="91">
        <f t="shared" si="43"/>
        <v>3.2466731101220975E-4</v>
      </c>
      <c r="GP8" s="89">
        <f t="shared" si="44"/>
        <v>5.0737577961831184E-5</v>
      </c>
      <c r="GQ8" s="89">
        <f t="shared" si="45"/>
        <v>7.6533777379880568E-4</v>
      </c>
      <c r="GR8" s="89">
        <f t="shared" si="46"/>
        <v>8.0101242467992722E-4</v>
      </c>
      <c r="GS8" s="90" t="str">
        <f t="shared" si="47"/>
        <v/>
      </c>
      <c r="GT8" s="91">
        <f t="shared" si="48"/>
        <v>3.76979773403995E-3</v>
      </c>
      <c r="GU8" s="89">
        <f t="shared" si="49"/>
        <v>4.3375784188064855E-6</v>
      </c>
      <c r="GV8" s="89">
        <f t="shared" si="50"/>
        <v>2.4694563044206741E-4</v>
      </c>
      <c r="GW8" s="89">
        <f t="shared" si="51"/>
        <v>3.3273227861057223E-5</v>
      </c>
      <c r="GX8" s="89" t="str">
        <f t="shared" si="52"/>
        <v/>
      </c>
      <c r="GY8" s="97">
        <f t="shared" si="53"/>
        <v>2.7190488001528694E-4</v>
      </c>
      <c r="GZ8" s="198"/>
      <c r="HA8" s="88">
        <f>IF(AND(GQ8&lt;&gt;"",GU8&lt;&gt;""),LOG(GQ8*GU8/Minerals!$C$6),"")</f>
        <v>1.2724944530992099E-3</v>
      </c>
      <c r="HB8" s="89">
        <f>IF(AND(GQ8&lt;&gt;"",GU8&lt;&gt;""),LOG(GQ8*GU8/Minerals!$C$5),"")</f>
        <v>-0.12920703490311855</v>
      </c>
      <c r="HC8" s="89" t="str">
        <f>IF(AND(GQ8&lt;&gt;"",GX8&lt;&gt;""),LOG(GQ8*GX8^2/Minerals!$C$2),"")</f>
        <v/>
      </c>
      <c r="HD8" s="89">
        <f>IF(AND(GQ8&lt;&gt;"",GY8&lt;&gt;""),LOG($GQ8*$GY8/Minerals!$C$3),"")</f>
        <v>-2.0817494841271968</v>
      </c>
      <c r="HE8" s="97">
        <f>IF(AND(GQ8&lt;&gt;"",GY8&lt;&gt;""),LOG($GQ8*$GY8/Minerals!$C$3),"")</f>
        <v>-2.0817494841271968</v>
      </c>
      <c r="HF8" s="198"/>
      <c r="HG8" s="88">
        <f>IF(HA8&lt;&gt;"",LOG(GQ8*GU8/(EXP(-1*Minerals!$E$6/'Other Constants'!$B$2*(1/(273.15+'ppm-mgL-1'!$D8)-1/298.15)+LN(Minerals!$C$6)))),"")</f>
        <v>1.272494453099787E-3</v>
      </c>
      <c r="HH8" s="89">
        <f>IF(HA8&lt;&gt;"",LOG(GQ8*GU8/(EXP(-1*Minerals!$E$5/'Other Constants'!$B$2*(1/(273.15+'ppm-mgL-1'!$D8)-1/298.15)+LN(Minerals!$C$5)))),"")</f>
        <v>-0.12920703490311802</v>
      </c>
      <c r="HI8" s="89" t="str">
        <f>IF(HC8&lt;&gt;"",LOG(GQ8*GX8^2/(EXP(-1*Minerals!$E$2/'Other Constants'!$B$2*(1/(273.15+'ppm-mgL-1'!$D8)-1/298.15)+LN(Minerals!$C$2)))),"")</f>
        <v/>
      </c>
      <c r="HJ8" s="89">
        <f>IF(HD8&lt;&gt;"",LOG($FF8*$FN8/(EXP(-1*Minerals!$E$3/'Other Constants'!$B$2*(1/(273.15+'ppm-mgL-1'!$D8)-1/298.15)+LN(Minerals!$C$3)))),"")</f>
        <v>-2.0961934212715185</v>
      </c>
      <c r="HK8" s="90">
        <f>IF(HE8&lt;&gt;"",LOG($FF8*$FN8/(EXP(-1*Minerals!$E$4/'Other Constants'!$B$2*(1/(273.15+'ppm-mgL-1'!$D8)-1/298.15)+LN(Minerals!$C$4)))),"")</f>
        <v>-2.3361779327374204</v>
      </c>
      <c r="HL8" s="198"/>
      <c r="HM8" s="198"/>
    </row>
    <row r="9" spans="1:221" customFormat="1" x14ac:dyDescent="0.25">
      <c r="A9" s="3"/>
      <c r="B9" s="4" t="s">
        <v>134</v>
      </c>
      <c r="C9" s="5"/>
      <c r="D9" s="3">
        <v>25</v>
      </c>
      <c r="E9" s="4">
        <v>7.8</v>
      </c>
      <c r="F9" s="4"/>
      <c r="G9" s="4"/>
      <c r="H9" s="5"/>
      <c r="I9" s="3" t="str">
        <f t="shared" si="54"/>
        <v/>
      </c>
      <c r="J9" s="4" t="str">
        <f t="shared" si="55"/>
        <v/>
      </c>
      <c r="K9" s="3" t="str">
        <f t="shared" si="56"/>
        <v/>
      </c>
      <c r="L9" s="4" t="str">
        <f t="shared" si="1"/>
        <v/>
      </c>
      <c r="M9" s="3" t="str">
        <f t="shared" si="0"/>
        <v/>
      </c>
      <c r="N9" s="4" t="str">
        <f t="shared" ref="N9" si="149">IF(M9&lt;&gt;"", IF($D9&lt;&gt;"",M9*2.303*0.0019858*($D9+273.15)/23.06, 0.059*M9),"")</f>
        <v/>
      </c>
      <c r="O9" s="3" t="str">
        <f t="shared" si="2"/>
        <v/>
      </c>
      <c r="P9" s="4" t="str">
        <f t="shared" ref="P9" si="150">IF(O9&lt;&gt;"", IF($D9&lt;&gt;"",O9*2.303*0.0019858*($D9+273.15)/23.06, 0.059*O9),"")</f>
        <v/>
      </c>
      <c r="Q9" s="3" t="str">
        <f t="shared" si="3"/>
        <v/>
      </c>
      <c r="R9" s="4" t="str">
        <f t="shared" ref="R9" si="151">IF(Q9&lt;&gt;"", IF($D9&lt;&gt;"",Q9*2.303*0.0019858*($D9+273.15)/23.06, 0.059*Q9),"")</f>
        <v/>
      </c>
      <c r="S9" s="3" t="str">
        <f t="shared" si="4"/>
        <v/>
      </c>
      <c r="T9" s="4" t="str">
        <f t="shared" ref="T9" si="152">IF(S9&lt;&gt;"", IF($D9&lt;&gt;"",S9*2.303*0.0019858*($D9+273.15)/23.06, 0.059*S9),"")</f>
        <v/>
      </c>
      <c r="U9" s="3" t="str">
        <f>IF(AND($E9&lt;&gt;"",$CX9&lt;&gt;"",$DG9&lt;&gt;""),IF($E9&lt;7,5.12-5/4*$E9+1/8*LOG($CX9/$DG9),4.25-9/8*$E9+1/8*(LOG($CX9)-$E9-LOG($DG9)+pKa!$B$3)),"")</f>
        <v/>
      </c>
      <c r="V9" s="4" t="str">
        <f t="shared" ref="V9" si="153">IF(U9&lt;&gt;"", IF($D9&lt;&gt;"",U9*2.303*0.0019858*($D9+273.15)/23.06, 0.059*U9),"")</f>
        <v/>
      </c>
      <c r="W9" s="3" t="str">
        <f t="shared" si="5"/>
        <v/>
      </c>
      <c r="X9" s="4" t="str">
        <f t="shared" ref="X9" si="154">IF(W9&lt;&gt;"", IF($D9&lt;&gt;"",W9*2.303*0.0019858*($D9+273.15)/23.06, 0.059*W9),"")</f>
        <v/>
      </c>
      <c r="Y9" s="3" t="str">
        <f t="shared" si="6"/>
        <v/>
      </c>
      <c r="Z9" s="4" t="str">
        <f t="shared" ref="Z9" si="155">IF(Y9&lt;&gt;"", IF($D9&lt;&gt;"",Y9*2.303*0.0019858*($D9+273.15)/23.06, 0.059*Y9),"")</f>
        <v/>
      </c>
      <c r="AA9" s="3" t="str">
        <f t="shared" si="7"/>
        <v/>
      </c>
      <c r="AB9" s="4" t="str">
        <f t="shared" ref="AB9" si="156">IF(AA9&lt;&gt;"", IF($D9&lt;&gt;"",AA9*2.303*0.0019858*($D9+273.15)/23.06, 0.059*AA9),"")</f>
        <v/>
      </c>
      <c r="AC9" s="4"/>
      <c r="AD9" s="83">
        <f>IF(E9&lt;&gt;"",10^(-2*$E9)/(10^(-2*$E9)+10^(-$E9-pKa!$B$2)+(10^(-pKa!$B$2-pKa!$C$2))),"")</f>
        <v>3.0559753903907527E-2</v>
      </c>
      <c r="AE9" s="84">
        <f>IF(E9&lt;&gt;"",10^(-$E9-pKa!$B$2)/(10^(-2*$E9)+10^(-$E9-pKa!$B$2)+10^(-pKa!$B$2-pKa!$C$2)),"")</f>
        <v>0.96638427070570176</v>
      </c>
      <c r="AF9" s="212">
        <f>IF(E9&lt;&gt;"",10^(-pKa!$B$2-pKa!$C$2)/(10^(-2*$E9)+10^(-$E9-pKa!$B$2)+10^(-pKa!$B$2-pKa!$C$2)),"")</f>
        <v>3.0559753903907382E-3</v>
      </c>
      <c r="AG9" s="152"/>
      <c r="AH9" s="222">
        <f>IF($AK9&lt;&gt;"",$AK9/'Elements and ions'!$G$3,IF($E9="","","Enter Alk(HCO3-)"))</f>
        <v>17.800004064451716</v>
      </c>
      <c r="AI9" s="85">
        <f t="shared" si="65"/>
        <v>1.8303416564576035E-2</v>
      </c>
      <c r="AJ9" s="84">
        <f>IF(AI9&lt;&gt;"",AI9*1000*'Elements and ions'!$B$7,"")</f>
        <v>219.83684533215339</v>
      </c>
      <c r="AK9" s="99">
        <v>1086.0999999999999</v>
      </c>
      <c r="AL9" s="88">
        <f>IF($AK9&lt;&gt;"",$AK9/'Elements and ions'!$G$3*Minerals!$B$6/2,IF($E9="","","Enter Alk(HCO3-)"))</f>
        <v>890.77361339918627</v>
      </c>
      <c r="AM9" s="198"/>
      <c r="AN9" s="91">
        <f t="shared" si="8"/>
        <v>5.5934790581414816E-4</v>
      </c>
      <c r="AO9" s="89">
        <f t="shared" si="9"/>
        <v>1.7688133868180474E-2</v>
      </c>
      <c r="AP9" s="90">
        <f t="shared" si="10"/>
        <v>5.5934790581414553E-5</v>
      </c>
      <c r="AQ9" s="198"/>
      <c r="AR9" s="198"/>
      <c r="AS9" s="83">
        <f t="shared" si="66"/>
        <v>1.6451408994533769</v>
      </c>
      <c r="AT9" s="83">
        <f>IF(AN9&lt;&gt;"",AN9/'Henrys law constants'!$B$7*1000000,"")</f>
        <v>16451.408994533769</v>
      </c>
      <c r="AU9" s="3">
        <f>19.1*'Elements and ions'!$B$12</f>
        <v>439.10459324800007</v>
      </c>
      <c r="AV9" s="4">
        <f>0.358*'Elements and ions'!$B$20</f>
        <v>13.9971914</v>
      </c>
      <c r="AW9" s="4">
        <f>1.05*'Elements and ions'!$B$21</f>
        <v>42.081900000000005</v>
      </c>
      <c r="AX9" s="4">
        <f>1.19*'Elements and ions'!$B$13</f>
        <v>28.922949999999997</v>
      </c>
      <c r="AY9" s="226">
        <f>AO9*'Elements and ions'!$G$3*1000</f>
        <v>1079.2740341333488</v>
      </c>
      <c r="AZ9" s="4">
        <f>5.67*'Elements and ions'!$B$18</f>
        <v>201.01851000000002</v>
      </c>
      <c r="BA9" s="4">
        <f>0.032*'Elements and ions'!$G$7</f>
        <v>1.9841568000000001</v>
      </c>
      <c r="BB9" s="5"/>
      <c r="BC9" s="222">
        <f>IF($E9&lt;&gt;"",10^-$E9*'Elements and ions'!B8*1000,"")</f>
        <v>2.2199123478845078E-4</v>
      </c>
      <c r="BD9" s="4"/>
      <c r="BE9" s="4"/>
      <c r="BF9" s="4"/>
      <c r="BG9" s="5"/>
      <c r="BH9" s="3"/>
      <c r="BI9" s="4"/>
      <c r="BJ9" s="88">
        <f>IF($AN9&lt;&gt;"",$AN9*'Elements and ions'!$G$2*1000,"")</f>
        <v>34.693430801583254</v>
      </c>
      <c r="BK9" s="229"/>
      <c r="BL9" s="230"/>
      <c r="BM9" s="91">
        <f>IF($E9&lt;&gt;"",(10^-14+$E9)*'Elements and ions'!$G$8,"")</f>
        <v>132.65725200000017</v>
      </c>
      <c r="BN9" s="4"/>
      <c r="BO9" s="97">
        <f>IF($AP9&lt;&gt;"",$AP9*'Elements and ions'!$G$4*1000,"")</f>
        <v>3.3565852545210477</v>
      </c>
      <c r="BP9" s="4">
        <f>0.089*'Elements and ions'!B10</f>
        <v>1.6908578847999998</v>
      </c>
      <c r="BQ9" s="5"/>
      <c r="BR9" s="195"/>
      <c r="BS9" s="238">
        <f>IF($AU9&lt;&gt;"",$AU9/'Elements and ions'!$B$12,"")</f>
        <v>19.100000000000001</v>
      </c>
      <c r="BT9" s="239">
        <f>IF($AV9&lt;&gt;"",$AV9/'Elements and ions'!$B$20,"")</f>
        <v>0.35799999999999998</v>
      </c>
      <c r="BU9" s="239">
        <f>IF($AW9&lt;&gt;"",$AW9/'Elements and ions'!$B$21, "")</f>
        <v>1.05</v>
      </c>
      <c r="BV9" s="240">
        <f>IF($AX9&lt;&gt;"",$AX9/'Elements and ions'!$B$13, "")</f>
        <v>1.19</v>
      </c>
      <c r="BW9" s="238">
        <f>IF($AY9&lt;&gt;"",$AY9/'Elements and ions'!$G$3,"")</f>
        <v>17.688133868180472</v>
      </c>
      <c r="BX9" s="239">
        <f>IF($AZ9&lt;&gt;"",$AZ9/'Elements and ions'!$B$18,"")</f>
        <v>5.67</v>
      </c>
      <c r="BY9" s="239">
        <f>IF($BA9&lt;&gt;"",$BA9/'Elements and ions'!$G$7,"")</f>
        <v>3.2000000000000001E-2</v>
      </c>
      <c r="BZ9" s="241" t="str">
        <f>IF($BB9&lt;&gt;"",$BB9/'Elements and ions'!$G$5,"")</f>
        <v/>
      </c>
      <c r="CA9" s="91">
        <f t="shared" si="67"/>
        <v>1.5848931924611134E-5</v>
      </c>
      <c r="CB9" s="163" t="str">
        <f>IF($BD9&lt;&gt;"",$BD9/'Elements and ions'!$B$14,"")</f>
        <v/>
      </c>
      <c r="CC9" s="89" t="str">
        <f>IF($BE9&lt;&gt;"",$BE9/'Elements and ions'!$B$27, "")</f>
        <v/>
      </c>
      <c r="CD9" s="249" t="str">
        <f>IF($BF9&lt;&gt;"",$BF9/'Elements and ions'!$B$26,"")</f>
        <v/>
      </c>
      <c r="CE9" s="250" t="str">
        <f>IF($BG9&lt;&gt;"",$BG9/'Elements and ions'!$G$6,"")</f>
        <v/>
      </c>
      <c r="CF9" s="91" t="str">
        <f>IF($BH9&lt;&gt;"",$BH9/'Elements and ions'!$G$15,"")</f>
        <v/>
      </c>
      <c r="CG9" s="89" t="str">
        <f>IF($BI9&lt;&gt;"",$BI9/'Elements and ions'!$G$16,"")</f>
        <v/>
      </c>
      <c r="CH9" s="90">
        <f>IF($BJ9&lt;&gt;"",$BJ9/'Elements and ions'!$G$2,"")</f>
        <v>0.55934790581414817</v>
      </c>
      <c r="CI9" s="91" t="str">
        <f>IF($BK9&lt;&gt;"",$BK9/'Elements and ions'!$B$15, "")</f>
        <v/>
      </c>
      <c r="CJ9" s="88" t="str">
        <f>IF($BL9&lt;&gt;"", $BL9/'Elements and ions'!$G$17,"")</f>
        <v/>
      </c>
      <c r="CK9" s="89">
        <f t="shared" si="68"/>
        <v>6.3095734448019255E-4</v>
      </c>
      <c r="CL9" s="163" t="str">
        <f>IF($BN9&lt;&gt;"", $BN9/'Elements and ions'!$G$19,"")</f>
        <v/>
      </c>
      <c r="CM9" s="89">
        <f>IF($BO9&lt;&gt;"",$BO9/'Elements and ions'!$G$4,"")</f>
        <v>5.5934790581414554E-2</v>
      </c>
      <c r="CN9" s="89">
        <f>IF($BP9&lt;&gt;"",$BP9/'Elements and ions'!$B$10,"")</f>
        <v>8.8999999999999996E-2</v>
      </c>
      <c r="CO9" s="104" t="str">
        <f>IF($BQ9&lt;&gt;"",$BQ9/'Elements and ions'!$G$18,"")</f>
        <v/>
      </c>
      <c r="CP9" s="242"/>
      <c r="CQ9" s="238">
        <f t="shared" si="94"/>
        <v>1.9100000000000002E-2</v>
      </c>
      <c r="CR9" s="239">
        <f t="shared" si="95"/>
        <v>3.5799999999999997E-4</v>
      </c>
      <c r="CS9" s="239">
        <f t="shared" si="96"/>
        <v>1.0500000000000002E-3</v>
      </c>
      <c r="CT9" s="241">
        <f t="shared" si="97"/>
        <v>1.1899999999999999E-3</v>
      </c>
      <c r="CU9" s="238">
        <f t="shared" si="11"/>
        <v>1.7688133868180474E-2</v>
      </c>
      <c r="CV9" s="239">
        <f t="shared" si="12"/>
        <v>5.6699999999999997E-3</v>
      </c>
      <c r="CW9" s="239">
        <f t="shared" si="13"/>
        <v>3.1999999999999999E-5</v>
      </c>
      <c r="CX9" s="241" t="str">
        <f t="shared" si="69"/>
        <v/>
      </c>
      <c r="CY9" s="258">
        <f t="shared" si="98"/>
        <v>1.5848931924611133E-8</v>
      </c>
      <c r="CZ9" s="259" t="str">
        <f t="shared" si="99"/>
        <v/>
      </c>
      <c r="DA9" s="260" t="str">
        <f t="shared" si="100"/>
        <v/>
      </c>
      <c r="DB9" s="261" t="str">
        <f t="shared" si="101"/>
        <v/>
      </c>
      <c r="DC9" s="262" t="str">
        <f t="shared" si="102"/>
        <v/>
      </c>
      <c r="DD9" s="263" t="str">
        <f t="shared" si="103"/>
        <v/>
      </c>
      <c r="DE9" s="259" t="str">
        <f t="shared" si="104"/>
        <v/>
      </c>
      <c r="DF9" s="260">
        <f t="shared" si="105"/>
        <v>5.5934790581414816E-4</v>
      </c>
      <c r="DG9" s="260" t="str">
        <f t="shared" si="106"/>
        <v/>
      </c>
      <c r="DH9" s="264" t="str">
        <f t="shared" si="107"/>
        <v/>
      </c>
      <c r="DI9" s="258">
        <f t="shared" si="108"/>
        <v>6.3095734448019254E-7</v>
      </c>
      <c r="DJ9" s="260" t="str">
        <f t="shared" si="109"/>
        <v/>
      </c>
      <c r="DK9" s="260">
        <f t="shared" si="110"/>
        <v>5.5934790581414553E-5</v>
      </c>
      <c r="DL9" s="260">
        <f t="shared" si="111"/>
        <v>8.8999999999999995E-5</v>
      </c>
      <c r="DM9" s="265" t="str">
        <f t="shared" si="112"/>
        <v/>
      </c>
      <c r="DN9" s="242"/>
      <c r="DO9" s="238">
        <f t="shared" si="18"/>
        <v>19.100000000000001</v>
      </c>
      <c r="DP9" s="239">
        <f t="shared" si="19"/>
        <v>0.35799999999999998</v>
      </c>
      <c r="DQ9" s="239">
        <f t="shared" si="20"/>
        <v>2.1</v>
      </c>
      <c r="DR9" s="241">
        <f t="shared" si="21"/>
        <v>2.38</v>
      </c>
      <c r="DS9" s="238">
        <f t="shared" si="22"/>
        <v>-17.688133868180472</v>
      </c>
      <c r="DT9" s="239">
        <f t="shared" si="23"/>
        <v>-5.67</v>
      </c>
      <c r="DU9" s="239">
        <f t="shared" si="24"/>
        <v>-3.2000000000000001E-2</v>
      </c>
      <c r="DV9" s="241">
        <f t="shared" si="25"/>
        <v>0</v>
      </c>
      <c r="DW9" s="91">
        <f t="shared" si="113"/>
        <v>1.5848931924611134E-5</v>
      </c>
      <c r="DX9" s="89">
        <f t="shared" si="114"/>
        <v>0</v>
      </c>
      <c r="DY9" s="89">
        <f t="shared" si="115"/>
        <v>0</v>
      </c>
      <c r="DZ9" s="89">
        <f t="shared" si="116"/>
        <v>0</v>
      </c>
      <c r="EA9" s="90">
        <f t="shared" si="117"/>
        <v>0</v>
      </c>
      <c r="EB9" s="91">
        <f t="shared" si="118"/>
        <v>-6.3095734448019255E-4</v>
      </c>
      <c r="EC9" s="89">
        <f t="shared" si="119"/>
        <v>0</v>
      </c>
      <c r="ED9" s="89">
        <f t="shared" si="120"/>
        <v>-0.11186958116282911</v>
      </c>
      <c r="EE9" s="89">
        <f t="shared" si="121"/>
        <v>-8.8999999999999996E-2</v>
      </c>
      <c r="EF9" s="90">
        <f t="shared" si="122"/>
        <v>0</v>
      </c>
      <c r="EG9" s="242"/>
      <c r="EH9" s="245">
        <f t="shared" si="123"/>
        <v>23.938015848931926</v>
      </c>
      <c r="EI9" s="246">
        <f t="shared" si="124"/>
        <v>-23.591634406687781</v>
      </c>
      <c r="EJ9" s="198">
        <f t="shared" si="83"/>
        <v>0.72876917962001997</v>
      </c>
      <c r="EK9" s="198">
        <f t="shared" si="27"/>
        <v>3.0428566934090233E-2</v>
      </c>
      <c r="EL9" s="91">
        <f>IF(AND(CS9&lt;&gt;"",DK9&lt;&gt;""),LOG(CS9*DK9/Minerals!$C$6),"")</f>
        <v>1.2490433217255759</v>
      </c>
      <c r="EM9" s="89">
        <f>IF(AND(CS9&lt;&gt;"",DK9&lt;&gt;""),LOG(CS9*DK9/Minerals!$C$5),"")</f>
        <v>1.1185637923693581</v>
      </c>
      <c r="EN9" s="89">
        <f>IF(AND(CS9&lt;&gt;"",DL9&lt;&gt;""),LOG(CS9*DL9^2/Minerals!$C$2),"")</f>
        <v>-0.51010574319217561</v>
      </c>
      <c r="EO9" s="89" t="str">
        <f>IF(AND(CS9&lt;&gt;"",CX9&lt;&gt;""),LOG($CS9*$CX9/Minerals!$C$3),"")</f>
        <v/>
      </c>
      <c r="EP9" s="90" t="str">
        <f>IF(AND(CS9&lt;&gt;"",CX9&lt;&gt;""),LOG($CS9*$CX9/Minerals!$C$4),"")</f>
        <v/>
      </c>
      <c r="EQ9" s="198"/>
      <c r="ER9" s="91">
        <f t="shared" si="28"/>
        <v>0.84282147745462432</v>
      </c>
      <c r="ES9" s="89">
        <f t="shared" si="28"/>
        <v>0.84282147745462432</v>
      </c>
      <c r="ET9" s="89">
        <f t="shared" si="29"/>
        <v>0.50459434199332154</v>
      </c>
      <c r="EU9" s="89">
        <f t="shared" si="29"/>
        <v>0.50459434199332154</v>
      </c>
      <c r="EV9" s="90">
        <f t="shared" si="29"/>
        <v>0.50459434199332154</v>
      </c>
      <c r="EW9" s="91">
        <f t="shared" si="30"/>
        <v>0.84282147745462432</v>
      </c>
      <c r="EX9" s="89">
        <f t="shared" si="31"/>
        <v>0.50459434199332154</v>
      </c>
      <c r="EY9" s="89">
        <f t="shared" si="30"/>
        <v>0.84282147745462432</v>
      </c>
      <c r="EZ9" s="89">
        <f t="shared" si="30"/>
        <v>0.84282147745462432</v>
      </c>
      <c r="FA9" s="89">
        <f t="shared" si="84"/>
        <v>0.84282147745462432</v>
      </c>
      <c r="FB9" s="90">
        <f t="shared" si="32"/>
        <v>0.50459434199332154</v>
      </c>
      <c r="FC9" s="198"/>
      <c r="FD9" s="91">
        <f t="shared" si="33"/>
        <v>1.6097890219383328E-2</v>
      </c>
      <c r="FE9" s="89">
        <f t="shared" si="34"/>
        <v>3.0173008892875547E-4</v>
      </c>
      <c r="FF9" s="89">
        <f t="shared" si="35"/>
        <v>5.2982405909298769E-4</v>
      </c>
      <c r="FG9" s="89">
        <f t="shared" si="36"/>
        <v>6.0046726697205257E-4</v>
      </c>
      <c r="FH9" s="90" t="str">
        <f t="shared" si="37"/>
        <v/>
      </c>
      <c r="FI9" s="91">
        <f t="shared" si="85"/>
        <v>1.4907939120195047E-2</v>
      </c>
      <c r="FJ9" s="89">
        <f t="shared" si="38"/>
        <v>2.8224378847963115E-5</v>
      </c>
      <c r="FK9" s="89">
        <f t="shared" si="39"/>
        <v>4.7787977771677195E-3</v>
      </c>
      <c r="FL9" s="89">
        <f t="shared" si="40"/>
        <v>2.6970287278547977E-5</v>
      </c>
      <c r="FM9" s="89">
        <f t="shared" si="41"/>
        <v>7.5011111493461562E-5</v>
      </c>
      <c r="FN9" s="90" t="str">
        <f t="shared" si="42"/>
        <v/>
      </c>
      <c r="FO9" s="198"/>
      <c r="FP9" s="91">
        <f>IF(EL9&lt;&gt;"",LOG(FF9*FJ9/Minerals!$C$6),"")</f>
        <v>0.65492807467190006</v>
      </c>
      <c r="FQ9" s="89">
        <f>IF(EL9&lt;&gt;"",LOG(FF9*FJ9/Minerals!$C$5),"")</f>
        <v>0.5244485453156823</v>
      </c>
      <c r="FR9" s="89">
        <f>IF(EN9&lt;&gt;"",LOG(FF9*FM9^2/Minerals!$C$2),"")</f>
        <v>-0.95569217848243238</v>
      </c>
      <c r="FS9" s="89" t="str">
        <f>IF(EO9&lt;&gt;"",LOG($FF9*$FN9/Minerals!$C$3),"")</f>
        <v/>
      </c>
      <c r="FT9" s="90" t="str">
        <f>IF(EP9&lt;&gt;"",LOG($FF9*$FN9/Minerals!$C$4),"")</f>
        <v/>
      </c>
      <c r="FU9" s="163"/>
      <c r="FV9" s="91">
        <f>IF(FP9&lt;&gt;"",LOG(FF9*FJ9/(EXP(-1*Minerals!$E$6/'Other Constants'!$B$2*(1/(273.15+'ppm-mgL-1'!$D9)-1/298.15)+LN(Minerals!$C$6)))),"")</f>
        <v>0.65492807467190073</v>
      </c>
      <c r="FW9" s="89">
        <f>IF(FP9&lt;&gt;"",LOG(FF9*FJ9/(EXP(-1*Minerals!$E$5/'Other Constants'!$B$2*(1/(273.15+'ppm-mgL-1'!$D9)-1/298.15)+LN(Minerals!$C$5)))),"")</f>
        <v>0.52444854531568286</v>
      </c>
      <c r="FX9" s="89">
        <f>IF(FR9&lt;&gt;"",LOG(FF9*FM9^2/(EXP(-1*Minerals!$E$2/'Other Constants'!$B$2*(1/(273.15+'ppm-mgL-1'!$D9)-1/298.15)+LN(Minerals!$C$2)))),"")</f>
        <v>-0.95569217848243226</v>
      </c>
      <c r="FY9" s="89" t="str">
        <f>IF(FS9&lt;&gt;"",LOG($FF9*$FN9/(EXP(-1*Minerals!$E$3/'Other Constants'!$B$2*(1/(273.15+'ppm-mgL-1'!$D9)-1/298.15)+LN(Minerals!$C$3)))),"")</f>
        <v/>
      </c>
      <c r="FZ9" s="90" t="str">
        <f>IF(FT9&lt;&gt;"",LOG($FF9*$FN9/(EXP(-1*Minerals!$E$4/'Other Constants'!$B$2*(1/(273.15+'ppm-mgL-1'!$D9)-1/298.15)+LN(Minerals!$C$4)))),"")</f>
        <v/>
      </c>
      <c r="GA9" s="163"/>
      <c r="GB9" s="163"/>
      <c r="GC9" s="91">
        <f>10^(-1825000*(79.755*EXP(-0.0046*($D9-20))*($D9+273.15))^-1.5*$EK9^0.5/(1+'Elements and ions'!$D$12*$EK9^0.5/(2*(79.755*EXP(-0.0046*($D9-20))*($D9+273.15))^0.5)))</f>
        <v>0.84502589098056091</v>
      </c>
      <c r="GD9" s="89">
        <f>10^(-1825000*(79.755*EXP(-0.0046*($D9-20))*($D9+273.15))^-1.5*$EK9^0.5/(1+'Elements and ions'!$D$20*$EK9^0.5/(2*(79.755*EXP(-0.0046*($D9-20))*($D9+273.15))^0.5)))</f>
        <v>0.83810583308184761</v>
      </c>
      <c r="GE9" s="89">
        <f>10^(-1825000*(79.755*EXP(-0.0046*($D9-20))*($D9+273.15))^-1.5*4*$EK9^0.5/(1+'Elements and ions'!$D$21*$EK9^0.5/(2*(79.755*EXP(-0.0046*($D9-20))*($D9+273.15))^0.5)))</f>
        <v>0.54000617514502636</v>
      </c>
      <c r="GF9" s="89">
        <f>10^(-1825000*(79.755*EXP(-0.0046*($D9-20))*($D9+273.15))^-1.5*4*$EK9^0.5/(1+'Elements and ions'!$D$13*$EK9^0.5/(2*(79.755*EXP(-0.0046*($D9-20))*($D9+273.15))^0.5)))</f>
        <v>0.56676784297062788</v>
      </c>
      <c r="GG9" s="90">
        <f>10^(-1825000*(79.755*EXP(-0.0046*($D9-20))*($D9+273.15))^-1.5*4*$EK9^0.5/(1+'Elements and ions'!$D$27*$EK9^0.5/(2*(79.755*EXP(-0.0046*($D9-20))*($D9+273.15))^0.5)))</f>
        <v>0.54000617514502636</v>
      </c>
      <c r="GH9" s="91">
        <f>10^(-1825000*(79.755*EXP(-0.0046*($D9-20))*($D9+273.15))^-1.5*$EK9^0.5/(1+'Elements and ions'!$G$3*$EK9^0.5/(2*(79.755*EXP(-0.0046*($D9-20))*($D9+273.15))^0.5)))</f>
        <v>0.818775805562451</v>
      </c>
      <c r="GI9" s="89">
        <f>10^(-1825000*(79.755*EXP(-0.0046*($D9-20))*($D9+273.15))^-1.5*4*$EK9^0.5/(1+'Elements and ions'!$G$4*$EK9^0.5/(2*(79.755*EXP(-0.0046*($D9-20))*($D9+273.15))^0.5)))</f>
        <v>0.44922751115065307</v>
      </c>
      <c r="GJ9" s="89">
        <f>10^(-1825000*(79.755*EXP(-0.0046*($D9-20))*($D9+273.15))^-1.5*$EK9^0.5/(1+'Elements and ions'!$D$18*$EK9^0.5/(2*(79.755*EXP(-0.0046*($D9-20))*($D9+273.15))^0.5)))</f>
        <v>0.83810583308184761</v>
      </c>
      <c r="GK9" s="89">
        <f>10^(-1825000*(79.755*EXP(-0.0046*($D9-20))*($D9+273.15))^-1.5*$EK9^0.5/(1+'Elements and ions'!$I$7*$EK9^0.5/(2*(79.755*EXP(-0.0046*($D9-20))*($D9+273.15))^0.5)))</f>
        <v>0.83810583308184761</v>
      </c>
      <c r="GL9" s="89">
        <f>10^(-1825000*(79.755*EXP(-0.0046*($D9-20))*($D9+273.15))^-1.5*$EK9^0.5/(1+'Elements and ions'!$D$10*$EK9^0.5/(2*(79.755*EXP(-0.0046*($D9-20))*($D9+273.15))^0.5)))</f>
        <v>0.84164122111441331</v>
      </c>
      <c r="GM9" s="90">
        <f>10^(-1825000*(79.755*EXP(-0.0046*($D9-20))*($D9+273.15))^-1.5*4*$EK9^0.5/(1+'Elements and ions'!$I$5*$EK9^0.5/(2*(79.755*EXP(-0.0046*($D9-20))*($D9+273.15))^0.5)))</f>
        <v>0.50989418890590321</v>
      </c>
      <c r="GN9" s="163"/>
      <c r="GO9" s="91">
        <f t="shared" si="43"/>
        <v>1.6139994517728715E-2</v>
      </c>
      <c r="GP9" s="89">
        <f t="shared" si="44"/>
        <v>3.0004188824330142E-4</v>
      </c>
      <c r="GQ9" s="89">
        <f t="shared" si="45"/>
        <v>5.6700648390227773E-4</v>
      </c>
      <c r="GR9" s="89">
        <f t="shared" si="46"/>
        <v>6.7445373313504713E-4</v>
      </c>
      <c r="GS9" s="90" t="str">
        <f t="shared" si="47"/>
        <v/>
      </c>
      <c r="GT9" s="91">
        <f t="shared" si="48"/>
        <v>1.4482616056815939E-2</v>
      </c>
      <c r="GU9" s="89">
        <f t="shared" si="49"/>
        <v>2.5127446759621849E-5</v>
      </c>
      <c r="GV9" s="89">
        <f t="shared" si="50"/>
        <v>4.7520600735740754E-3</v>
      </c>
      <c r="GW9" s="89">
        <f t="shared" si="51"/>
        <v>2.6819386658619123E-5</v>
      </c>
      <c r="GX9" s="89">
        <f t="shared" si="52"/>
        <v>7.4906068679182774E-5</v>
      </c>
      <c r="GY9" s="97" t="str">
        <f t="shared" si="53"/>
        <v/>
      </c>
      <c r="GZ9" s="198"/>
      <c r="HA9" s="88">
        <f>IF(AND(GQ9&lt;&gt;"",GU9&lt;&gt;""),LOG(GQ9*GU9/Minerals!$C$6),"")</f>
        <v>0.63390839291518875</v>
      </c>
      <c r="HB9" s="89">
        <f>IF(AND(GQ9&lt;&gt;"",GU9&lt;&gt;""),LOG(GQ9*GU9/Minerals!$C$5),"")</f>
        <v>0.5034288635589711</v>
      </c>
      <c r="HC9" s="89">
        <f>IF(AND(GQ9&lt;&gt;"",GX9&lt;&gt;""),LOG(GQ9*GX9^2/Minerals!$C$2),"")</f>
        <v>-0.92745302144633113</v>
      </c>
      <c r="HD9" s="89" t="str">
        <f>IF(AND(GQ9&lt;&gt;"",GY9&lt;&gt;""),LOG($GQ9*$GY9/Minerals!$C$3),"")</f>
        <v/>
      </c>
      <c r="HE9" s="97" t="str">
        <f>IF(AND(GQ9&lt;&gt;"",GY9&lt;&gt;""),LOG($GQ9*$GY9/Minerals!$C$3),"")</f>
        <v/>
      </c>
      <c r="HF9" s="198"/>
      <c r="HG9" s="88">
        <f>IF(HA9&lt;&gt;"",LOG(GQ9*GU9/(EXP(-1*Minerals!$E$6/'Other Constants'!$B$2*(1/(273.15+'ppm-mgL-1'!$D9)-1/298.15)+LN(Minerals!$C$6)))),"")</f>
        <v>0.63390839291518941</v>
      </c>
      <c r="HH9" s="89">
        <f>IF(HA9&lt;&gt;"",LOG(GQ9*GU9/(EXP(-1*Minerals!$E$5/'Other Constants'!$B$2*(1/(273.15+'ppm-mgL-1'!$D9)-1/298.15)+LN(Minerals!$C$5)))),"")</f>
        <v>0.50342886355897143</v>
      </c>
      <c r="HI9" s="89">
        <f>IF(HC9&lt;&gt;"",LOG(GQ9*GX9^2/(EXP(-1*Minerals!$E$2/'Other Constants'!$B$2*(1/(273.15+'ppm-mgL-1'!$D9)-1/298.15)+LN(Minerals!$C$2)))),"")</f>
        <v>-0.92745302144633113</v>
      </c>
      <c r="HJ9" s="89" t="str">
        <f>IF(HD9&lt;&gt;"",LOG($FF9*$FN9/(EXP(-1*Minerals!$E$3/'Other Constants'!$B$2*(1/(273.15+'ppm-mgL-1'!$D9)-1/298.15)+LN(Minerals!$C$3)))),"")</f>
        <v/>
      </c>
      <c r="HK9" s="90" t="str">
        <f>IF(HE9&lt;&gt;"",LOG($FF9*$FN9/(EXP(-1*Minerals!$E$4/'Other Constants'!$B$2*(1/(273.15+'ppm-mgL-1'!$D9)-1/298.15)+LN(Minerals!$C$4)))),"")</f>
        <v/>
      </c>
      <c r="HL9" s="198"/>
      <c r="HM9" s="198"/>
    </row>
    <row r="10" spans="1:221" customFormat="1" x14ac:dyDescent="0.25">
      <c r="A10" s="3"/>
      <c r="B10" s="4" t="s">
        <v>133</v>
      </c>
      <c r="C10" s="5"/>
      <c r="D10" s="3">
        <v>25</v>
      </c>
      <c r="E10" s="4">
        <v>9.6199999999999992</v>
      </c>
      <c r="F10" s="4"/>
      <c r="G10" s="4"/>
      <c r="H10" s="5"/>
      <c r="I10" s="3" t="str">
        <f t="shared" si="54"/>
        <v/>
      </c>
      <c r="J10" s="4" t="str">
        <f t="shared" si="55"/>
        <v/>
      </c>
      <c r="K10" s="3" t="str">
        <f t="shared" si="56"/>
        <v/>
      </c>
      <c r="L10" s="4" t="str">
        <f t="shared" si="1"/>
        <v/>
      </c>
      <c r="M10" s="3" t="str">
        <f t="shared" si="0"/>
        <v/>
      </c>
      <c r="N10" s="4" t="str">
        <f t="shared" ref="N10" si="157">IF(M10&lt;&gt;"", IF($D10&lt;&gt;"",M10*2.303*0.0019858*($D10+273.15)/23.06, 0.059*M10),"")</f>
        <v/>
      </c>
      <c r="O10" s="3" t="str">
        <f t="shared" si="2"/>
        <v/>
      </c>
      <c r="P10" s="4" t="str">
        <f t="shared" ref="P10" si="158">IF(O10&lt;&gt;"", IF($D10&lt;&gt;"",O10*2.303*0.0019858*($D10+273.15)/23.06, 0.059*O10),"")</f>
        <v/>
      </c>
      <c r="Q10" s="3" t="str">
        <f t="shared" si="3"/>
        <v/>
      </c>
      <c r="R10" s="4" t="str">
        <f t="shared" ref="R10" si="159">IF(Q10&lt;&gt;"", IF($D10&lt;&gt;"",Q10*2.303*0.0019858*($D10+273.15)/23.06, 0.059*Q10),"")</f>
        <v/>
      </c>
      <c r="S10" s="3" t="str">
        <f t="shared" si="4"/>
        <v/>
      </c>
      <c r="T10" s="4" t="str">
        <f t="shared" ref="T10" si="160">IF(S10&lt;&gt;"", IF($D10&lt;&gt;"",S10*2.303*0.0019858*($D10+273.15)/23.06, 0.059*S10),"")</f>
        <v/>
      </c>
      <c r="U10" s="3" t="str">
        <f>IF(AND($E10&lt;&gt;"",$CX10&lt;&gt;"",$DG10&lt;&gt;""),IF($E10&lt;7,5.12-5/4*$E10+1/8*LOG($CX10/$DG10),4.25-9/8*$E10+1/8*(LOG($CX10)-$E10-LOG($DG10)+pKa!$B$3)),"")</f>
        <v/>
      </c>
      <c r="V10" s="4" t="str">
        <f t="shared" ref="V10" si="161">IF(U10&lt;&gt;"", IF($D10&lt;&gt;"",U10*2.303*0.0019858*($D10+273.15)/23.06, 0.059*U10),"")</f>
        <v/>
      </c>
      <c r="W10" s="3" t="str">
        <f t="shared" si="5"/>
        <v/>
      </c>
      <c r="X10" s="4" t="str">
        <f t="shared" ref="X10" si="162">IF(W10&lt;&gt;"", IF($D10&lt;&gt;"",W10*2.303*0.0019858*($D10+273.15)/23.06, 0.059*W10),"")</f>
        <v/>
      </c>
      <c r="Y10" s="3" t="str">
        <f t="shared" si="6"/>
        <v/>
      </c>
      <c r="Z10" s="4" t="str">
        <f t="shared" ref="Z10" si="163">IF(Y10&lt;&gt;"", IF($D10&lt;&gt;"",Y10*2.303*0.0019858*($D10+273.15)/23.06, 0.059*Y10),"")</f>
        <v/>
      </c>
      <c r="AA10" s="3" t="str">
        <f t="shared" si="7"/>
        <v/>
      </c>
      <c r="AB10" s="4" t="str">
        <f t="shared" ref="AB10" si="164">IF(AA10&lt;&gt;"", IF($D10&lt;&gt;"",AA10*2.303*0.0019858*($D10+273.15)/23.06, 0.059*AA10),"")</f>
        <v/>
      </c>
      <c r="AC10" s="4"/>
      <c r="AD10" s="83">
        <f>IF(E10&lt;&gt;"",10^(-2*$E10)/(10^(-2*$E10)+10^(-$E10-pKa!$B$2)+(10^(-pKa!$B$2-pKa!$C$2))),"")</f>
        <v>3.9575560611777708E-4</v>
      </c>
      <c r="AE10" s="84">
        <f>IF(E10&lt;&gt;"",10^(-$E10-pKa!$B$2)/(10^(-2*$E10)+10^(-$E10-pKa!$B$2)+10^(-pKa!$B$2-pKa!$C$2)),"")</f>
        <v>0.82685065662567014</v>
      </c>
      <c r="AF10" s="212">
        <f>IF(E10&lt;&gt;"",10^(-pKa!$B$2-pKa!$C$2)/(10^(-2*$E10)+10^(-$E10-pKa!$B$2)+10^(-pKa!$B$2-pKa!$C$2)),"")</f>
        <v>0.17275358776821212</v>
      </c>
      <c r="AG10" s="152"/>
      <c r="AH10" s="222">
        <f>IF($AK10&lt;&gt;"",$AK10/'Elements and ions'!$G$3,IF($E10="","","Enter Alk(HCO3-)"))</f>
        <v>138.00026353380477</v>
      </c>
      <c r="AI10" s="85">
        <f t="shared" si="65"/>
        <v>0.11771169011819754</v>
      </c>
      <c r="AJ10" s="84">
        <f>IF(AI10&lt;&gt;"",AI10*1000*'Elements and ions'!$B$7,"")</f>
        <v>1413.7997965026352</v>
      </c>
      <c r="AK10" s="99">
        <v>8420.34</v>
      </c>
      <c r="AL10" s="88">
        <f>IF($AK10&lt;&gt;"",$AK10/'Elements and ions'!$G$3*Minerals!$B$6/2,IF($E10="","","Enter Alk(HCO3-)"))</f>
        <v>6906.0092881407827</v>
      </c>
      <c r="AM10" s="198"/>
      <c r="AN10" s="91">
        <f t="shared" si="8"/>
        <v>4.6585061269875223E-5</v>
      </c>
      <c r="AO10" s="89">
        <f t="shared" si="9"/>
        <v>9.7329988266749046E-2</v>
      </c>
      <c r="AP10" s="90">
        <f t="shared" si="10"/>
        <v>2.0335116790178628E-2</v>
      </c>
      <c r="AQ10" s="198"/>
      <c r="AR10" s="198"/>
      <c r="AS10" s="83">
        <f t="shared" si="66"/>
        <v>0.1370148860878683</v>
      </c>
      <c r="AT10" s="83">
        <f>IF(AN10&lt;&gt;"",AN10/'Henrys law constants'!$B$7*1000000,"")</f>
        <v>1370.1488608786829</v>
      </c>
      <c r="AU10" s="3">
        <v>4460.01524032</v>
      </c>
      <c r="AV10" s="4">
        <v>191.97265300000001</v>
      </c>
      <c r="AW10" s="4">
        <v>1.6832760000000002</v>
      </c>
      <c r="AX10" s="4">
        <v>0.55901499999999993</v>
      </c>
      <c r="AY10" s="226">
        <f>AO10*'Elements and ions'!$G$3*1000</f>
        <v>5938.7683212741031</v>
      </c>
      <c r="AZ10" s="4">
        <v>1910.9167000000002</v>
      </c>
      <c r="BA10" s="4"/>
      <c r="BB10" s="5">
        <v>9.3007349999999995</v>
      </c>
      <c r="BC10" s="222">
        <f>IF($E10&lt;&gt;"",10^-$E10*'Elements and ions'!B9*1000,"")</f>
        <v>3.8379887404560414E-6</v>
      </c>
      <c r="BD10" s="4"/>
      <c r="BE10" s="4"/>
      <c r="BF10" s="4"/>
      <c r="BG10" s="5"/>
      <c r="BH10" s="3"/>
      <c r="BI10" s="4"/>
      <c r="BJ10" s="88">
        <f>IF($AN10&lt;&gt;"",$AN10*'Elements and ions'!$G$2*1000,"")</f>
        <v>2.8894281765505312</v>
      </c>
      <c r="BK10" s="229"/>
      <c r="BL10" s="230"/>
      <c r="BM10" s="91">
        <f>IF($E10&lt;&gt;"",(10^-14+$E10)*'Elements and ions'!$G$8,"")</f>
        <v>163.61061080000016</v>
      </c>
      <c r="BN10" s="4"/>
      <c r="BO10" s="97">
        <f>IF($AP10&lt;&gt;"",$AP10*'Elements and ions'!$G$4*1000,"")</f>
        <v>1220.2879899501502</v>
      </c>
      <c r="BP10" s="4">
        <f>6.28*'Elements and ions'!B10</f>
        <v>119.309972096</v>
      </c>
      <c r="BQ10" s="5"/>
      <c r="BR10" s="195"/>
      <c r="BS10" s="238">
        <f>IF($AU10&lt;&gt;"",$AU10/'Elements and ions'!$B$12,"")</f>
        <v>194</v>
      </c>
      <c r="BT10" s="239">
        <f>IF($AV10&lt;&gt;"",$AV10/'Elements and ions'!$B$20,"")</f>
        <v>4.91</v>
      </c>
      <c r="BU10" s="239">
        <f>IF($AW10&lt;&gt;"",$AW10/'Elements and ions'!$B$21, "")</f>
        <v>4.2000000000000003E-2</v>
      </c>
      <c r="BV10" s="240">
        <f>IF($AX10&lt;&gt;"",$AX10/'Elements and ions'!$B$13, "")</f>
        <v>2.2999999999999996E-2</v>
      </c>
      <c r="BW10" s="238">
        <f>IF($AY10&lt;&gt;"",$AY10/'Elements and ions'!$G$3,"")</f>
        <v>97.329988266749041</v>
      </c>
      <c r="BX10" s="239">
        <f>IF($AZ10&lt;&gt;"",$AZ10/'Elements and ions'!$B$18,"")</f>
        <v>53.9</v>
      </c>
      <c r="BY10" s="239" t="str">
        <f>IF($BA10&lt;&gt;"",$BA10/'Elements and ions'!$G$7,"")</f>
        <v/>
      </c>
      <c r="BZ10" s="241">
        <f>IF($BB10&lt;&gt;"",$BB10/'Elements and ions'!$G$5,"")</f>
        <v>9.6819521853458046E-2</v>
      </c>
      <c r="CA10" s="91">
        <f t="shared" si="67"/>
        <v>2.3988329190194893E-7</v>
      </c>
      <c r="CB10" s="163" t="str">
        <f>IF($BD10&lt;&gt;"",$BD10/'Elements and ions'!$B$14,"")</f>
        <v/>
      </c>
      <c r="CC10" s="89" t="str">
        <f>IF($BE10&lt;&gt;"",$BE10/'Elements and ions'!$B$27, "")</f>
        <v/>
      </c>
      <c r="CD10" s="249" t="str">
        <f>IF($BF10&lt;&gt;"",$BF10/'Elements and ions'!$B$26,"")</f>
        <v/>
      </c>
      <c r="CE10" s="250" t="str">
        <f>IF($BG10&lt;&gt;"",$BG10/'Elements and ions'!$G$6,"")</f>
        <v/>
      </c>
      <c r="CF10" s="91" t="str">
        <f>IF($BH10&lt;&gt;"",$BH10/'Elements and ions'!$G$15,"")</f>
        <v/>
      </c>
      <c r="CG10" s="89" t="str">
        <f>IF($BI10&lt;&gt;"",$BI10/'Elements and ions'!$G$16,"")</f>
        <v/>
      </c>
      <c r="CH10" s="90">
        <f>IF($BJ10&lt;&gt;"",$BJ10/'Elements and ions'!$G$2,"")</f>
        <v>4.6585061269875223E-2</v>
      </c>
      <c r="CI10" s="91" t="str">
        <f>IF($BK10&lt;&gt;"",$BK10/'Elements and ions'!$B$15, "")</f>
        <v/>
      </c>
      <c r="CJ10" s="88" t="str">
        <f>IF($BL10&lt;&gt;"", $BL10/'Elements and ions'!$G$17,"")</f>
        <v/>
      </c>
      <c r="CK10" s="89">
        <f t="shared" si="68"/>
        <v>4.168693834703343E-2</v>
      </c>
      <c r="CL10" s="163" t="str">
        <f>IF($BN10&lt;&gt;"", $BN10/'Elements and ions'!$G$19,"")</f>
        <v/>
      </c>
      <c r="CM10" s="89">
        <f>IF($BO10&lt;&gt;"",$BO10/'Elements and ions'!$G$4,"")</f>
        <v>20.335116790178628</v>
      </c>
      <c r="CN10" s="89">
        <f>IF($BP10&lt;&gt;"",$BP10/'Elements and ions'!$B$10,"")</f>
        <v>6.28</v>
      </c>
      <c r="CO10" s="104" t="str">
        <f>IF($BQ10&lt;&gt;"",$BQ10/'Elements and ions'!$G$18,"")</f>
        <v/>
      </c>
      <c r="CP10" s="242"/>
      <c r="CQ10" s="238">
        <f t="shared" si="94"/>
        <v>0.19400000000000001</v>
      </c>
      <c r="CR10" s="239">
        <f t="shared" si="95"/>
        <v>4.9100000000000003E-3</v>
      </c>
      <c r="CS10" s="239">
        <f t="shared" si="96"/>
        <v>4.2000000000000004E-5</v>
      </c>
      <c r="CT10" s="241">
        <f t="shared" si="97"/>
        <v>2.2999999999999997E-5</v>
      </c>
      <c r="CU10" s="238">
        <f t="shared" si="11"/>
        <v>9.7329988266749046E-2</v>
      </c>
      <c r="CV10" s="239">
        <f t="shared" si="12"/>
        <v>5.3899999999999997E-2</v>
      </c>
      <c r="CW10" s="239" t="str">
        <f t="shared" si="13"/>
        <v/>
      </c>
      <c r="CX10" s="241">
        <f t="shared" si="69"/>
        <v>9.6819521853458052E-5</v>
      </c>
      <c r="CY10" s="258">
        <f t="shared" si="98"/>
        <v>2.3988329190194892E-10</v>
      </c>
      <c r="CZ10" s="259" t="str">
        <f t="shared" si="99"/>
        <v/>
      </c>
      <c r="DA10" s="260" t="str">
        <f t="shared" si="100"/>
        <v/>
      </c>
      <c r="DB10" s="261" t="str">
        <f t="shared" si="101"/>
        <v/>
      </c>
      <c r="DC10" s="262" t="str">
        <f t="shared" si="102"/>
        <v/>
      </c>
      <c r="DD10" s="263" t="str">
        <f t="shared" si="103"/>
        <v/>
      </c>
      <c r="DE10" s="259" t="str">
        <f t="shared" si="104"/>
        <v/>
      </c>
      <c r="DF10" s="260">
        <f t="shared" si="105"/>
        <v>4.6585061269875223E-5</v>
      </c>
      <c r="DG10" s="260" t="str">
        <f t="shared" si="106"/>
        <v/>
      </c>
      <c r="DH10" s="264" t="str">
        <f t="shared" si="107"/>
        <v/>
      </c>
      <c r="DI10" s="258">
        <f t="shared" si="108"/>
        <v>4.168693834703343E-5</v>
      </c>
      <c r="DJ10" s="260" t="str">
        <f t="shared" si="109"/>
        <v/>
      </c>
      <c r="DK10" s="260">
        <f t="shared" si="110"/>
        <v>2.0335116790178628E-2</v>
      </c>
      <c r="DL10" s="260">
        <f t="shared" si="111"/>
        <v>6.28E-3</v>
      </c>
      <c r="DM10" s="265" t="str">
        <f t="shared" si="112"/>
        <v/>
      </c>
      <c r="DN10" s="242"/>
      <c r="DO10" s="238">
        <f t="shared" si="18"/>
        <v>194</v>
      </c>
      <c r="DP10" s="239">
        <f t="shared" si="19"/>
        <v>4.91</v>
      </c>
      <c r="DQ10" s="239">
        <f t="shared" si="20"/>
        <v>8.4000000000000005E-2</v>
      </c>
      <c r="DR10" s="241">
        <f t="shared" si="21"/>
        <v>4.5999999999999992E-2</v>
      </c>
      <c r="DS10" s="238">
        <f t="shared" si="22"/>
        <v>-97.329988266749041</v>
      </c>
      <c r="DT10" s="239">
        <f t="shared" si="23"/>
        <v>-53.9</v>
      </c>
      <c r="DU10" s="239">
        <f t="shared" si="24"/>
        <v>0</v>
      </c>
      <c r="DV10" s="241">
        <f t="shared" si="25"/>
        <v>-0.19363904370691609</v>
      </c>
      <c r="DW10" s="91">
        <f t="shared" si="113"/>
        <v>2.3988329190194893E-7</v>
      </c>
      <c r="DX10" s="89">
        <f t="shared" si="114"/>
        <v>0</v>
      </c>
      <c r="DY10" s="89">
        <f t="shared" si="115"/>
        <v>0</v>
      </c>
      <c r="DZ10" s="89">
        <f t="shared" si="116"/>
        <v>0</v>
      </c>
      <c r="EA10" s="90">
        <f t="shared" si="117"/>
        <v>0</v>
      </c>
      <c r="EB10" s="91">
        <f t="shared" si="118"/>
        <v>-4.168693834703343E-2</v>
      </c>
      <c r="EC10" s="89">
        <f t="shared" si="119"/>
        <v>0</v>
      </c>
      <c r="ED10" s="89">
        <f t="shared" si="120"/>
        <v>-40.670233580357255</v>
      </c>
      <c r="EE10" s="89">
        <f t="shared" si="121"/>
        <v>-6.28</v>
      </c>
      <c r="EF10" s="90">
        <f t="shared" si="122"/>
        <v>0</v>
      </c>
      <c r="EG10" s="242"/>
      <c r="EH10" s="245">
        <f t="shared" si="123"/>
        <v>199.04000023988328</v>
      </c>
      <c r="EI10" s="246">
        <f t="shared" si="124"/>
        <v>-198.41554782916026</v>
      </c>
      <c r="EJ10" s="198">
        <f t="shared" si="83"/>
        <v>0.1571125157912118</v>
      </c>
      <c r="EK10" s="198">
        <f t="shared" si="27"/>
        <v>0.17885727222078832</v>
      </c>
      <c r="EL10" s="91">
        <f>IF(AND(CS10&lt;&gt;"",DK10&lt;&gt;""),LOG(CS10*DK10/Minerals!$C$6),"")</f>
        <v>2.411667967642821</v>
      </c>
      <c r="EM10" s="89">
        <f>IF(AND(CS10&lt;&gt;"",DK10&lt;&gt;""),LOG(CS10*DK10/Minerals!$C$5),"")</f>
        <v>2.2811884382866032</v>
      </c>
      <c r="EN10" s="89">
        <f>IF(AND(CS10&lt;&gt;"",DL10&lt;&gt;""),LOG(CS10*DL10^2/Minerals!$C$2),"")</f>
        <v>1.7890935223203535</v>
      </c>
      <c r="EO10" s="89">
        <f>IF(AND(CS10&lt;&gt;"",CX10&lt;&gt;""),LOG($CS10*$CX10/Minerals!$C$3),"")</f>
        <v>-3.7908074111353418</v>
      </c>
      <c r="EP10" s="90">
        <f>IF(AND(CS10&lt;&gt;"",CX10&lt;&gt;""),LOG($CS10*$CX10/Minerals!$C$4),"")</f>
        <v>-4.0307919226012441</v>
      </c>
      <c r="EQ10" s="198"/>
      <c r="ER10" s="91">
        <f t="shared" si="28"/>
        <v>0.71021735876221381</v>
      </c>
      <c r="ES10" s="89">
        <f t="shared" si="28"/>
        <v>0.71021735876221381</v>
      </c>
      <c r="ET10" s="89">
        <f t="shared" si="29"/>
        <v>0.25442813329365466</v>
      </c>
      <c r="EU10" s="89">
        <f t="shared" si="29"/>
        <v>0.25442813329365466</v>
      </c>
      <c r="EV10" s="90">
        <f t="shared" si="29"/>
        <v>0.25442813329365466</v>
      </c>
      <c r="EW10" s="91">
        <f t="shared" si="30"/>
        <v>0.71021735876221381</v>
      </c>
      <c r="EX10" s="89">
        <f t="shared" si="31"/>
        <v>0.25442813329365466</v>
      </c>
      <c r="EY10" s="89">
        <f t="shared" si="30"/>
        <v>0.71021735876221381</v>
      </c>
      <c r="EZ10" s="89">
        <f t="shared" si="30"/>
        <v>0.71021735876221381</v>
      </c>
      <c r="FA10" s="89">
        <f t="shared" ref="FA10:FA73" si="165">10^(-0.5*SQRT($EK10)/(1+SQRT($EK10)))</f>
        <v>0.71021735876221381</v>
      </c>
      <c r="FB10" s="90">
        <f t="shared" si="32"/>
        <v>0.25442813329365466</v>
      </c>
      <c r="FC10" s="198"/>
      <c r="FD10" s="91">
        <f t="shared" si="33"/>
        <v>0.13778216759986947</v>
      </c>
      <c r="FE10" s="89">
        <f t="shared" si="34"/>
        <v>3.4871672315224703E-3</v>
      </c>
      <c r="FF10" s="89">
        <f t="shared" si="35"/>
        <v>1.0685981598333497E-5</v>
      </c>
      <c r="FG10" s="89">
        <f t="shared" si="36"/>
        <v>5.8518470657540562E-6</v>
      </c>
      <c r="FH10" s="90" t="str">
        <f t="shared" si="37"/>
        <v/>
      </c>
      <c r="FI10" s="91">
        <f t="shared" si="85"/>
        <v>6.9125447195167763E-2</v>
      </c>
      <c r="FJ10" s="89">
        <f t="shared" si="38"/>
        <v>5.1738258052336028E-3</v>
      </c>
      <c r="FK10" s="89">
        <f t="shared" si="39"/>
        <v>3.8280715637283323E-2</v>
      </c>
      <c r="FL10" s="89" t="str">
        <f t="shared" si="40"/>
        <v/>
      </c>
      <c r="FM10" s="89">
        <f t="shared" si="41"/>
        <v>4.4601650130267024E-3</v>
      </c>
      <c r="FN10" s="90">
        <f t="shared" si="42"/>
        <v>2.4633610211559535E-5</v>
      </c>
      <c r="FO10" s="198"/>
      <c r="FP10" s="91">
        <f>IF(EL10&lt;&gt;"",LOG(FF10*FJ10/Minerals!$C$6),"")</f>
        <v>1.2227982307988698</v>
      </c>
      <c r="FQ10" s="89">
        <f>IF(EL10&lt;&gt;"",LOG(FF10*FJ10/Minerals!$C$5),"")</f>
        <v>1.0923187014426523</v>
      </c>
      <c r="FR10" s="89">
        <f>IF(EN10&lt;&gt;"",LOG(FF10*FM10^2/Minerals!$C$2),"")</f>
        <v>0.89744121968739032</v>
      </c>
      <c r="FS10" s="89">
        <f>IF(EO10&lt;&gt;"",LOG($FF10*$FN10/Minerals!$C$3),"")</f>
        <v>-4.9796771479792925</v>
      </c>
      <c r="FT10" s="90">
        <f>IF(EP10&lt;&gt;"",LOG($FF10*$FN10/Minerals!$C$4),"")</f>
        <v>-5.2196616594451948</v>
      </c>
      <c r="FU10" s="163"/>
      <c r="FV10" s="91">
        <f>IF(FP10&lt;&gt;"",LOG(FF10*FJ10/(EXP(-1*Minerals!$E$6/'Other Constants'!$B$2*(1/(273.15+'ppm-mgL-1'!$D10)-1/298.15)+LN(Minerals!$C$6)))),"")</f>
        <v>1.2227982307988705</v>
      </c>
      <c r="FW10" s="89">
        <f>IF(FP10&lt;&gt;"",LOG(FF10*FJ10/(EXP(-1*Minerals!$E$5/'Other Constants'!$B$2*(1/(273.15+'ppm-mgL-1'!$D10)-1/298.15)+LN(Minerals!$C$5)))),"")</f>
        <v>1.0923187014426528</v>
      </c>
      <c r="FX10" s="89">
        <f>IF(FR10&lt;&gt;"",LOG(FF10*FM10^2/(EXP(-1*Minerals!$E$2/'Other Constants'!$B$2*(1/(273.15+'ppm-mgL-1'!$D10)-1/298.15)+LN(Minerals!$C$2)))),"")</f>
        <v>0.89744121968739032</v>
      </c>
      <c r="FY10" s="89">
        <f>IF(FS10&lt;&gt;"",LOG($FF10*$FN10/(EXP(-1*Minerals!$E$3/'Other Constants'!$B$2*(1/(273.15+'ppm-mgL-1'!$D10)-1/298.15)+LN(Minerals!$C$3)))),"")</f>
        <v>-4.9796771479792925</v>
      </c>
      <c r="FZ10" s="90">
        <f>LOG($FF10*$FN10/(EXP(-1*Minerals!$E$4/'Other Constants'!$B$2*(1/(273.15+'ppm-mgL-1'!$D10)-1/298.15)+LN(Minerals!$C$4))))</f>
        <v>-5.2196616594451948</v>
      </c>
      <c r="GA10" s="163"/>
      <c r="GB10" s="163"/>
      <c r="GC10" s="91">
        <f>10^(-1825000*(79.755*EXP(-0.0046*($D10-20))*($D10+273.15))^-1.5*$EK10^0.5/(1+'Elements and ions'!$D$12*$EK10^0.5/(2*(79.755*EXP(-0.0046*($D10-20))*($D10+273.15))^0.5)))</f>
        <v>0.72422529448364692</v>
      </c>
      <c r="GD10" s="89">
        <f>10^(-1825000*(79.755*EXP(-0.0046*($D10-20))*($D10+273.15))^-1.5*$EK10^0.5/(1+'Elements and ions'!$D$20*$EK10^0.5/(2*(79.755*EXP(-0.0046*($D10-20))*($D10+273.15))^0.5)))</f>
        <v>0.70169439551413049</v>
      </c>
      <c r="GE10" s="89">
        <f>10^(-1825000*(79.755*EXP(-0.0046*($D10-20))*($D10+273.15))^-1.5*4*$EK10^0.5/(1+'Elements and ions'!$D$21*$EK10^0.5/(2*(79.755*EXP(-0.0046*($D10-20))*($D10+273.15))^0.5)))</f>
        <v>0.33447336538571748</v>
      </c>
      <c r="GF10" s="89">
        <f>10^(-1825000*(79.755*EXP(-0.0046*($D10-20))*($D10+273.15))^-1.5*4*$EK10^0.5/(1+'Elements and ions'!$D$13*$EK10^0.5/(2*(79.755*EXP(-0.0046*($D10-20))*($D10+273.15))^0.5)))</f>
        <v>0.38628537374945637</v>
      </c>
      <c r="GG10" s="90">
        <f>10^(-1825000*(79.755*EXP(-0.0046*($D10-20))*($D10+273.15))^-1.5*4*$EK10^0.5/(1+'Elements and ions'!$D$27*$EK10^0.5/(2*(79.755*EXP(-0.0046*($D10-20))*($D10+273.15))^0.5)))</f>
        <v>0.33447336538571748</v>
      </c>
      <c r="GH10" s="91">
        <f>10^(-1825000*(79.755*EXP(-0.0046*($D10-20))*($D10+273.15))^-1.5*$EK10^0.5/(1+'Elements and ions'!$G$3*$EK10^0.5/(2*(79.755*EXP(-0.0046*($D10-20))*($D10+273.15))^0.5)))</f>
        <v>0.62968800950694048</v>
      </c>
      <c r="GI10" s="89">
        <f>10^(-1825000*(79.755*EXP(-0.0046*($D10-20))*($D10+273.15))^-1.5*4*$EK10^0.5/(1+'Elements and ions'!$G$4*$EK10^0.5/(2*(79.755*EXP(-0.0046*($D10-20))*($D10+273.15))^0.5)))</f>
        <v>0.15684280675573478</v>
      </c>
      <c r="GJ10" s="89">
        <f>10^(-1825000*(79.755*EXP(-0.0046*($D10-20))*($D10+273.15))^-1.5*$EK10^0.5/(1+'Elements and ions'!$D$18*$EK10^0.5/(2*(79.755*EXP(-0.0046*($D10-20))*($D10+273.15))^0.5)))</f>
        <v>0.70169439551413049</v>
      </c>
      <c r="GK10" s="89">
        <f>10^(-1825000*(79.755*EXP(-0.0046*($D10-20))*($D10+273.15))^-1.5*$EK10^0.5/(1+'Elements and ions'!$I$7*$EK10^0.5/(2*(79.755*EXP(-0.0046*($D10-20))*($D10+273.15))^0.5)))</f>
        <v>0.70169439551413049</v>
      </c>
      <c r="GL10" s="89">
        <f>10^(-1825000*(79.755*EXP(-0.0046*($D10-20))*($D10+273.15))^-1.5*$EK10^0.5/(1+'Elements and ions'!$D$10*$EK10^0.5/(2*(79.755*EXP(-0.0046*($D10-20))*($D10+273.15))^0.5)))</f>
        <v>0.7133969866562283</v>
      </c>
      <c r="GM10" s="90">
        <f>10^(-1825000*(79.755*EXP(-0.0046*($D10-20))*($D10+273.15))^-1.5*4*$EK10^0.5/(1+'Elements and ions'!$I$5*$EK10^0.5/(2*(79.755*EXP(-0.0046*($D10-20))*($D10+273.15))^0.5)))</f>
        <v>0.27510263875643687</v>
      </c>
      <c r="GN10" s="163"/>
      <c r="GO10" s="91">
        <f t="shared" si="43"/>
        <v>0.14049970712982751</v>
      </c>
      <c r="GP10" s="89">
        <f t="shared" si="44"/>
        <v>3.4453194819743811E-3</v>
      </c>
      <c r="GQ10" s="89">
        <f t="shared" si="45"/>
        <v>1.4047881346200136E-5</v>
      </c>
      <c r="GR10" s="89">
        <f t="shared" si="46"/>
        <v>8.8845635962374946E-6</v>
      </c>
      <c r="GS10" s="90" t="str">
        <f t="shared" si="47"/>
        <v/>
      </c>
      <c r="GT10" s="91">
        <f t="shared" si="48"/>
        <v>6.1287526577023077E-2</v>
      </c>
      <c r="GU10" s="89">
        <f t="shared" si="49"/>
        <v>3.1894167930772844E-3</v>
      </c>
      <c r="GV10" s="89">
        <f t="shared" si="50"/>
        <v>3.7821327918211634E-2</v>
      </c>
      <c r="GW10" s="89" t="str">
        <f t="shared" si="51"/>
        <v/>
      </c>
      <c r="GX10" s="89">
        <f t="shared" si="52"/>
        <v>4.4801330762011139E-3</v>
      </c>
      <c r="GY10" s="97">
        <f t="shared" si="53"/>
        <v>2.6635305945022817E-5</v>
      </c>
      <c r="GZ10" s="198"/>
      <c r="HA10" s="88">
        <f>IF(AND(GQ10&lt;&gt;"",GU10&lt;&gt;""),LOG(GQ10*GU10/Minerals!$C$6),"")</f>
        <v>1.1314941131506671</v>
      </c>
      <c r="HB10" s="89">
        <f>IF(AND(GQ10&lt;&gt;"",GU10&lt;&gt;""),LOG(GQ10*GU10/Minerals!$C$5),"")</f>
        <v>1.0010145837944493</v>
      </c>
      <c r="HC10" s="89">
        <f>IF(AND(GQ10&lt;&gt;"",GX10&lt;&gt;""),LOG(GQ10*GX10^2/Minerals!$C$2),"")</f>
        <v>1.0201176034295669</v>
      </c>
      <c r="HD10" s="89">
        <f>IF(AND(GQ10&lt;&gt;"",GY10&lt;&gt;""),LOG($GQ10*$GY10/Minerals!$C$3),"")</f>
        <v>-4.8269511150556621</v>
      </c>
      <c r="HE10" s="97">
        <f>IF(AND(GQ10&lt;&gt;"",GY10&lt;&gt;""),LOG($GQ10*$GY10/Minerals!$C$3),"")</f>
        <v>-4.8269511150556621</v>
      </c>
      <c r="HF10" s="198"/>
      <c r="HG10" s="88">
        <f>IF(HA10&lt;&gt;"",LOG(GQ10*GU10/(EXP(-1*Minerals!$E$6/'Other Constants'!$B$2*(1/(273.15+'ppm-mgL-1'!$D10)-1/298.15)+LN(Minerals!$C$6)))),"")</f>
        <v>1.1314941131506677</v>
      </c>
      <c r="HH10" s="89">
        <f>IF(HA10&lt;&gt;"",LOG(GQ10*GU10/(EXP(-1*Minerals!$E$5/'Other Constants'!$B$2*(1/(273.15+'ppm-mgL-1'!$D10)-1/298.15)+LN(Minerals!$C$5)))),"")</f>
        <v>1.00101458379445</v>
      </c>
      <c r="HI10" s="89">
        <f>IF(HC10&lt;&gt;"",LOG(GQ10*GX10^2/(EXP(-1*Minerals!$E$2/'Other Constants'!$B$2*(1/(273.15+'ppm-mgL-1'!$D10)-1/298.15)+LN(Minerals!$C$2)))),"")</f>
        <v>1.0201176034295669</v>
      </c>
      <c r="HJ10" s="89">
        <f>IF(HD10&lt;&gt;"",LOG($FF10*$FN10/(EXP(-1*Minerals!$E$3/'Other Constants'!$B$2*(1/(273.15+'ppm-mgL-1'!$D10)-1/298.15)+LN(Minerals!$C$3)))),"")</f>
        <v>-4.9796771479792925</v>
      </c>
      <c r="HK10" s="90">
        <f>LOG($FF10*$FN10/(EXP(-1*Minerals!$E$4/'Other Constants'!$B$2*(1/(273.15+'ppm-mgL-1'!$D10)-1/298.15)+LN(Minerals!$C$4))))</f>
        <v>-5.2196616594451948</v>
      </c>
      <c r="HL10" s="198"/>
      <c r="HM10" s="198"/>
    </row>
    <row r="11" spans="1:221" customFormat="1" x14ac:dyDescent="0.25">
      <c r="A11" s="3"/>
      <c r="B11" s="4" t="s">
        <v>140</v>
      </c>
      <c r="C11" s="5"/>
      <c r="D11" s="3">
        <v>25</v>
      </c>
      <c r="E11" s="4">
        <v>7.4</v>
      </c>
      <c r="F11" s="4"/>
      <c r="G11" s="4"/>
      <c r="H11" s="5"/>
      <c r="I11" s="3" t="str">
        <f t="shared" si="54"/>
        <v/>
      </c>
      <c r="J11" s="4" t="str">
        <f t="shared" si="55"/>
        <v/>
      </c>
      <c r="K11" s="3" t="str">
        <f t="shared" si="56"/>
        <v/>
      </c>
      <c r="L11" s="4" t="str">
        <f t="shared" si="1"/>
        <v/>
      </c>
      <c r="M11" s="3" t="str">
        <f t="shared" si="0"/>
        <v/>
      </c>
      <c r="N11" s="4" t="str">
        <f t="shared" ref="N11" si="166">IF(M11&lt;&gt;"", IF($D11&lt;&gt;"",M11*2.303*0.0019858*($D11+273.15)/23.06, 0.059*M11),"")</f>
        <v/>
      </c>
      <c r="O11" s="3" t="str">
        <f t="shared" si="2"/>
        <v/>
      </c>
      <c r="P11" s="4" t="str">
        <f t="shared" ref="P11" si="167">IF(O11&lt;&gt;"", IF($D11&lt;&gt;"",O11*2.303*0.0019858*($D11+273.15)/23.06, 0.059*O11),"")</f>
        <v/>
      </c>
      <c r="Q11" s="3" t="str">
        <f t="shared" si="3"/>
        <v/>
      </c>
      <c r="R11" s="4" t="str">
        <f t="shared" ref="R11" si="168">IF(Q11&lt;&gt;"", IF($D11&lt;&gt;"",Q11*2.303*0.0019858*($D11+273.15)/23.06, 0.059*Q11),"")</f>
        <v/>
      </c>
      <c r="S11" s="3" t="str">
        <f t="shared" si="4"/>
        <v/>
      </c>
      <c r="T11" s="4" t="str">
        <f t="shared" ref="T11" si="169">IF(S11&lt;&gt;"", IF($D11&lt;&gt;"",S11*2.303*0.0019858*($D11+273.15)/23.06, 0.059*S11),"")</f>
        <v/>
      </c>
      <c r="U11" s="3">
        <f>IF(AND($E11&lt;&gt;"",$CX11&lt;&gt;"",$DG11&lt;&gt;""),IF($E11&lt;7,5.12-5/4*$E11+1/8*LOG($CX11/$DG11),4.25-9/8*$E11+1/8*(LOG($CX11)-$E11-LOG($DG11)+pKa!$B$3)),"")</f>
        <v>-4.0875957077155256</v>
      </c>
      <c r="V11" s="4">
        <f t="shared" ref="V11" si="170">IF(U11&lt;&gt;"", IF($D11&lt;&gt;"",U11*2.303*0.0019858*($D11+273.15)/23.06, 0.059*U11),"")</f>
        <v>-0.24169790692465873</v>
      </c>
      <c r="W11" s="3" t="str">
        <f t="shared" si="5"/>
        <v/>
      </c>
      <c r="X11" s="4" t="str">
        <f t="shared" ref="X11" si="171">IF(W11&lt;&gt;"", IF($D11&lt;&gt;"",W11*2.303*0.0019858*($D11+273.15)/23.06, 0.059*W11),"")</f>
        <v/>
      </c>
      <c r="Y11" s="3" t="str">
        <f t="shared" si="6"/>
        <v/>
      </c>
      <c r="Z11" s="4" t="str">
        <f t="shared" ref="Z11" si="172">IF(Y11&lt;&gt;"", IF($D11&lt;&gt;"",Y11*2.303*0.0019858*($D11+273.15)/23.06, 0.059*Y11),"")</f>
        <v/>
      </c>
      <c r="AA11" s="3" t="str">
        <f t="shared" si="7"/>
        <v/>
      </c>
      <c r="AB11" s="4" t="str">
        <f t="shared" ref="AB11" si="173">IF(AA11&lt;&gt;"", IF($D11&lt;&gt;"",AA11*2.303*0.0019858*($D11+273.15)/23.06, 0.059*AA11),"")</f>
        <v/>
      </c>
      <c r="AC11" s="4"/>
      <c r="AD11" s="83">
        <f>IF(E11&lt;&gt;"",10^(-2*$E11)/(10^(-2*$E11)+10^(-$E11-pKa!$B$2)+(10^(-pKa!$B$2-pKa!$C$2))),"")</f>
        <v>7.3501832094525862E-2</v>
      </c>
      <c r="AE11" s="84">
        <f>IF(E11&lt;&gt;"",10^(-$E11-pKa!$B$2)/(10^(-2*$E11)+10^(-$E11-pKa!$B$2)+10^(-pKa!$B$2-pKa!$C$2)),"")</f>
        <v>0.92533324237227377</v>
      </c>
      <c r="AF11" s="212">
        <f>IF(E11&lt;&gt;"",10^(-pKa!$B$2-pKa!$C$2)/(10^(-2*$E11)+10^(-$E11-pKa!$B$2)+10^(-pKa!$B$2-pKa!$C$2)),"")</f>
        <v>1.1649255332003418E-3</v>
      </c>
      <c r="AG11" s="152"/>
      <c r="AH11" s="222">
        <f>IF($AK11&lt;&gt;"",$AK11/'Elements and ions'!$G$3,IF($E11="","","Enter Alk(HCO3-)"))</f>
        <v>7.0400237049312953</v>
      </c>
      <c r="AI11" s="85">
        <f t="shared" si="65"/>
        <v>7.5889873633511844E-3</v>
      </c>
      <c r="AJ11" s="84">
        <f>IF(AI11&lt;&gt;"",AI11*1000*'Elements and ions'!$B$7,"")</f>
        <v>91.149050525002068</v>
      </c>
      <c r="AK11" s="99">
        <v>429.56</v>
      </c>
      <c r="AL11" s="88">
        <f>IF($AK11&lt;&gt;"",$AK11/'Elements and ions'!$G$3*Minerals!$B$6/2,IF($E11="","","Enter Alk(HCO3-)"))</f>
        <v>352.30707427654403</v>
      </c>
      <c r="AM11" s="198"/>
      <c r="AN11" s="91">
        <f t="shared" si="8"/>
        <v>5.5780447494851732E-4</v>
      </c>
      <c r="AO11" s="89">
        <f t="shared" si="9"/>
        <v>7.0223422832519644E-3</v>
      </c>
      <c r="AP11" s="90">
        <f t="shared" si="10"/>
        <v>8.840605150702535E-6</v>
      </c>
      <c r="AQ11" s="198"/>
      <c r="AR11" s="198"/>
      <c r="AS11" s="83">
        <f t="shared" si="66"/>
        <v>1.6406013969074036</v>
      </c>
      <c r="AT11" s="83">
        <f>IF(AN11&lt;&gt;"",AN11/'Henrys law constants'!$B$7*1000000,"")</f>
        <v>16406.013969074036</v>
      </c>
      <c r="AU11" s="3">
        <v>40</v>
      </c>
      <c r="AV11" s="4"/>
      <c r="AW11" s="4">
        <v>77</v>
      </c>
      <c r="AX11" s="4">
        <v>39</v>
      </c>
      <c r="AY11" s="226">
        <f>AO11*'Elements and ions'!$G$3*1000</f>
        <v>428.48113552241972</v>
      </c>
      <c r="AZ11" s="4">
        <v>44</v>
      </c>
      <c r="BA11" s="4">
        <v>14</v>
      </c>
      <c r="BB11" s="5">
        <v>109</v>
      </c>
      <c r="BC11" s="222">
        <f>IF($E11&lt;&gt;"",10^-$E11*'Elements and ions'!B10*1000,"")</f>
        <v>7.5634005429864781E-4</v>
      </c>
      <c r="BD11" s="4"/>
      <c r="BE11" s="4"/>
      <c r="BF11" s="4"/>
      <c r="BG11" s="5"/>
      <c r="BH11" s="3"/>
      <c r="BI11" s="4"/>
      <c r="BJ11" s="88">
        <f>IF($AN11&lt;&gt;"",$AN11*'Elements and ions'!$G$2*1000,"")</f>
        <v>34.597699841697292</v>
      </c>
      <c r="BK11" s="229">
        <v>16</v>
      </c>
      <c r="BL11" s="230"/>
      <c r="BM11" s="91">
        <f>IF($E11&lt;&gt;"",(10^-14+$E11)*'Elements and ions'!$G$8,"")</f>
        <v>125.85431600000017</v>
      </c>
      <c r="BN11" s="4"/>
      <c r="BO11" s="97">
        <f>IF($AP11&lt;&gt;"",$AP11*'Elements and ions'!$G$4*1000,"")</f>
        <v>0.53051499042799333</v>
      </c>
      <c r="BP11" s="4">
        <v>0.8</v>
      </c>
      <c r="BQ11" s="5"/>
      <c r="BR11" s="195"/>
      <c r="BS11" s="238">
        <f>IF($AU11&lt;&gt;"",$AU11/'Elements and ions'!$B$12,"")</f>
        <v>1.7399043684530617</v>
      </c>
      <c r="BT11" s="239" t="str">
        <f>IF($AV11&lt;&gt;"",$AV11/'Elements and ions'!$B$20,"")</f>
        <v/>
      </c>
      <c r="BU11" s="239">
        <f>IF($AW11&lt;&gt;"",$AW11/'Elements and ions'!$B$21, "")</f>
        <v>1.921253555566645</v>
      </c>
      <c r="BV11" s="240">
        <f>IF($AX11&lt;&gt;"",$AX11/'Elements and ions'!$B$13, "")</f>
        <v>1.6046081053281218</v>
      </c>
      <c r="BW11" s="238">
        <f>IF($AY11&lt;&gt;"",$AY11/'Elements and ions'!$G$3,"")</f>
        <v>7.0223422832519642</v>
      </c>
      <c r="BX11" s="239">
        <f>IF($AZ11&lt;&gt;"",$AZ11/'Elements and ions'!$B$18,"")</f>
        <v>1.2410797393732547</v>
      </c>
      <c r="BY11" s="239">
        <f>IF($BA11&lt;&gt;"",$BA11/'Elements and ions'!$G$7,"")</f>
        <v>0.22578860702944445</v>
      </c>
      <c r="BZ11" s="241">
        <f>IF($BB11&lt;&gt;"",$BB11/'Elements and ions'!$G$5,"")</f>
        <v>1.1346767628608845</v>
      </c>
      <c r="CA11" s="91">
        <f t="shared" si="67"/>
        <v>3.9810717055349573E-5</v>
      </c>
      <c r="CB11" s="163" t="str">
        <f>IF($BD11&lt;&gt;"",$BD11/'Elements and ions'!$B$14,"")</f>
        <v/>
      </c>
      <c r="CC11" s="89" t="str">
        <f>IF($BE11&lt;&gt;"",$BE11/'Elements and ions'!$B$27, "")</f>
        <v/>
      </c>
      <c r="CD11" s="249" t="str">
        <f>IF($BF11&lt;&gt;"",$BF11/'Elements and ions'!$B$26,"")</f>
        <v/>
      </c>
      <c r="CE11" s="250" t="str">
        <f>IF($BG11&lt;&gt;"",$BG11/'Elements and ions'!$G$6,"")</f>
        <v/>
      </c>
      <c r="CF11" s="91" t="str">
        <f>IF($BH11&lt;&gt;"",$BH11/'Elements and ions'!$G$15,"")</f>
        <v/>
      </c>
      <c r="CG11" s="89" t="str">
        <f>IF($BI11&lt;&gt;"",$BI11/'Elements and ions'!$G$16,"")</f>
        <v/>
      </c>
      <c r="CH11" s="90">
        <f>IF($BJ11&lt;&gt;"",$BJ11/'Elements and ions'!$G$2,"")</f>
        <v>0.55780447494851726</v>
      </c>
      <c r="CI11" s="91">
        <f>IF($BK11&lt;&gt;"",$BK11/'Elements and ions'!$B$15, "")</f>
        <v>0.56968898541952251</v>
      </c>
      <c r="CJ11" s="88" t="str">
        <f>IF($BL11&lt;&gt;"", $BL11/'Elements and ions'!$G$17,"")</f>
        <v/>
      </c>
      <c r="CK11" s="89">
        <f t="shared" si="68"/>
        <v>2.5118864315095779E-4</v>
      </c>
      <c r="CL11" s="163" t="str">
        <f>IF($BN11&lt;&gt;"", $BN11/'Elements and ions'!$G$19,"")</f>
        <v/>
      </c>
      <c r="CM11" s="89">
        <f>IF($BO11&lt;&gt;"",$BO11/'Elements and ions'!$G$4,"")</f>
        <v>8.8406051507025352E-3</v>
      </c>
      <c r="CN11" s="89">
        <f>IF($BP11&lt;&gt;"",$BP11/'Elements and ions'!$B$10,"")</f>
        <v>4.2108802070270838E-2</v>
      </c>
      <c r="CO11" s="104" t="str">
        <f>IF($BQ11&lt;&gt;"",$BQ11/'Elements and ions'!$G$18,"")</f>
        <v/>
      </c>
      <c r="CP11" s="242"/>
      <c r="CQ11" s="238">
        <f t="shared" si="94"/>
        <v>1.7399043684530617E-3</v>
      </c>
      <c r="CR11" s="239" t="str">
        <f t="shared" si="95"/>
        <v/>
      </c>
      <c r="CS11" s="239">
        <f t="shared" si="96"/>
        <v>1.9212535555666449E-3</v>
      </c>
      <c r="CT11" s="241">
        <f t="shared" si="97"/>
        <v>1.6046081053281219E-3</v>
      </c>
      <c r="CU11" s="238">
        <f t="shared" si="11"/>
        <v>7.0223422832519644E-3</v>
      </c>
      <c r="CV11" s="239">
        <f t="shared" si="12"/>
        <v>1.2410797393732546E-3</v>
      </c>
      <c r="CW11" s="239">
        <f t="shared" si="13"/>
        <v>2.2578860702944444E-4</v>
      </c>
      <c r="CX11" s="241">
        <f t="shared" si="69"/>
        <v>1.1346767628608845E-3</v>
      </c>
      <c r="CY11" s="258">
        <f t="shared" si="98"/>
        <v>3.981071705534957E-8</v>
      </c>
      <c r="CZ11" s="259" t="str">
        <f t="shared" si="99"/>
        <v/>
      </c>
      <c r="DA11" s="260" t="str">
        <f t="shared" si="100"/>
        <v/>
      </c>
      <c r="DB11" s="261" t="str">
        <f t="shared" si="101"/>
        <v/>
      </c>
      <c r="DC11" s="262" t="str">
        <f t="shared" si="102"/>
        <v/>
      </c>
      <c r="DD11" s="263" t="str">
        <f t="shared" si="103"/>
        <v/>
      </c>
      <c r="DE11" s="259" t="str">
        <f t="shared" si="104"/>
        <v/>
      </c>
      <c r="DF11" s="260">
        <f t="shared" si="105"/>
        <v>5.5780447494851722E-4</v>
      </c>
      <c r="DG11" s="260">
        <f t="shared" si="106"/>
        <v>5.6968898541952251E-4</v>
      </c>
      <c r="DH11" s="264" t="str">
        <f t="shared" si="107"/>
        <v/>
      </c>
      <c r="DI11" s="258">
        <f t="shared" si="108"/>
        <v>2.511886431509578E-7</v>
      </c>
      <c r="DJ11" s="260" t="str">
        <f t="shared" si="109"/>
        <v/>
      </c>
      <c r="DK11" s="260">
        <f t="shared" si="110"/>
        <v>8.840605150702535E-6</v>
      </c>
      <c r="DL11" s="260">
        <f t="shared" si="111"/>
        <v>4.210880207027084E-5</v>
      </c>
      <c r="DM11" s="265" t="str">
        <f t="shared" si="112"/>
        <v/>
      </c>
      <c r="DN11" s="242"/>
      <c r="DO11" s="238">
        <f t="shared" si="18"/>
        <v>1.7399043684530617</v>
      </c>
      <c r="DP11" s="239">
        <f t="shared" si="19"/>
        <v>0</v>
      </c>
      <c r="DQ11" s="239">
        <f t="shared" si="20"/>
        <v>3.84250711113329</v>
      </c>
      <c r="DR11" s="241">
        <f t="shared" si="21"/>
        <v>3.2092162106562436</v>
      </c>
      <c r="DS11" s="238">
        <f t="shared" si="22"/>
        <v>-7.0223422832519642</v>
      </c>
      <c r="DT11" s="239">
        <f t="shared" si="23"/>
        <v>-1.2410797393732547</v>
      </c>
      <c r="DU11" s="239">
        <f t="shared" si="24"/>
        <v>-0.22578860702944445</v>
      </c>
      <c r="DV11" s="241">
        <f t="shared" si="25"/>
        <v>-2.269353525721769</v>
      </c>
      <c r="DW11" s="91">
        <f t="shared" si="113"/>
        <v>3.9810717055349573E-5</v>
      </c>
      <c r="DX11" s="89">
        <f t="shared" si="114"/>
        <v>0</v>
      </c>
      <c r="DY11" s="89">
        <f t="shared" si="115"/>
        <v>0</v>
      </c>
      <c r="DZ11" s="89">
        <f t="shared" si="116"/>
        <v>0</v>
      </c>
      <c r="EA11" s="90">
        <f t="shared" si="117"/>
        <v>0</v>
      </c>
      <c r="EB11" s="91">
        <f t="shared" si="118"/>
        <v>-2.5118864315095779E-4</v>
      </c>
      <c r="EC11" s="89">
        <f t="shared" si="119"/>
        <v>0</v>
      </c>
      <c r="ED11" s="89">
        <f t="shared" si="120"/>
        <v>-1.768121030140507E-2</v>
      </c>
      <c r="EE11" s="89">
        <f t="shared" si="121"/>
        <v>-4.2108802070270838E-2</v>
      </c>
      <c r="EF11" s="90">
        <f t="shared" si="122"/>
        <v>0</v>
      </c>
      <c r="EG11" s="242"/>
      <c r="EH11" s="245">
        <f t="shared" si="123"/>
        <v>8.791667500959651</v>
      </c>
      <c r="EI11" s="246">
        <f t="shared" si="124"/>
        <v>-10.818605356391259</v>
      </c>
      <c r="EJ11" s="198">
        <f t="shared" si="83"/>
        <v>-10.33610225709741</v>
      </c>
      <c r="EK11" s="198">
        <f t="shared" si="27"/>
        <v>2.3777765595111605E-2</v>
      </c>
      <c r="EL11" s="91">
        <f>IF(AND(CS11&lt;&gt;"",DK11&lt;&gt;""),LOG(CS11*DK11/Minerals!$C$6),"")</f>
        <v>0.71023868450162153</v>
      </c>
      <c r="EM11" s="89">
        <f>IF(AND(CS11&lt;&gt;"",DK11&lt;&gt;""),LOG(CS11*DK11/Minerals!$C$5),"")</f>
        <v>0.57975915514540388</v>
      </c>
      <c r="EN11" s="89">
        <f>IF(AND(CS11&lt;&gt;"",DL11&lt;&gt;""),LOG(CS11*DL11^2/Minerals!$C$2),"")</f>
        <v>-0.89774459812561047</v>
      </c>
      <c r="EO11" s="89">
        <f>IF(AND(CS11&lt;&gt;"",CX11&lt;&gt;""),LOG($CS11*$CX11/Minerals!$C$3),"")</f>
        <v>-1.0615627898285258</v>
      </c>
      <c r="EP11" s="90">
        <f>IF(AND(CS11&lt;&gt;"",CX11&lt;&gt;""),LOG($CS11*$CX11/Minerals!$C$4),"")</f>
        <v>-1.3015473012944283</v>
      </c>
      <c r="EQ11" s="198"/>
      <c r="ER11" s="91">
        <f t="shared" si="28"/>
        <v>0.8574332727683196</v>
      </c>
      <c r="ES11" s="89">
        <f t="shared" si="28"/>
        <v>0.8574332727683196</v>
      </c>
      <c r="ET11" s="89">
        <f t="shared" si="29"/>
        <v>0.54050700815163932</v>
      </c>
      <c r="EU11" s="89">
        <f t="shared" si="29"/>
        <v>0.54050700815163932</v>
      </c>
      <c r="EV11" s="90">
        <f t="shared" si="29"/>
        <v>0.54050700815163932</v>
      </c>
      <c r="EW11" s="91">
        <f t="shared" si="30"/>
        <v>0.8574332727683196</v>
      </c>
      <c r="EX11" s="89">
        <f t="shared" si="31"/>
        <v>0.54050700815163932</v>
      </c>
      <c r="EY11" s="89">
        <f t="shared" si="30"/>
        <v>0.8574332727683196</v>
      </c>
      <c r="EZ11" s="89">
        <f t="shared" si="30"/>
        <v>0.8574332727683196</v>
      </c>
      <c r="FA11" s="89">
        <f t="shared" si="165"/>
        <v>0.8574332727683196</v>
      </c>
      <c r="FB11" s="90">
        <f t="shared" si="32"/>
        <v>0.54050700815163932</v>
      </c>
      <c r="FC11" s="198"/>
      <c r="FD11" s="91">
        <f t="shared" si="33"/>
        <v>1.4918518969466049E-3</v>
      </c>
      <c r="FE11" s="89" t="str">
        <f t="shared" si="34"/>
        <v/>
      </c>
      <c r="FF11" s="89">
        <f t="shared" si="35"/>
        <v>1.0384510112200266E-3</v>
      </c>
      <c r="FG11" s="89">
        <f t="shared" si="36"/>
        <v>8.6730192626677369E-4</v>
      </c>
      <c r="FH11" s="90" t="str">
        <f t="shared" si="37"/>
        <v/>
      </c>
      <c r="FI11" s="91">
        <f t="shared" si="85"/>
        <v>6.0211899264280859E-3</v>
      </c>
      <c r="FJ11" s="89">
        <f t="shared" si="38"/>
        <v>4.7784090402562E-6</v>
      </c>
      <c r="FK11" s="89">
        <f t="shared" si="39"/>
        <v>1.0641430626972628E-3</v>
      </c>
      <c r="FL11" s="89">
        <f t="shared" si="40"/>
        <v>1.9359866427905655E-4</v>
      </c>
      <c r="FM11" s="89">
        <f t="shared" si="41"/>
        <v>3.6105487971465719E-5</v>
      </c>
      <c r="FN11" s="90">
        <f t="shared" si="42"/>
        <v>6.1330074231312384E-4</v>
      </c>
      <c r="FO11" s="198"/>
      <c r="FP11" s="91">
        <f>IF(EL11&lt;&gt;"",LOG(FF11*FJ11/Minerals!$C$6),"")</f>
        <v>0.1758413431777959</v>
      </c>
      <c r="FQ11" s="89">
        <f>IF(EL11&lt;&gt;"",LOG(FF11*FJ11/Minerals!$C$5),"")</f>
        <v>4.5361813821578188E-2</v>
      </c>
      <c r="FR11" s="89">
        <f>IF(EN11&lt;&gt;"",LOG(FF11*FM11^2/Minerals!$C$2),"")</f>
        <v>-1.2985426041184798</v>
      </c>
      <c r="FS11" s="89">
        <f>IF(EO11&lt;&gt;"",LOG($FF11*$FN11/Minerals!$C$3),"")</f>
        <v>-1.5959601311523515</v>
      </c>
      <c r="FT11" s="90">
        <f>IF(EP11&lt;&gt;"",LOG($FF11*$FN11/Minerals!$C$4),"")</f>
        <v>-1.835944642618254</v>
      </c>
      <c r="FU11" s="163"/>
      <c r="FV11" s="91">
        <f>IF(FP11&lt;&gt;"",LOG(FF11*FJ11/(EXP(-1*Minerals!$E$6/'Other Constants'!$B$2*(1/(273.15+'ppm-mgL-1'!$D11)-1/298.15)+LN(Minerals!$C$6)))),"")</f>
        <v>0.17584134317779654</v>
      </c>
      <c r="FW11" s="89">
        <f>IF(FP11&lt;&gt;"",LOG(FF11*FJ11/(EXP(-1*Minerals!$E$5/'Other Constants'!$B$2*(1/(273.15+'ppm-mgL-1'!$D11)-1/298.15)+LN(Minerals!$C$5)))),"")</f>
        <v>4.5361813821578709E-2</v>
      </c>
      <c r="FX11" s="89">
        <f>IF(FR11&lt;&gt;"",LOG(FF11*FM11^2/(EXP(-1*Minerals!$E$2/'Other Constants'!$B$2*(1/(273.15+'ppm-mgL-1'!$D11)-1/298.15)+LN(Minerals!$C$2)))),"")</f>
        <v>-1.2985426041184798</v>
      </c>
      <c r="FY11" s="89">
        <f>IF(FS11&lt;&gt;"",LOG($FF11*$FN11/(EXP(-1*Minerals!$E$3/'Other Constants'!$B$2*(1/(273.15+'ppm-mgL-1'!$D11)-1/298.15)+LN(Minerals!$C$3)))),"")</f>
        <v>-1.5959601311523515</v>
      </c>
      <c r="FZ11" s="90">
        <f>LOG($FF11*$FN11/(EXP(-1*Minerals!$E$4/'Other Constants'!$B$2*(1/(273.15+'ppm-mgL-1'!$D11)-1/298.15)+LN(Minerals!$C$4))))</f>
        <v>-1.8359446426182535</v>
      </c>
      <c r="GA11" s="163"/>
      <c r="GB11" s="163"/>
      <c r="GC11" s="91">
        <f>10^(-1825000*(79.755*EXP(-0.0046*($D11-20))*($D11+273.15))^-1.5*$EK11^0.5/(1+'Elements and ions'!$D$12*$EK11^0.5/(2*(79.755*EXP(-0.0046*($D11-20))*($D11+273.15))^0.5)))</f>
        <v>0.85886835912836312</v>
      </c>
      <c r="GD11" s="89">
        <f>10^(-1825000*(79.755*EXP(-0.0046*($D11-20))*($D11+273.15))^-1.5*$EK11^0.5/(1+'Elements and ions'!$D$20*$EK11^0.5/(2*(79.755*EXP(-0.0046*($D11-20))*($D11+273.15))^0.5)))</f>
        <v>0.85314934215249194</v>
      </c>
      <c r="GE11" s="89">
        <f>10^(-1825000*(79.755*EXP(-0.0046*($D11-20))*($D11+273.15))^-1.5*4*$EK11^0.5/(1+'Elements and ions'!$D$21*$EK11^0.5/(2*(79.755*EXP(-0.0046*($D11-20))*($D11+273.15))^0.5)))</f>
        <v>0.57044883608958419</v>
      </c>
      <c r="GF11" s="89">
        <f>10^(-1825000*(79.755*EXP(-0.0046*($D11-20))*($D11+273.15))^-1.5*4*$EK11^0.5/(1+'Elements and ions'!$D$13*$EK11^0.5/(2*(79.755*EXP(-0.0046*($D11-20))*($D11+273.15))^0.5)))</f>
        <v>0.59398142931286357</v>
      </c>
      <c r="GG11" s="90">
        <f>10^(-1825000*(79.755*EXP(-0.0046*($D11-20))*($D11+273.15))^-1.5*4*$EK11^0.5/(1+'Elements and ions'!$D$27*$EK11^0.5/(2*(79.755*EXP(-0.0046*($D11-20))*($D11+273.15))^0.5)))</f>
        <v>0.57044883608958419</v>
      </c>
      <c r="GH11" s="91">
        <f>10^(-1825000*(79.755*EXP(-0.0046*($D11-20))*($D11+273.15))^-1.5*$EK11^0.5/(1+'Elements and ions'!$G$3*$EK11^0.5/(2*(79.755*EXP(-0.0046*($D11-20))*($D11+273.15))^0.5)))</f>
        <v>0.83740894958582845</v>
      </c>
      <c r="GI11" s="89">
        <f>10^(-1825000*(79.755*EXP(-0.0046*($D11-20))*($D11+273.15))^-1.5*4*$EK11^0.5/(1+'Elements and ions'!$G$4*$EK11^0.5/(2*(79.755*EXP(-0.0046*($D11-20))*($D11+273.15))^0.5)))</f>
        <v>0.49158415877498302</v>
      </c>
      <c r="GJ11" s="89">
        <f>10^(-1825000*(79.755*EXP(-0.0046*($D11-20))*($D11+273.15))^-1.5*$EK11^0.5/(1+'Elements and ions'!$D$18*$EK11^0.5/(2*(79.755*EXP(-0.0046*($D11-20))*($D11+273.15))^0.5)))</f>
        <v>0.85314934215249194</v>
      </c>
      <c r="GK11" s="89">
        <f>10^(-1825000*(79.755*EXP(-0.0046*($D11-20))*($D11+273.15))^-1.5*$EK11^0.5/(1+'Elements and ions'!$I$7*$EK11^0.5/(2*(79.755*EXP(-0.0046*($D11-20))*($D11+273.15))^0.5)))</f>
        <v>0.85314934215249194</v>
      </c>
      <c r="GL11" s="89">
        <f>10^(-1825000*(79.755*EXP(-0.0046*($D11-20))*($D11+273.15))^-1.5*$EK11^0.5/(1+'Elements and ions'!$D$10*$EK11^0.5/(2*(79.755*EXP(-0.0046*($D11-20))*($D11+273.15))^0.5)))</f>
        <v>0.85606551377629236</v>
      </c>
      <c r="GM11" s="90">
        <f>10^(-1825000*(79.755*EXP(-0.0046*($D11-20))*($D11+273.15))^-1.5*4*$EK11^0.5/(1+'Elements and ions'!$I$5*$EK11^0.5/(2*(79.755*EXP(-0.0046*($D11-20))*($D11+273.15))^0.5)))</f>
        <v>0.54413468999107095</v>
      </c>
      <c r="GN11" s="163"/>
      <c r="GO11" s="91">
        <f t="shared" si="43"/>
        <v>1.4943488099735519E-3</v>
      </c>
      <c r="GP11" s="89" t="str">
        <f t="shared" si="44"/>
        <v/>
      </c>
      <c r="GQ11" s="89">
        <f t="shared" si="45"/>
        <v>1.0959768546059678E-3</v>
      </c>
      <c r="GR11" s="89">
        <f t="shared" si="46"/>
        <v>9.5310741588980374E-4</v>
      </c>
      <c r="GS11" s="90" t="str">
        <f t="shared" si="47"/>
        <v/>
      </c>
      <c r="GT11" s="91">
        <f t="shared" si="48"/>
        <v>5.8805722750501759E-3</v>
      </c>
      <c r="GU11" s="89">
        <f t="shared" si="49"/>
        <v>4.3459014460698876E-6</v>
      </c>
      <c r="GV11" s="89">
        <f t="shared" si="50"/>
        <v>1.0588263632050783E-3</v>
      </c>
      <c r="GW11" s="89">
        <f t="shared" si="51"/>
        <v>1.9263140155269804E-4</v>
      </c>
      <c r="GX11" s="89">
        <f t="shared" si="52"/>
        <v>3.6047893278790613E-5</v>
      </c>
      <c r="GY11" s="97">
        <f t="shared" si="53"/>
        <v>6.1741698859937931E-4</v>
      </c>
      <c r="GZ11" s="198"/>
      <c r="HA11" s="88">
        <f>IF(AND(GQ11&lt;&gt;"",GU11&lt;&gt;""),LOG(GQ11*GU11/Minerals!$C$6),"")</f>
        <v>0.1580532622267925</v>
      </c>
      <c r="HB11" s="89">
        <f>IF(AND(GQ11&lt;&gt;"",GU11&lt;&gt;""),LOG(GQ11*GU11/Minerals!$C$5),"")</f>
        <v>2.75737328705748E-2</v>
      </c>
      <c r="HC11" s="89">
        <f>IF(AND(GQ11&lt;&gt;"",GX11&lt;&gt;""),LOG(GQ11*GX11^2/Minerals!$C$2),"")</f>
        <v>-1.2765138956860236</v>
      </c>
      <c r="HD11" s="89">
        <f>IF(AND(GQ11&lt;&gt;"",GY11&lt;&gt;""),LOG($GQ11*$GY11/Minerals!$C$3),"")</f>
        <v>-1.5696396772866126</v>
      </c>
      <c r="HE11" s="97">
        <f>IF(AND(GQ11&lt;&gt;"",GY11&lt;&gt;""),LOG($GQ11*$GY11/Minerals!$C$3),"")</f>
        <v>-1.5696396772866126</v>
      </c>
      <c r="HF11" s="198"/>
      <c r="HG11" s="88">
        <f>IF(HA11&lt;&gt;"",LOG(GQ11*GU11/(EXP(-1*Minerals!$E$6/'Other Constants'!$B$2*(1/(273.15+'ppm-mgL-1'!$D11)-1/298.15)+LN(Minerals!$C$6)))),"")</f>
        <v>0.15805326222679317</v>
      </c>
      <c r="HH11" s="89">
        <f>IF(HA11&lt;&gt;"",LOG(GQ11*GU11/(EXP(-1*Minerals!$E$5/'Other Constants'!$B$2*(1/(273.15+'ppm-mgL-1'!$D11)-1/298.15)+LN(Minerals!$C$5)))),"")</f>
        <v>2.7573732870575345E-2</v>
      </c>
      <c r="HI11" s="89">
        <f>IF(HC11&lt;&gt;"",LOG(GQ11*GX11^2/(EXP(-1*Minerals!$E$2/'Other Constants'!$B$2*(1/(273.15+'ppm-mgL-1'!$D11)-1/298.15)+LN(Minerals!$C$2)))),"")</f>
        <v>-1.2765138956860236</v>
      </c>
      <c r="HJ11" s="89">
        <f>IF(HD11&lt;&gt;"",LOG($FF11*$FN11/(EXP(-1*Minerals!$E$3/'Other Constants'!$B$2*(1/(273.15+'ppm-mgL-1'!$D11)-1/298.15)+LN(Minerals!$C$3)))),"")</f>
        <v>-1.5959601311523515</v>
      </c>
      <c r="HK11" s="90">
        <f>LOG($FF11*$FN11/(EXP(-1*Minerals!$E$4/'Other Constants'!$B$2*(1/(273.15+'ppm-mgL-1'!$D11)-1/298.15)+LN(Minerals!$C$4))))</f>
        <v>-1.8359446426182535</v>
      </c>
      <c r="HL11" s="198"/>
      <c r="HM11" s="198"/>
    </row>
    <row r="12" spans="1:221" customFormat="1" x14ac:dyDescent="0.25">
      <c r="A12" s="3"/>
      <c r="B12" s="6" t="s">
        <v>163</v>
      </c>
      <c r="C12" s="215"/>
      <c r="D12" s="3">
        <v>15</v>
      </c>
      <c r="E12" s="4">
        <v>8.1999999999999993</v>
      </c>
      <c r="F12" s="4"/>
      <c r="G12" s="4"/>
      <c r="H12" s="5"/>
      <c r="I12" s="3" t="str">
        <f t="shared" si="54"/>
        <v/>
      </c>
      <c r="J12" s="4" t="str">
        <f t="shared" si="55"/>
        <v/>
      </c>
      <c r="K12" s="3" t="str">
        <f t="shared" si="56"/>
        <v/>
      </c>
      <c r="L12" s="4" t="str">
        <f t="shared" si="1"/>
        <v/>
      </c>
      <c r="M12" s="3" t="str">
        <f t="shared" si="0"/>
        <v/>
      </c>
      <c r="N12" s="4" t="str">
        <f t="shared" ref="N12" si="174">IF(M12&lt;&gt;"", IF($D12&lt;&gt;"",M12*2.303*0.0019858*($D12+273.15)/23.06, 0.059*M12),"")</f>
        <v/>
      </c>
      <c r="O12" s="3" t="str">
        <f t="shared" si="2"/>
        <v/>
      </c>
      <c r="P12" s="4" t="str">
        <f t="shared" ref="P12" si="175">IF(O12&lt;&gt;"", IF($D12&lt;&gt;"",O12*2.303*0.0019858*($D12+273.15)/23.06, 0.059*O12),"")</f>
        <v/>
      </c>
      <c r="Q12" s="3" t="str">
        <f t="shared" si="3"/>
        <v/>
      </c>
      <c r="R12" s="4" t="str">
        <f t="shared" ref="R12" si="176">IF(Q12&lt;&gt;"", IF($D12&lt;&gt;"",Q12*2.303*0.0019858*($D12+273.15)/23.06, 0.059*Q12),"")</f>
        <v/>
      </c>
      <c r="S12" s="3" t="str">
        <f t="shared" si="4"/>
        <v/>
      </c>
      <c r="T12" s="4" t="str">
        <f t="shared" ref="T12" si="177">IF(S12&lt;&gt;"", IF($D12&lt;&gt;"",S12*2.303*0.0019858*($D12+273.15)/23.06, 0.059*S12),"")</f>
        <v/>
      </c>
      <c r="U12" s="3">
        <f>IF(AND($E12&lt;&gt;"",$CX12&lt;&gt;"",$DG12&lt;&gt;""),IF($E12&lt;7,5.12-5/4*$E12+1/8*LOG($CX12/$DG12),4.25-9/8*$E12+1/8*(LOG($CX12)-$E12-LOG($DG12)+pKa!$B$3)),"")</f>
        <v>-5.1002098021482398</v>
      </c>
      <c r="V12" s="4">
        <f t="shared" ref="V12" si="178">IF(U12&lt;&gt;"", IF($D12&lt;&gt;"",U12*2.303*0.0019858*($D12+273.15)/23.06, 0.059*U12),"")</f>
        <v>-0.29145855463956771</v>
      </c>
      <c r="W12" s="3" t="str">
        <f t="shared" si="5"/>
        <v/>
      </c>
      <c r="X12" s="4" t="str">
        <f t="shared" ref="X12" si="179">IF(W12&lt;&gt;"", IF($D12&lt;&gt;"",W12*2.303*0.0019858*($D12+273.15)/23.06, 0.059*W12),"")</f>
        <v/>
      </c>
      <c r="Y12" s="3" t="str">
        <f t="shared" si="6"/>
        <v/>
      </c>
      <c r="Z12" s="4" t="str">
        <f t="shared" ref="Z12" si="180">IF(Y12&lt;&gt;"", IF($D12&lt;&gt;"",Y12*2.303*0.0019858*($D12+273.15)/23.06, 0.059*Y12),"")</f>
        <v/>
      </c>
      <c r="AA12" s="3" t="str">
        <f t="shared" si="7"/>
        <v/>
      </c>
      <c r="AB12" s="4" t="str">
        <f t="shared" ref="AB12" si="181">IF(AA12&lt;&gt;"", IF($D12&lt;&gt;"",AA12*2.303*0.0019858*($D12+273.15)/23.06, 0.059*AA12),"")</f>
        <v/>
      </c>
      <c r="AC12" s="4"/>
      <c r="AD12" s="83">
        <f>IF(E12&lt;&gt;"",10^(-2*$E12)/(10^(-2*$E12)+10^(-$E12-pKa!$B$2)+(10^(-pKa!$B$2-pKa!$C$2))),"")</f>
        <v>1.2335965457355316E-2</v>
      </c>
      <c r="AE12" s="84">
        <f>IF(E12&lt;&gt;"",10^(-$E12-pKa!$B$2)/(10^(-2*$E12)+10^(-$E12-pKa!$B$2)+10^(-pKa!$B$2-pKa!$C$2)),"")</f>
        <v>0.97988056653607236</v>
      </c>
      <c r="AF12" s="212">
        <f>IF(E12&lt;&gt;"",10^(-pKa!$B$2-pKa!$C$2)/(10^(-2*$E12)+10^(-$E12-pKa!$B$2)+10^(-pKa!$B$2-pKa!$C$2)),"")</f>
        <v>7.7834680065722618E-3</v>
      </c>
      <c r="AG12" s="152"/>
      <c r="AH12" s="222">
        <f>IF($AK12&lt;&gt;"",$AK12/'Elements and ions'!$G$3,IF($E12="","","Enter Alk(HCO3-)"))</f>
        <v>10.32501847031082</v>
      </c>
      <c r="AI12" s="85">
        <f t="shared" si="65"/>
        <v>1.0372236471824099E-2</v>
      </c>
      <c r="AJ12" s="84">
        <f>IF(AI12&lt;&gt;"",AI12*1000*'Elements and ions'!$B$7,"")</f>
        <v>124.5778205921377</v>
      </c>
      <c r="AK12" s="99">
        <v>630</v>
      </c>
      <c r="AL12" s="88">
        <f>IF($AK12&lt;&gt;"",$AK12/'Elements and ions'!$G$3*Minerals!$B$6/2,IF($E12="","","Enter Alk(HCO3-)"))</f>
        <v>516.69954556807602</v>
      </c>
      <c r="AM12" s="198"/>
      <c r="AN12" s="91">
        <f>IF(AND($E12&lt;&gt;"",AI12&lt;&gt;""),AI12*AD12,"")</f>
        <v>1.2795155083194306E-4</v>
      </c>
      <c r="AO12" s="89">
        <f t="shared" si="9"/>
        <v>1.016355295025711E-2</v>
      </c>
      <c r="AP12" s="90">
        <f t="shared" si="10"/>
        <v>8.0731970735044834E-5</v>
      </c>
      <c r="AQ12" s="198"/>
      <c r="AR12" s="198"/>
      <c r="AS12" s="83">
        <f t="shared" si="66"/>
        <v>0.37632809068218537</v>
      </c>
      <c r="AT12" s="83">
        <f>IF(AN12&lt;&gt;"",AN12/'Henrys law constants'!$B$7*1000000,"")</f>
        <v>3763.2809068218539</v>
      </c>
      <c r="AU12" s="3">
        <v>284</v>
      </c>
      <c r="AV12" s="6"/>
      <c r="AW12" s="6">
        <v>72</v>
      </c>
      <c r="AX12" s="6">
        <v>12</v>
      </c>
      <c r="AY12" s="226">
        <f>AO12*'Elements and ions'!$G$3*1000</f>
        <v>620.14788419736601</v>
      </c>
      <c r="AZ12" s="6">
        <v>80</v>
      </c>
      <c r="BA12" s="6">
        <v>66</v>
      </c>
      <c r="BB12" s="5">
        <v>162</v>
      </c>
      <c r="BC12" s="222">
        <f>IF($E12&lt;&gt;"",10^-$E12*'Elements and ions'!B11*1000,"")</f>
        <v>1.2732529924406956E-4</v>
      </c>
      <c r="BD12" s="4"/>
      <c r="BE12" s="6"/>
      <c r="BF12" s="6"/>
      <c r="BG12" s="5"/>
      <c r="BH12" s="3"/>
      <c r="BI12" s="4"/>
      <c r="BJ12" s="88">
        <f>IF($AN12&lt;&gt;"",$AN12*'Elements and ions'!$G$2*1000,"")</f>
        <v>7.9361667910100833</v>
      </c>
      <c r="BK12" s="229">
        <v>30</v>
      </c>
      <c r="BL12" s="230"/>
      <c r="BM12" s="91">
        <f>IF($E12&lt;&gt;"",(10^-14+$E12)*'Elements and ions'!$G$8,"")</f>
        <v>139.46018800000016</v>
      </c>
      <c r="BN12" s="4"/>
      <c r="BO12" s="97">
        <f>IF($AP12&lt;&gt;"",$AP12*'Elements and ions'!$G$4*1000,"")</f>
        <v>4.8446367586422321</v>
      </c>
      <c r="BP12" s="6">
        <v>29</v>
      </c>
      <c r="BQ12" s="5"/>
      <c r="BR12" s="195"/>
      <c r="BS12" s="238">
        <f>IF($AU12&lt;&gt;"",$AU12/'Elements and ions'!$B$12,"")</f>
        <v>12.353321016016737</v>
      </c>
      <c r="BT12" s="239" t="str">
        <f>IF($AV12&lt;&gt;"",$AV12/'Elements and ions'!$B$20,"")</f>
        <v/>
      </c>
      <c r="BU12" s="239">
        <f>IF($AW12&lt;&gt;"",$AW12/'Elements and ions'!$B$21, "")</f>
        <v>1.7964968311792004</v>
      </c>
      <c r="BV12" s="240">
        <f>IF($AX12&lt;&gt;"",$AX12/'Elements and ions'!$B$13, "")</f>
        <v>0.49372557087019131</v>
      </c>
      <c r="BW12" s="238">
        <f>IF($AY12&lt;&gt;"",$AY12/'Elements and ions'!$G$3,"")</f>
        <v>10.16355295025711</v>
      </c>
      <c r="BX12" s="239">
        <f>IF($AZ12&lt;&gt;"",$AZ12/'Elements and ions'!$B$18,"")</f>
        <v>2.256508617042281</v>
      </c>
      <c r="BY12" s="239">
        <f>IF($BA12&lt;&gt;"",$BA12/'Elements and ions'!$G$7,"")</f>
        <v>1.064432004567381</v>
      </c>
      <c r="BZ12" s="241">
        <f>IF($BB12&lt;&gt;"",$BB12/'Elements and ions'!$G$5,"")</f>
        <v>1.6864003264537915</v>
      </c>
      <c r="CA12" s="91">
        <f t="shared" si="67"/>
        <v>6.309573444801933E-6</v>
      </c>
      <c r="CB12" s="163" t="str">
        <f>IF($BD12&lt;&gt;"",$BD12/'Elements and ions'!$B$14,"")</f>
        <v/>
      </c>
      <c r="CC12" s="89" t="str">
        <f>IF($BE12&lt;&gt;"",$BE12/'Elements and ions'!$B$27, "")</f>
        <v/>
      </c>
      <c r="CD12" s="249" t="str">
        <f>IF($BF12&lt;&gt;"",$BF12/'Elements and ions'!$B$26,"")</f>
        <v/>
      </c>
      <c r="CE12" s="250" t="str">
        <f>IF($BG12&lt;&gt;"",$BG12/'Elements and ions'!$G$6,"")</f>
        <v/>
      </c>
      <c r="CF12" s="91" t="str">
        <f>IF($BH12&lt;&gt;"",$BH12/'Elements and ions'!$G$15,"")</f>
        <v/>
      </c>
      <c r="CG12" s="89" t="str">
        <f>IF($BI12&lt;&gt;"",$BI12/'Elements and ions'!$G$16,"")</f>
        <v/>
      </c>
      <c r="CH12" s="90">
        <f>IF($BJ12&lt;&gt;"",$BJ12/'Elements and ions'!$G$2,"")</f>
        <v>0.12795155083194304</v>
      </c>
      <c r="CI12" s="91">
        <f>IF($BK12&lt;&gt;"",$BK12/'Elements and ions'!$B$15, "")</f>
        <v>1.0681668476616049</v>
      </c>
      <c r="CJ12" s="88" t="str">
        <f>IF($BL12&lt;&gt;"", $BL12/'Elements and ions'!$G$17,"")</f>
        <v/>
      </c>
      <c r="CK12" s="89">
        <f t="shared" si="68"/>
        <v>1.5848931924611084E-3</v>
      </c>
      <c r="CL12" s="163" t="str">
        <f>IF($BN12&lt;&gt;"", $BN12/'Elements and ions'!$G$19,"")</f>
        <v/>
      </c>
      <c r="CM12" s="89">
        <f>IF($BO12&lt;&gt;"",$BO12/'Elements and ions'!$G$4,"")</f>
        <v>8.0731970735044845E-2</v>
      </c>
      <c r="CN12" s="89">
        <f>IF($BP12&lt;&gt;"",$BP12/'Elements and ions'!$B$10,"")</f>
        <v>1.5264440750473178</v>
      </c>
      <c r="CO12" s="104" t="str">
        <f>IF($BQ12&lt;&gt;"",$BQ12/'Elements and ions'!$G$18,"")</f>
        <v/>
      </c>
      <c r="CP12" s="242"/>
      <c r="CQ12" s="238">
        <f t="shared" si="94"/>
        <v>1.2353321016016737E-2</v>
      </c>
      <c r="CR12" s="239" t="str">
        <f t="shared" si="95"/>
        <v/>
      </c>
      <c r="CS12" s="239">
        <f t="shared" si="96"/>
        <v>1.7964968311792004E-3</v>
      </c>
      <c r="CT12" s="241">
        <f t="shared" si="97"/>
        <v>4.9372557087019127E-4</v>
      </c>
      <c r="CU12" s="238">
        <f t="shared" si="11"/>
        <v>1.016355295025711E-2</v>
      </c>
      <c r="CV12" s="239">
        <f t="shared" si="12"/>
        <v>2.2565086170422809E-3</v>
      </c>
      <c r="CW12" s="239">
        <f t="shared" si="13"/>
        <v>1.0644320045673809E-3</v>
      </c>
      <c r="CX12" s="241">
        <f t="shared" si="69"/>
        <v>1.6864003264537915E-3</v>
      </c>
      <c r="CY12" s="258">
        <f t="shared" si="98"/>
        <v>6.3095734448019329E-9</v>
      </c>
      <c r="CZ12" s="259" t="str">
        <f t="shared" si="99"/>
        <v/>
      </c>
      <c r="DA12" s="260" t="str">
        <f t="shared" si="100"/>
        <v/>
      </c>
      <c r="DB12" s="261" t="str">
        <f t="shared" si="101"/>
        <v/>
      </c>
      <c r="DC12" s="262" t="str">
        <f t="shared" si="102"/>
        <v/>
      </c>
      <c r="DD12" s="263" t="str">
        <f t="shared" si="103"/>
        <v/>
      </c>
      <c r="DE12" s="259" t="str">
        <f t="shared" si="104"/>
        <v/>
      </c>
      <c r="DF12" s="260">
        <f t="shared" si="105"/>
        <v>1.2795155083194303E-4</v>
      </c>
      <c r="DG12" s="260">
        <f t="shared" si="106"/>
        <v>1.0681668476616049E-3</v>
      </c>
      <c r="DH12" s="264" t="str">
        <f t="shared" si="107"/>
        <v/>
      </c>
      <c r="DI12" s="258">
        <f t="shared" si="108"/>
        <v>1.5848931924611084E-6</v>
      </c>
      <c r="DJ12" s="260" t="str">
        <f t="shared" si="109"/>
        <v/>
      </c>
      <c r="DK12" s="260">
        <f t="shared" si="110"/>
        <v>8.0731970735044848E-5</v>
      </c>
      <c r="DL12" s="260">
        <f t="shared" si="111"/>
        <v>1.5264440750473178E-3</v>
      </c>
      <c r="DM12" s="265" t="str">
        <f t="shared" si="112"/>
        <v/>
      </c>
      <c r="DN12" s="242"/>
      <c r="DO12" s="238">
        <f t="shared" si="18"/>
        <v>12.353321016016737</v>
      </c>
      <c r="DP12" s="239">
        <f t="shared" si="19"/>
        <v>0</v>
      </c>
      <c r="DQ12" s="239">
        <f t="shared" si="20"/>
        <v>3.5929936623584009</v>
      </c>
      <c r="DR12" s="241">
        <f t="shared" si="21"/>
        <v>0.98745114174038262</v>
      </c>
      <c r="DS12" s="238">
        <f t="shared" si="22"/>
        <v>-10.16355295025711</v>
      </c>
      <c r="DT12" s="239">
        <f t="shared" si="23"/>
        <v>-2.256508617042281</v>
      </c>
      <c r="DU12" s="239">
        <f t="shared" si="24"/>
        <v>-1.064432004567381</v>
      </c>
      <c r="DV12" s="241">
        <f t="shared" si="25"/>
        <v>-3.3728006529075829</v>
      </c>
      <c r="DW12" s="91">
        <f t="shared" si="113"/>
        <v>6.309573444801933E-6</v>
      </c>
      <c r="DX12" s="89">
        <f t="shared" si="114"/>
        <v>0</v>
      </c>
      <c r="DY12" s="89">
        <f t="shared" si="115"/>
        <v>0</v>
      </c>
      <c r="DZ12" s="89">
        <f t="shared" si="116"/>
        <v>0</v>
      </c>
      <c r="EA12" s="90">
        <f t="shared" si="117"/>
        <v>0</v>
      </c>
      <c r="EB12" s="91">
        <f t="shared" si="118"/>
        <v>-1.5848931924611084E-3</v>
      </c>
      <c r="EC12" s="89">
        <f t="shared" si="119"/>
        <v>0</v>
      </c>
      <c r="ED12" s="89">
        <f t="shared" si="120"/>
        <v>-0.16146394147008969</v>
      </c>
      <c r="EE12" s="89">
        <f t="shared" si="121"/>
        <v>-1.5264440750473178</v>
      </c>
      <c r="EF12" s="90">
        <f t="shared" si="122"/>
        <v>0</v>
      </c>
      <c r="EG12" s="242"/>
      <c r="EH12" s="245">
        <f t="shared" si="123"/>
        <v>16.933772129688965</v>
      </c>
      <c r="EI12" s="246">
        <f t="shared" si="124"/>
        <v>-18.546787134484223</v>
      </c>
      <c r="EJ12" s="198">
        <f t="shared" si="83"/>
        <v>-4.5461938544582488</v>
      </c>
      <c r="EK12" s="198">
        <f t="shared" si="27"/>
        <v>2.9588620245478144E-2</v>
      </c>
      <c r="EL12" s="91">
        <f>IF(AND(CS12&lt;&gt;"",DK12&lt;&gt;""),LOG(CS12*DK12/Minerals!$C$6),"")</f>
        <v>1.6416440158233945</v>
      </c>
      <c r="EM12" s="89">
        <f>IF(AND(CS12&lt;&gt;"",DK12&lt;&gt;""),LOG(CS12*DK12/Minerals!$C$5),"")</f>
        <v>1.5111644864671767</v>
      </c>
      <c r="EN12" s="89">
        <f>IF(AND(CS12&lt;&gt;"",DL12&lt;&gt;""),LOG(CS12*DL12^2/Minerals!$C$2),"")</f>
        <v>2.1917131949472011</v>
      </c>
      <c r="EO12" s="89">
        <f>IF(AND(CS12&lt;&gt;"",CX12&lt;&gt;""),LOG($CS12*$CX12/Minerals!$C$3),"")</f>
        <v>-0.91863250196773205</v>
      </c>
      <c r="EP12" s="90">
        <f>IF(AND(CS12&lt;&gt;"",CX12&lt;&gt;""),LOG($CS12*$CX12/Minerals!$C$4),"")</f>
        <v>-1.1586170134336344</v>
      </c>
      <c r="EQ12" s="198"/>
      <c r="ER12" s="91">
        <f t="shared" si="28"/>
        <v>0.84453231435261766</v>
      </c>
      <c r="ES12" s="89">
        <f t="shared" si="28"/>
        <v>0.84453231435261766</v>
      </c>
      <c r="ET12" s="89">
        <f t="shared" si="29"/>
        <v>0.50870392270485676</v>
      </c>
      <c r="EU12" s="89">
        <f t="shared" si="29"/>
        <v>0.50870392270485676</v>
      </c>
      <c r="EV12" s="90">
        <f t="shared" si="29"/>
        <v>0.50870392270485676</v>
      </c>
      <c r="EW12" s="91">
        <f t="shared" si="30"/>
        <v>0.84453231435261766</v>
      </c>
      <c r="EX12" s="89">
        <f t="shared" si="31"/>
        <v>0.50870392270485676</v>
      </c>
      <c r="EY12" s="89">
        <f t="shared" si="30"/>
        <v>0.84453231435261766</v>
      </c>
      <c r="EZ12" s="89">
        <f t="shared" si="30"/>
        <v>0.84453231435261766</v>
      </c>
      <c r="FA12" s="89">
        <f t="shared" si="165"/>
        <v>0.84453231435261766</v>
      </c>
      <c r="FB12" s="90">
        <f t="shared" si="32"/>
        <v>0.50870392270485676</v>
      </c>
      <c r="FC12" s="198"/>
      <c r="FD12" s="91">
        <f t="shared" si="33"/>
        <v>1.0432778787597446E-2</v>
      </c>
      <c r="FE12" s="89" t="str">
        <f t="shared" si="34"/>
        <v/>
      </c>
      <c r="FF12" s="89">
        <f t="shared" si="35"/>
        <v>9.1388498514770409E-4</v>
      </c>
      <c r="FG12" s="89">
        <f t="shared" si="36"/>
        <v>2.5116013464136105E-4</v>
      </c>
      <c r="FH12" s="90" t="str">
        <f t="shared" si="37"/>
        <v/>
      </c>
      <c r="FI12" s="91">
        <f t="shared" si="85"/>
        <v>8.583448895126012E-3</v>
      </c>
      <c r="FJ12" s="89">
        <f t="shared" si="38"/>
        <v>4.1068670200611012E-5</v>
      </c>
      <c r="FK12" s="89">
        <f t="shared" si="39"/>
        <v>1.9056944447073422E-3</v>
      </c>
      <c r="FL12" s="89">
        <f t="shared" si="40"/>
        <v>8.9894722428828628E-4</v>
      </c>
      <c r="FM12" s="89">
        <f t="shared" si="41"/>
        <v>1.2891313474295521E-3</v>
      </c>
      <c r="FN12" s="90">
        <f t="shared" si="42"/>
        <v>8.578784613177948E-4</v>
      </c>
      <c r="FO12" s="198"/>
      <c r="FP12" s="91">
        <f>IF(EL12&lt;&gt;"",LOG(FF12*FJ12/Minerals!$C$6),"")</f>
        <v>1.0545741889532356</v>
      </c>
      <c r="FQ12" s="89">
        <f>IF(EL12&lt;&gt;"",LOG(FF12*FJ12/Minerals!$C$5),"")</f>
        <v>0.92409465959701798</v>
      </c>
      <c r="FR12" s="89">
        <f>IF(EN12&lt;&gt;"",LOG(FF12*FM12^2/Minerals!$C$2),"")</f>
        <v>1.7514108247945821</v>
      </c>
      <c r="FS12" s="89">
        <f>IF(EO12&lt;&gt;"",LOG($FF12*$FN12/Minerals!$C$3),"")</f>
        <v>-1.5057023288378908</v>
      </c>
      <c r="FT12" s="90">
        <f>IF(EP12&lt;&gt;"",LOG($FF12*$FN12/Minerals!$C$4),"")</f>
        <v>-1.7456868403037931</v>
      </c>
      <c r="FU12" s="163"/>
      <c r="FV12" s="91">
        <f>IF(FP12&lt;&gt;"",LOG(FF12*FJ12/(EXP(-1*Minerals!$E$6/'Other Constants'!$B$2*(1/(273.15+'ppm-mgL-1'!$D12)-1/298.15)+LN(Minerals!$C$6)))),"")</f>
        <v>-2.9808505202885738</v>
      </c>
      <c r="FW12" s="89">
        <f>IF(FP12&lt;&gt;"",LOG(FF12*FJ12/(EXP(-1*Minerals!$E$5/'Other Constants'!$B$2*(1/(273.15+'ppm-mgL-1'!$D12)-1/298.15)+LN(Minerals!$C$5)))),"")</f>
        <v>-3.1116948641551643</v>
      </c>
      <c r="FX12" s="89">
        <f>IF(FR12&lt;&gt;"",LOG(FF12*FM12^2/(EXP(-1*Minerals!$E$2/'Other Constants'!$B$2*(1/(273.15+'ppm-mgL-1'!$D12)-1/298.15)+LN(Minerals!$C$2)))),"")</f>
        <v>1.9220224108122408</v>
      </c>
      <c r="FY12" s="89">
        <f>IF(FS12&lt;&gt;"",LOG($FF12*$FN12/(EXP(-1*Minerals!$E$3/'Other Constants'!$B$2*(1/(273.15+'ppm-mgL-1'!$D12)-1/298.15)+LN(Minerals!$C$3)))),"")</f>
        <v>1.9729742743378407</v>
      </c>
      <c r="FZ12" s="90">
        <f>LOG($FF12*$FN12/(EXP(-1*Minerals!$E$4/'Other Constants'!$B$2*(1/(273.15+'ppm-mgL-1'!$D12)-1/298.15)+LN(Minerals!$C$4))))</f>
        <v>-1.8453420040539508</v>
      </c>
      <c r="GA12" s="163"/>
      <c r="GB12" s="163"/>
      <c r="GC12" s="91">
        <f>10^(-1825000*(79.755*EXP(-0.0046*($D12-20))*($D12+273.15))^-1.5*$EK12^0.5/(1+'Elements and ions'!$D$12*$EK12^0.5/(2*(79.755*EXP(-0.0046*($D12-20))*($D12+273.15))^0.5)))</f>
        <v>0.8489833451258284</v>
      </c>
      <c r="GD12" s="89">
        <f>10^(-1825000*(79.755*EXP(-0.0046*($D12-20))*($D12+273.15))^-1.5*$EK12^0.5/(1+'Elements and ions'!$D$20*$EK12^0.5/(2*(79.755*EXP(-0.0046*($D12-20))*($D12+273.15))^0.5)))</f>
        <v>0.84233680588375259</v>
      </c>
      <c r="GE12" s="89">
        <f>10^(-1825000*(79.755*EXP(-0.0046*($D12-20))*($D12+273.15))^-1.5*4*$EK12^0.5/(1+'Elements and ions'!$D$21*$EK12^0.5/(2*(79.755*EXP(-0.0046*($D12-20))*($D12+273.15))^0.5)))</f>
        <v>0.54886568095775989</v>
      </c>
      <c r="GF12" s="89">
        <f>10^(-1825000*(79.755*EXP(-0.0046*($D12-20))*($D12+273.15))^-1.5*4*$EK12^0.5/(1+'Elements and ions'!$D$13*$EK12^0.5/(2*(79.755*EXP(-0.0046*($D12-20))*($D12+273.15))^0.5)))</f>
        <v>0.57496191878653413</v>
      </c>
      <c r="GG12" s="90">
        <f>10^(-1825000*(79.755*EXP(-0.0046*($D12-20))*($D12+273.15))^-1.5*4*$EK12^0.5/(1+'Elements and ions'!$D$27*$EK12^0.5/(2*(79.755*EXP(-0.0046*($D12-20))*($D12+273.15))^0.5)))</f>
        <v>0.54886568095775989</v>
      </c>
      <c r="GH12" s="91">
        <f>10^(-1825000*(79.755*EXP(-0.0046*($D12-20))*($D12+273.15))^-1.5*$EK12^0.5/(1+'Elements and ions'!$G$3*$EK12^0.5/(2*(79.755*EXP(-0.0046*($D12-20))*($D12+273.15))^0.5)))</f>
        <v>0.82381324354047614</v>
      </c>
      <c r="GI12" s="89">
        <f>10^(-1825000*(79.755*EXP(-0.0046*($D12-20))*($D12+273.15))^-1.5*4*$EK12^0.5/(1+'Elements and ions'!$G$4*$EK12^0.5/(2*(79.755*EXP(-0.0046*($D12-20))*($D12+273.15))^0.5)))</f>
        <v>0.46039536662351549</v>
      </c>
      <c r="GJ12" s="89">
        <f>10^(-1825000*(79.755*EXP(-0.0046*($D12-20))*($D12+273.15))^-1.5*$EK12^0.5/(1+'Elements and ions'!$D$18*$EK12^0.5/(2*(79.755*EXP(-0.0046*($D12-20))*($D12+273.15))^0.5)))</f>
        <v>0.84233680588375259</v>
      </c>
      <c r="GK12" s="89">
        <f>10^(-1825000*(79.755*EXP(-0.0046*($D12-20))*($D12+273.15))^-1.5*$EK12^0.5/(1+'Elements and ions'!$I$7*$EK12^0.5/(2*(79.755*EXP(-0.0046*($D12-20))*($D12+273.15))^0.5)))</f>
        <v>0.84233680588375259</v>
      </c>
      <c r="GL12" s="89">
        <f>10^(-1825000*(79.755*EXP(-0.0046*($D12-20))*($D12+273.15))^-1.5*$EK12^0.5/(1+'Elements and ions'!$D$10*$EK12^0.5/(2*(79.755*EXP(-0.0046*($D12-20))*($D12+273.15))^0.5)))</f>
        <v>0.84573145044602116</v>
      </c>
      <c r="GM12" s="90">
        <f>10^(-1825000*(79.755*EXP(-0.0046*($D12-20))*($D12+273.15))^-1.5*4*$EK12^0.5/(1+'Elements and ions'!$I$5*$EK12^0.5/(2*(79.755*EXP(-0.0046*($D12-20))*($D12+273.15))^0.5)))</f>
        <v>0.51951331433016346</v>
      </c>
      <c r="GN12" s="163"/>
      <c r="GO12" s="91">
        <f t="shared" si="43"/>
        <v>1.0487763799591087E-2</v>
      </c>
      <c r="GP12" s="89" t="str">
        <f t="shared" si="44"/>
        <v/>
      </c>
      <c r="GQ12" s="89">
        <f t="shared" si="45"/>
        <v>9.8603545658362975E-4</v>
      </c>
      <c r="GR12" s="89">
        <f t="shared" si="46"/>
        <v>2.8387340158150213E-4</v>
      </c>
      <c r="GS12" s="90" t="str">
        <f t="shared" si="47"/>
        <v/>
      </c>
      <c r="GT12" s="91">
        <f t="shared" si="48"/>
        <v>8.3728695218466855E-3</v>
      </c>
      <c r="GU12" s="89">
        <f t="shared" si="49"/>
        <v>3.7168625264799898E-5</v>
      </c>
      <c r="GV12" s="89">
        <f t="shared" si="50"/>
        <v>1.9007402609285589E-3</v>
      </c>
      <c r="GW12" s="89">
        <f t="shared" si="51"/>
        <v>8.9661025480772759E-4</v>
      </c>
      <c r="GX12" s="89">
        <f t="shared" si="52"/>
        <v>1.2909617616145032E-3</v>
      </c>
      <c r="GY12" s="97">
        <f t="shared" si="53"/>
        <v>8.7610742288347888E-4</v>
      </c>
      <c r="GZ12" s="198"/>
      <c r="HA12" s="88">
        <f>IF(AND(GQ12&lt;&gt;"",GU12&lt;&gt;""),LOG(GQ12*GU12/Minerals!$C$6),"")</f>
        <v>1.0442410365098167</v>
      </c>
      <c r="HB12" s="89">
        <f>IF(AND(GQ12&lt;&gt;"",GU12&lt;&gt;""),LOG(GQ12*GU12/Minerals!$C$5),"")</f>
        <v>0.91376150715359894</v>
      </c>
      <c r="HC12" s="89">
        <f>IF(AND(GQ12&lt;&gt;"",GX12&lt;&gt;""),LOG(GQ12*GX12^2/Minerals!$C$2),"")</f>
        <v>1.7856442335911948</v>
      </c>
      <c r="HD12" s="89">
        <f>IF(AND(GQ12&lt;&gt;"",GY12&lt;&gt;""),LOG($GQ12*$GY12/Minerals!$C$3),"")</f>
        <v>-1.4635697432235684</v>
      </c>
      <c r="HE12" s="97">
        <f>IF(AND(GQ12&lt;&gt;"",GY12&lt;&gt;""),LOG($GQ12*$GY12/Minerals!$C$3),"")</f>
        <v>-1.4635697432235684</v>
      </c>
      <c r="HF12" s="198"/>
      <c r="HG12" s="88">
        <f>IF(HA12&lt;&gt;"",LOG(GQ12*GU12/(EXP(-1*Minerals!$E$6/'Other Constants'!$B$2*(1/(273.15+'ppm-mgL-1'!$D12)-1/298.15)+LN(Minerals!$C$6)))),"")</f>
        <v>-2.9911836727319927</v>
      </c>
      <c r="HH12" s="89">
        <f>IF(HA12&lt;&gt;"",LOG(GQ12*GU12/(EXP(-1*Minerals!$E$5/'Other Constants'!$B$2*(1/(273.15+'ppm-mgL-1'!$D12)-1/298.15)+LN(Minerals!$C$5)))),"")</f>
        <v>-3.1220280165985836</v>
      </c>
      <c r="HI12" s="89">
        <f>IF(HC12&lt;&gt;"",LOG(GQ12*GX12^2/(EXP(-1*Minerals!$E$2/'Other Constants'!$B$2*(1/(273.15+'ppm-mgL-1'!$D12)-1/298.15)+LN(Minerals!$C$2)))),"")</f>
        <v>1.9562558196088535</v>
      </c>
      <c r="HJ12" s="89">
        <f>IF(HD12&lt;&gt;"",LOG($FF12*$FN12/(EXP(-1*Minerals!$E$3/'Other Constants'!$B$2*(1/(273.15+'ppm-mgL-1'!$D12)-1/298.15)+LN(Minerals!$C$3)))),"")</f>
        <v>1.9729742743378407</v>
      </c>
      <c r="HK12" s="90">
        <f>LOG($FF12*$FN12/(EXP(-1*Minerals!$E$4/'Other Constants'!$B$2*(1/(273.15+'ppm-mgL-1'!$D12)-1/298.15)+LN(Minerals!$C$4))))</f>
        <v>-1.8453420040539508</v>
      </c>
      <c r="HL12" s="198"/>
      <c r="HM12" s="198"/>
    </row>
    <row r="13" spans="1:221" customFormat="1" x14ac:dyDescent="0.25">
      <c r="A13" s="3"/>
      <c r="B13" s="6" t="s">
        <v>165</v>
      </c>
      <c r="C13" s="215"/>
      <c r="D13" s="3">
        <v>25</v>
      </c>
      <c r="E13" s="4">
        <v>8.1999999999999993</v>
      </c>
      <c r="F13" s="4"/>
      <c r="G13" s="4"/>
      <c r="H13" s="5"/>
      <c r="I13" s="3" t="str">
        <f t="shared" si="54"/>
        <v/>
      </c>
      <c r="J13" s="4" t="str">
        <f t="shared" si="55"/>
        <v/>
      </c>
      <c r="K13" s="3" t="str">
        <f t="shared" si="56"/>
        <v/>
      </c>
      <c r="L13" s="4" t="str">
        <f t="shared" si="1"/>
        <v/>
      </c>
      <c r="M13" s="3" t="str">
        <f t="shared" si="0"/>
        <v/>
      </c>
      <c r="N13" s="4" t="str">
        <f t="shared" ref="N13" si="182">IF(M13&lt;&gt;"", IF($D13&lt;&gt;"",M13*2.303*0.0019858*($D13+273.15)/23.06, 0.059*M13),"")</f>
        <v/>
      </c>
      <c r="O13" s="3" t="str">
        <f t="shared" si="2"/>
        <v/>
      </c>
      <c r="P13" s="4" t="str">
        <f t="shared" ref="P13" si="183">IF(O13&lt;&gt;"", IF($D13&lt;&gt;"",O13*2.303*0.0019858*($D13+273.15)/23.06, 0.059*O13),"")</f>
        <v/>
      </c>
      <c r="Q13" s="3" t="str">
        <f t="shared" si="3"/>
        <v/>
      </c>
      <c r="R13" s="4" t="str">
        <f t="shared" ref="R13" si="184">IF(Q13&lt;&gt;"", IF($D13&lt;&gt;"",Q13*2.303*0.0019858*($D13+273.15)/23.06, 0.059*Q13),"")</f>
        <v/>
      </c>
      <c r="S13" s="3" t="str">
        <f t="shared" si="4"/>
        <v/>
      </c>
      <c r="T13" s="4" t="str">
        <f t="shared" ref="T13" si="185">IF(S13&lt;&gt;"", IF($D13&lt;&gt;"",S13*2.303*0.0019858*($D13+273.15)/23.06, 0.059*S13),"")</f>
        <v/>
      </c>
      <c r="U13" s="3">
        <f>IF(AND($E13&lt;&gt;"",$CX13&lt;&gt;"",$DG13&lt;&gt;""),IF($E13&lt;7,5.12-5/4*$E13+1/8*LOG($CX13/$DG13),4.25-9/8*$E13+1/8*(LOG($CX13)-$E13-LOG($DG13)+pKa!$B$3)),"")</f>
        <v>-5.1002098021482398</v>
      </c>
      <c r="V13" s="4">
        <f t="shared" ref="V13" si="186">IF(U13&lt;&gt;"", IF($D13&lt;&gt;"",U13*2.303*0.0019858*($D13+273.15)/23.06, 0.059*U13),"")</f>
        <v>-0.30157337520661848</v>
      </c>
      <c r="W13" s="3" t="str">
        <f t="shared" si="5"/>
        <v/>
      </c>
      <c r="X13" s="4" t="str">
        <f t="shared" ref="X13" si="187">IF(W13&lt;&gt;"", IF($D13&lt;&gt;"",W13*2.303*0.0019858*($D13+273.15)/23.06, 0.059*W13),"")</f>
        <v/>
      </c>
      <c r="Y13" s="3" t="str">
        <f t="shared" si="6"/>
        <v/>
      </c>
      <c r="Z13" s="4" t="str">
        <f t="shared" ref="Z13" si="188">IF(Y13&lt;&gt;"", IF($D13&lt;&gt;"",Y13*2.303*0.0019858*($D13+273.15)/23.06, 0.059*Y13),"")</f>
        <v/>
      </c>
      <c r="AA13" s="3" t="str">
        <f t="shared" si="7"/>
        <v/>
      </c>
      <c r="AB13" s="4" t="str">
        <f t="shared" ref="AB13" si="189">IF(AA13&lt;&gt;"", IF($D13&lt;&gt;"",AA13*2.303*0.0019858*($D13+273.15)/23.06, 0.059*AA13),"")</f>
        <v/>
      </c>
      <c r="AC13" s="4"/>
      <c r="AD13" s="83">
        <f>IF(E13&lt;&gt;"",10^(-2*$E13)/(10^(-2*$E13)+10^(-$E13-pKa!$B$2)+(10^(-pKa!$B$2-pKa!$C$2))),"")</f>
        <v>1.2335965457355316E-2</v>
      </c>
      <c r="AE13" s="84">
        <f>IF(E13&lt;&gt;"",10^(-$E13-pKa!$B$2)/(10^(-2*$E13)+10^(-$E13-pKa!$B$2)+10^(-pKa!$B$2-pKa!$C$2)),"")</f>
        <v>0.97988056653607236</v>
      </c>
      <c r="AF13" s="212">
        <f>IF(E13&lt;&gt;"",10^(-pKa!$B$2-pKa!$C$2)/(10^(-2*$E13)+10^(-$E13-pKa!$B$2)+10^(-pKa!$B$2-pKa!$C$2)),"")</f>
        <v>7.7834680065722618E-3</v>
      </c>
      <c r="AG13" s="152"/>
      <c r="AH13" s="222">
        <f>IF($AK13&lt;&gt;"",$AK13/'Elements and ions'!$G$3,IF($E13="","","Enter Alk(HCO3-)"))</f>
        <v>10.32501847031082</v>
      </c>
      <c r="AI13" s="85">
        <f t="shared" si="65"/>
        <v>1.0372236471824099E-2</v>
      </c>
      <c r="AJ13" s="84">
        <f>IF(AI13&lt;&gt;"",AI13*1000*'Elements and ions'!$B$7,"")</f>
        <v>124.5778205921377</v>
      </c>
      <c r="AK13" s="99">
        <v>630</v>
      </c>
      <c r="AL13" s="88">
        <f>IF($AK13&lt;&gt;"",$AK13/'Elements and ions'!$G$3*Minerals!$B$6/2,IF($E13="","","Enter Alk(HCO3-)"))</f>
        <v>516.69954556807602</v>
      </c>
      <c r="AM13" s="199"/>
      <c r="AN13" s="91">
        <f t="shared" si="8"/>
        <v>1.2795155083194306E-4</v>
      </c>
      <c r="AO13" s="89">
        <f t="shared" si="9"/>
        <v>1.016355295025711E-2</v>
      </c>
      <c r="AP13" s="90">
        <f t="shared" si="10"/>
        <v>8.0731970735044834E-5</v>
      </c>
      <c r="AQ13" s="198"/>
      <c r="AR13" s="198"/>
      <c r="AS13" s="83">
        <f t="shared" si="66"/>
        <v>0.37632809068218537</v>
      </c>
      <c r="AT13" s="83">
        <f>IF(AN13&lt;&gt;"",AN13/'Henrys law constants'!$B$7*1000000,"")</f>
        <v>3763.2809068218539</v>
      </c>
      <c r="AU13" s="3">
        <v>284</v>
      </c>
      <c r="AV13" s="6"/>
      <c r="AW13" s="6">
        <v>72</v>
      </c>
      <c r="AX13" s="6">
        <v>12</v>
      </c>
      <c r="AY13" s="226">
        <f>AO13*'Elements and ions'!$G$3*1000</f>
        <v>620.14788419736601</v>
      </c>
      <c r="AZ13" s="6">
        <v>80</v>
      </c>
      <c r="BA13" s="6">
        <v>66</v>
      </c>
      <c r="BB13" s="5">
        <v>162</v>
      </c>
      <c r="BC13" s="222">
        <f>IF($E13&lt;&gt;"",10^-$E13*'Elements and ions'!B12*1000,"")</f>
        <v>1.4505563775121127E-4</v>
      </c>
      <c r="BD13" s="4"/>
      <c r="BE13" s="6"/>
      <c r="BF13" s="6"/>
      <c r="BG13" s="5"/>
      <c r="BH13" s="3"/>
      <c r="BI13" s="4"/>
      <c r="BJ13" s="88">
        <f>IF($AN13&lt;&gt;"",$AN13*'Elements and ions'!$G$2*1000,"")</f>
        <v>7.9361667910100833</v>
      </c>
      <c r="BK13" s="229">
        <v>30</v>
      </c>
      <c r="BL13" s="230"/>
      <c r="BM13" s="91">
        <f>IF($E13&lt;&gt;"",(10^-14+$E13)*'Elements and ions'!$G$8,"")</f>
        <v>139.46018800000016</v>
      </c>
      <c r="BN13" s="4"/>
      <c r="BO13" s="97">
        <f>IF($AP13&lt;&gt;"",$AP13*'Elements and ions'!$G$4*1000,"")</f>
        <v>4.8446367586422321</v>
      </c>
      <c r="BP13" s="6">
        <v>29</v>
      </c>
      <c r="BQ13" s="5"/>
      <c r="BR13" s="195"/>
      <c r="BS13" s="238">
        <f>IF($AU13&lt;&gt;"",$AU13/'Elements and ions'!$B$12,"")</f>
        <v>12.353321016016737</v>
      </c>
      <c r="BT13" s="239" t="str">
        <f>IF($AV13&lt;&gt;"",$AV13/'Elements and ions'!$B$20,"")</f>
        <v/>
      </c>
      <c r="BU13" s="239">
        <f>IF($AW13&lt;&gt;"",$AW13/'Elements and ions'!$B$21, "")</f>
        <v>1.7964968311792004</v>
      </c>
      <c r="BV13" s="240">
        <f>IF($AX13&lt;&gt;"",$AX13/'Elements and ions'!$B$13, "")</f>
        <v>0.49372557087019131</v>
      </c>
      <c r="BW13" s="238">
        <f>IF($AY13&lt;&gt;"",$AY13/'Elements and ions'!$G$3,"")</f>
        <v>10.16355295025711</v>
      </c>
      <c r="BX13" s="239">
        <f>IF($AZ13&lt;&gt;"",$AZ13/'Elements and ions'!$B$18,"")</f>
        <v>2.256508617042281</v>
      </c>
      <c r="BY13" s="239">
        <f>IF($BA13&lt;&gt;"",$BA13/'Elements and ions'!$G$7,"")</f>
        <v>1.064432004567381</v>
      </c>
      <c r="BZ13" s="241">
        <f>IF($BB13&lt;&gt;"",$BB13/'Elements and ions'!$G$5,"")</f>
        <v>1.6864003264537915</v>
      </c>
      <c r="CA13" s="91">
        <f t="shared" si="67"/>
        <v>6.309573444801933E-6</v>
      </c>
      <c r="CB13" s="163" t="str">
        <f>IF($BD13&lt;&gt;"",$BD13/'Elements and ions'!$B$14,"")</f>
        <v/>
      </c>
      <c r="CC13" s="89" t="str">
        <f>IF($BE13&lt;&gt;"",$BE13/'Elements and ions'!$B$27, "")</f>
        <v/>
      </c>
      <c r="CD13" s="249" t="str">
        <f>IF($BF13&lt;&gt;"",$BF13/'Elements and ions'!$B$26,"")</f>
        <v/>
      </c>
      <c r="CE13" s="250" t="str">
        <f>IF($BG13&lt;&gt;"",$BG13/'Elements and ions'!$G$6,"")</f>
        <v/>
      </c>
      <c r="CF13" s="91" t="str">
        <f>IF($BH13&lt;&gt;"",$BH13/'Elements and ions'!$G$15,"")</f>
        <v/>
      </c>
      <c r="CG13" s="89" t="str">
        <f>IF($BI13&lt;&gt;"",$BI13/'Elements and ions'!$G$16,"")</f>
        <v/>
      </c>
      <c r="CH13" s="90">
        <f>IF($BJ13&lt;&gt;"",$BJ13/'Elements and ions'!$G$2,"")</f>
        <v>0.12795155083194304</v>
      </c>
      <c r="CI13" s="91">
        <f>IF($BK13&lt;&gt;"",$BK13/'Elements and ions'!$B$15, "")</f>
        <v>1.0681668476616049</v>
      </c>
      <c r="CJ13" s="88" t="str">
        <f>IF($BL13&lt;&gt;"", $BL13/'Elements and ions'!$G$17,"")</f>
        <v/>
      </c>
      <c r="CK13" s="89">
        <f t="shared" si="68"/>
        <v>1.5848931924611084E-3</v>
      </c>
      <c r="CL13" s="163" t="str">
        <f>IF($BN13&lt;&gt;"", $BN13/'Elements and ions'!$G$19,"")</f>
        <v/>
      </c>
      <c r="CM13" s="89">
        <f>IF($BO13&lt;&gt;"",$BO13/'Elements and ions'!$G$4,"")</f>
        <v>8.0731970735044845E-2</v>
      </c>
      <c r="CN13" s="89">
        <f>IF($BP13&lt;&gt;"",$BP13/'Elements and ions'!$B$10,"")</f>
        <v>1.5264440750473178</v>
      </c>
      <c r="CO13" s="104" t="str">
        <f>IF($BQ13&lt;&gt;"",$BQ13/'Elements and ions'!$G$18,"")</f>
        <v/>
      </c>
      <c r="CP13" s="242"/>
      <c r="CQ13" s="238">
        <f t="shared" si="94"/>
        <v>1.2353321016016737E-2</v>
      </c>
      <c r="CR13" s="239" t="str">
        <f t="shared" si="95"/>
        <v/>
      </c>
      <c r="CS13" s="239">
        <f t="shared" si="96"/>
        <v>1.7964968311792004E-3</v>
      </c>
      <c r="CT13" s="241">
        <f t="shared" si="97"/>
        <v>4.9372557087019127E-4</v>
      </c>
      <c r="CU13" s="238">
        <f t="shared" si="11"/>
        <v>1.016355295025711E-2</v>
      </c>
      <c r="CV13" s="239">
        <f t="shared" si="12"/>
        <v>2.2565086170422809E-3</v>
      </c>
      <c r="CW13" s="239">
        <f t="shared" si="13"/>
        <v>1.0644320045673809E-3</v>
      </c>
      <c r="CX13" s="241">
        <f t="shared" si="69"/>
        <v>1.6864003264537915E-3</v>
      </c>
      <c r="CY13" s="258">
        <f t="shared" si="98"/>
        <v>6.3095734448019329E-9</v>
      </c>
      <c r="CZ13" s="259" t="str">
        <f t="shared" si="99"/>
        <v/>
      </c>
      <c r="DA13" s="260" t="str">
        <f t="shared" si="100"/>
        <v/>
      </c>
      <c r="DB13" s="261" t="str">
        <f t="shared" si="101"/>
        <v/>
      </c>
      <c r="DC13" s="262" t="str">
        <f t="shared" si="102"/>
        <v/>
      </c>
      <c r="DD13" s="263" t="str">
        <f t="shared" si="103"/>
        <v/>
      </c>
      <c r="DE13" s="259" t="str">
        <f t="shared" si="104"/>
        <v/>
      </c>
      <c r="DF13" s="260">
        <f t="shared" si="105"/>
        <v>1.2795155083194303E-4</v>
      </c>
      <c r="DG13" s="260">
        <f t="shared" si="106"/>
        <v>1.0681668476616049E-3</v>
      </c>
      <c r="DH13" s="264" t="str">
        <f t="shared" si="107"/>
        <v/>
      </c>
      <c r="DI13" s="258">
        <f t="shared" si="108"/>
        <v>1.5848931924611084E-6</v>
      </c>
      <c r="DJ13" s="260" t="str">
        <f t="shared" si="109"/>
        <v/>
      </c>
      <c r="DK13" s="260">
        <f t="shared" si="110"/>
        <v>8.0731970735044848E-5</v>
      </c>
      <c r="DL13" s="260">
        <f t="shared" si="111"/>
        <v>1.5264440750473178E-3</v>
      </c>
      <c r="DM13" s="265" t="str">
        <f t="shared" si="112"/>
        <v/>
      </c>
      <c r="DN13" s="242"/>
      <c r="DO13" s="238">
        <f t="shared" si="18"/>
        <v>12.353321016016737</v>
      </c>
      <c r="DP13" s="239">
        <f t="shared" si="19"/>
        <v>0</v>
      </c>
      <c r="DQ13" s="239">
        <f t="shared" si="20"/>
        <v>3.5929936623584009</v>
      </c>
      <c r="DR13" s="241">
        <f t="shared" si="21"/>
        <v>0.98745114174038262</v>
      </c>
      <c r="DS13" s="238">
        <f t="shared" si="22"/>
        <v>-10.16355295025711</v>
      </c>
      <c r="DT13" s="239">
        <f t="shared" si="23"/>
        <v>-2.256508617042281</v>
      </c>
      <c r="DU13" s="239">
        <f t="shared" si="24"/>
        <v>-1.064432004567381</v>
      </c>
      <c r="DV13" s="241">
        <f t="shared" si="25"/>
        <v>-3.3728006529075829</v>
      </c>
      <c r="DW13" s="91">
        <f t="shared" si="113"/>
        <v>6.309573444801933E-6</v>
      </c>
      <c r="DX13" s="89">
        <f t="shared" si="114"/>
        <v>0</v>
      </c>
      <c r="DY13" s="89">
        <f t="shared" si="115"/>
        <v>0</v>
      </c>
      <c r="DZ13" s="89">
        <f t="shared" si="116"/>
        <v>0</v>
      </c>
      <c r="EA13" s="90">
        <f t="shared" si="117"/>
        <v>0</v>
      </c>
      <c r="EB13" s="91">
        <f t="shared" si="118"/>
        <v>-1.5848931924611084E-3</v>
      </c>
      <c r="EC13" s="89">
        <f t="shared" si="119"/>
        <v>0</v>
      </c>
      <c r="ED13" s="89">
        <f t="shared" si="120"/>
        <v>-0.16146394147008969</v>
      </c>
      <c r="EE13" s="89">
        <f t="shared" si="121"/>
        <v>-1.5264440750473178</v>
      </c>
      <c r="EF13" s="90">
        <f t="shared" si="122"/>
        <v>0</v>
      </c>
      <c r="EG13" s="242"/>
      <c r="EH13" s="245">
        <f t="shared" si="123"/>
        <v>16.933772129688965</v>
      </c>
      <c r="EI13" s="246">
        <f t="shared" si="124"/>
        <v>-18.546787134484223</v>
      </c>
      <c r="EJ13" s="198">
        <f t="shared" si="83"/>
        <v>-4.5461938544582488</v>
      </c>
      <c r="EK13" s="198">
        <f t="shared" si="27"/>
        <v>2.9588620245478144E-2</v>
      </c>
      <c r="EL13" s="91">
        <f>IF(AND(CS13&lt;&gt;"",DK13&lt;&gt;""),LOG(CS13*DK13/Minerals!$C$6),"")</f>
        <v>1.6416440158233945</v>
      </c>
      <c r="EM13" s="89">
        <f>IF(AND(CS13&lt;&gt;"",DK13&lt;&gt;""),LOG(CS13*DK13/Minerals!$C$5),"")</f>
        <v>1.5111644864671767</v>
      </c>
      <c r="EN13" s="89">
        <f>IF(AND(CS13&lt;&gt;"",DL13&lt;&gt;""),LOG(CS13*DL13^2/Minerals!$C$2),"")</f>
        <v>2.1917131949472011</v>
      </c>
      <c r="EO13" s="89">
        <f>IF(AND(CS13&lt;&gt;"",CX13&lt;&gt;""),LOG($CS13*$CX13/Minerals!$C$3),"")</f>
        <v>-0.91863250196773205</v>
      </c>
      <c r="EP13" s="90">
        <f>IF(AND(CS13&lt;&gt;"",CX13&lt;&gt;""),LOG($CS13*$CX13/Minerals!$C$4),"")</f>
        <v>-1.1586170134336344</v>
      </c>
      <c r="EQ13" s="198"/>
      <c r="ER13" s="91">
        <f t="shared" si="28"/>
        <v>0.84453231435261766</v>
      </c>
      <c r="ES13" s="89">
        <f t="shared" si="28"/>
        <v>0.84453231435261766</v>
      </c>
      <c r="ET13" s="89">
        <f t="shared" si="29"/>
        <v>0.50870392270485676</v>
      </c>
      <c r="EU13" s="89">
        <f t="shared" si="29"/>
        <v>0.50870392270485676</v>
      </c>
      <c r="EV13" s="90">
        <f t="shared" si="29"/>
        <v>0.50870392270485676</v>
      </c>
      <c r="EW13" s="91">
        <f t="shared" si="30"/>
        <v>0.84453231435261766</v>
      </c>
      <c r="EX13" s="89">
        <f t="shared" si="31"/>
        <v>0.50870392270485676</v>
      </c>
      <c r="EY13" s="89">
        <f t="shared" si="30"/>
        <v>0.84453231435261766</v>
      </c>
      <c r="EZ13" s="89">
        <f t="shared" si="30"/>
        <v>0.84453231435261766</v>
      </c>
      <c r="FA13" s="89">
        <f t="shared" si="165"/>
        <v>0.84453231435261766</v>
      </c>
      <c r="FB13" s="90">
        <f t="shared" si="32"/>
        <v>0.50870392270485676</v>
      </c>
      <c r="FC13" s="198"/>
      <c r="FD13" s="91">
        <f t="shared" si="33"/>
        <v>1.0432778787597446E-2</v>
      </c>
      <c r="FE13" s="89" t="str">
        <f t="shared" si="34"/>
        <v/>
      </c>
      <c r="FF13" s="89">
        <f t="shared" si="35"/>
        <v>9.1388498514770409E-4</v>
      </c>
      <c r="FG13" s="89">
        <f t="shared" si="36"/>
        <v>2.5116013464136105E-4</v>
      </c>
      <c r="FH13" s="90" t="str">
        <f t="shared" si="37"/>
        <v/>
      </c>
      <c r="FI13" s="91">
        <f t="shared" si="85"/>
        <v>8.583448895126012E-3</v>
      </c>
      <c r="FJ13" s="89">
        <f t="shared" si="38"/>
        <v>4.1068670200611012E-5</v>
      </c>
      <c r="FK13" s="89">
        <f t="shared" si="39"/>
        <v>1.9056944447073422E-3</v>
      </c>
      <c r="FL13" s="89">
        <f t="shared" si="40"/>
        <v>8.9894722428828628E-4</v>
      </c>
      <c r="FM13" s="89">
        <f t="shared" si="41"/>
        <v>1.2891313474295521E-3</v>
      </c>
      <c r="FN13" s="90">
        <f t="shared" si="42"/>
        <v>8.578784613177948E-4</v>
      </c>
      <c r="FO13" s="198"/>
      <c r="FP13" s="91">
        <f>IF(EL13&lt;&gt;"",LOG(FF13*FJ13/Minerals!$C$6),"")</f>
        <v>1.0545741889532356</v>
      </c>
      <c r="FQ13" s="89">
        <f>IF(EL13&lt;&gt;"",LOG(FF13*FJ13/Minerals!$C$5),"")</f>
        <v>0.92409465959701798</v>
      </c>
      <c r="FR13" s="89">
        <f>IF(EN13&lt;&gt;"",LOG(FF13*FM13^2/Minerals!$C$2),"")</f>
        <v>1.7514108247945821</v>
      </c>
      <c r="FS13" s="89">
        <f>IF(EO13&lt;&gt;"",LOG($FF13*$FN13/Minerals!$C$3),"")</f>
        <v>-1.5057023288378908</v>
      </c>
      <c r="FT13" s="90">
        <f>IF(EP13&lt;&gt;"",LOG($FF13*$FN13/Minerals!$C$4),"")</f>
        <v>-1.7456868403037931</v>
      </c>
      <c r="FU13" s="163"/>
      <c r="FV13" s="91">
        <f>IF(FP13&lt;&gt;"",LOG(FF13*FJ13/(EXP(-1*Minerals!$E$6/'Other Constants'!$B$2*(1/(273.15+'ppm-mgL-1'!$D13)-1/298.15)+LN(Minerals!$C$6)))),"")</f>
        <v>1.0545741889532363</v>
      </c>
      <c r="FW13" s="89">
        <f>IF(FP13&lt;&gt;"",LOG(FF13*FJ13/(EXP(-1*Minerals!$E$5/'Other Constants'!$B$2*(1/(273.15+'ppm-mgL-1'!$D13)-1/298.15)+LN(Minerals!$C$5)))),"")</f>
        <v>0.92409465959701842</v>
      </c>
      <c r="FX13" s="89">
        <f>IF(FR13&lt;&gt;"",LOG(FF13*FM13^2/(EXP(-1*Minerals!$E$2/'Other Constants'!$B$2*(1/(273.15+'ppm-mgL-1'!$D13)-1/298.15)+LN(Minerals!$C$2)))),"")</f>
        <v>1.7514108247945821</v>
      </c>
      <c r="FY13" s="89">
        <f>IF(FS13&lt;&gt;"",LOG($FF13*$FN13/(EXP(-1*Minerals!$E$3/'Other Constants'!$B$2*(1/(273.15+'ppm-mgL-1'!$D13)-1/298.15)+LN(Minerals!$C$3)))),"")</f>
        <v>-1.5057023288378908</v>
      </c>
      <c r="FZ13" s="90">
        <f>IF(FT13&lt;&gt;"",LOG($FF13*$FN13/(EXP(-1*Minerals!$E$4/'Other Constants'!$B$2*(1/(273.15+'ppm-mgL-1'!$D13)-1/298.15)+LN(Minerals!$C$4)))),"")</f>
        <v>-1.7456868403037928</v>
      </c>
      <c r="GA13" s="163"/>
      <c r="GB13" s="163"/>
      <c r="GC13" s="91">
        <f>10^(-1825000*(79.755*EXP(-0.0046*($D13-20))*($D13+273.15))^-1.5*$EK13^0.5/(1+'Elements and ions'!$D$12*$EK13^0.5/(2*(79.755*EXP(-0.0046*($D13-20))*($D13+273.15))^0.5)))</f>
        <v>0.84664094876473428</v>
      </c>
      <c r="GD13" s="89">
        <f>10^(-1825000*(79.755*EXP(-0.0046*($D13-20))*($D13+273.15))^-1.5*$EK13^0.5/(1+'Elements and ions'!$D$20*$EK13^0.5/(2*(79.755*EXP(-0.0046*($D13-20))*($D13+273.15))^0.5)))</f>
        <v>0.83986712108915829</v>
      </c>
      <c r="GE13" s="89">
        <f>10^(-1825000*(79.755*EXP(-0.0046*($D13-20))*($D13+273.15))^-1.5*4*$EK13^0.5/(1+'Elements and ions'!$D$21*$EK13^0.5/(2*(79.755*EXP(-0.0046*($D13-20))*($D13+273.15))^0.5)))</f>
        <v>0.54347224460308707</v>
      </c>
      <c r="GF13" s="89">
        <f>10^(-1825000*(79.755*EXP(-0.0046*($D13-20))*($D13+273.15))^-1.5*4*$EK13^0.5/(1+'Elements and ions'!$D$13*$EK13^0.5/(2*(79.755*EXP(-0.0046*($D13-20))*($D13+273.15))^0.5)))</f>
        <v>0.5698579999405472</v>
      </c>
      <c r="GG13" s="90">
        <f>10^(-1825000*(79.755*EXP(-0.0046*($D13-20))*($D13+273.15))^-1.5*4*$EK13^0.5/(1+'Elements and ions'!$D$27*$EK13^0.5/(2*(79.755*EXP(-0.0046*($D13-20))*($D13+273.15))^0.5)))</f>
        <v>0.54347224460308707</v>
      </c>
      <c r="GH13" s="91">
        <f>10^(-1825000*(79.755*EXP(-0.0046*($D13-20))*($D13+273.15))^-1.5*$EK13^0.5/(1+'Elements and ions'!$G$3*$EK13^0.5/(2*(79.755*EXP(-0.0046*($D13-20))*($D13+273.15))^0.5)))</f>
        <v>0.82097836967118332</v>
      </c>
      <c r="GI13" s="89">
        <f>10^(-1825000*(79.755*EXP(-0.0046*($D13-20))*($D13+273.15))^-1.5*4*$EK13^0.5/(1+'Elements and ions'!$G$4*$EK13^0.5/(2*(79.755*EXP(-0.0046*($D13-20))*($D13+273.15))^0.5)))</f>
        <v>0.45408627067810386</v>
      </c>
      <c r="GJ13" s="89">
        <f>10^(-1825000*(79.755*EXP(-0.0046*($D13-20))*($D13+273.15))^-1.5*$EK13^0.5/(1+'Elements and ions'!$D$18*$EK13^0.5/(2*(79.755*EXP(-0.0046*($D13-20))*($D13+273.15))^0.5)))</f>
        <v>0.83986712108915829</v>
      </c>
      <c r="GK13" s="89">
        <f>10^(-1825000*(79.755*EXP(-0.0046*($D13-20))*($D13+273.15))^-1.5*$EK13^0.5/(1+'Elements and ions'!$I$7*$EK13^0.5/(2*(79.755*EXP(-0.0046*($D13-20))*($D13+273.15))^0.5)))</f>
        <v>0.83986712108915829</v>
      </c>
      <c r="GL13" s="89">
        <f>10^(-1825000*(79.755*EXP(-0.0046*($D13-20))*($D13+273.15))^-1.5*$EK13^0.5/(1+'Elements and ions'!$D$10*$EK13^0.5/(2*(79.755*EXP(-0.0046*($D13-20))*($D13+273.15))^0.5)))</f>
        <v>0.84332702522909586</v>
      </c>
      <c r="GM13" s="90">
        <f>10^(-1825000*(79.755*EXP(-0.0046*($D13-20))*($D13+273.15))^-1.5*4*$EK13^0.5/(1+'Elements and ions'!$I$5*$EK13^0.5/(2*(79.755*EXP(-0.0046*($D13-20))*($D13+273.15))^0.5)))</f>
        <v>0.51380352468596069</v>
      </c>
      <c r="GN13" s="163"/>
      <c r="GO13" s="91">
        <f t="shared" si="43"/>
        <v>1.0458827425395742E-2</v>
      </c>
      <c r="GP13" s="89" t="str">
        <f t="shared" si="44"/>
        <v/>
      </c>
      <c r="GQ13" s="89">
        <f t="shared" si="45"/>
        <v>9.7634616526329318E-4</v>
      </c>
      <c r="GR13" s="89">
        <f t="shared" si="46"/>
        <v>2.8135346633559208E-4</v>
      </c>
      <c r="GS13" s="90" t="str">
        <f t="shared" si="47"/>
        <v/>
      </c>
      <c r="GT13" s="91">
        <f t="shared" si="48"/>
        <v>8.3440571311688277E-3</v>
      </c>
      <c r="GU13" s="89">
        <f t="shared" si="49"/>
        <v>3.6659279515570333E-5</v>
      </c>
      <c r="GV13" s="89">
        <f t="shared" si="50"/>
        <v>1.8951673959081785E-3</v>
      </c>
      <c r="GW13" s="89">
        <f t="shared" si="51"/>
        <v>8.93981443271168E-4</v>
      </c>
      <c r="GX13" s="89">
        <f t="shared" si="52"/>
        <v>1.2872915409882332E-3</v>
      </c>
      <c r="GY13" s="97">
        <f t="shared" si="53"/>
        <v>8.6647843176351281E-4</v>
      </c>
      <c r="GZ13" s="198"/>
      <c r="HA13" s="88">
        <f>IF(AND(GQ13&lt;&gt;"",GU13&lt;&gt;""),LOG(GQ13*GU13/Minerals!$C$6),"")</f>
        <v>1.0339597563609264</v>
      </c>
      <c r="HB13" s="89">
        <f>IF(AND(GQ13&lt;&gt;"",GU13&lt;&gt;""),LOG(GQ13*GU13/Minerals!$C$5),"")</f>
        <v>0.90348022700470854</v>
      </c>
      <c r="HC13" s="89">
        <f>IF(AND(GQ13&lt;&gt;"",GX13&lt;&gt;""),LOG(GQ13*GX13^2/Minerals!$C$2),"")</f>
        <v>1.7788826001739315</v>
      </c>
      <c r="HD13" s="89">
        <f>IF(AND(GQ13&lt;&gt;"",GY13&lt;&gt;""),LOG($GQ13*$GY13/Minerals!$C$3),"")</f>
        <v>-1.472658053418096</v>
      </c>
      <c r="HE13" s="97">
        <f>IF(AND(GQ13&lt;&gt;"",GY13&lt;&gt;""),LOG($GQ13*$GY13/Minerals!$C$3),"")</f>
        <v>-1.472658053418096</v>
      </c>
      <c r="HF13" s="198"/>
      <c r="HG13" s="88">
        <f>IF(HA13&lt;&gt;"",LOG(GQ13*GU13/(EXP(-1*Minerals!$E$6/'Other Constants'!$B$2*(1/(273.15+'ppm-mgL-1'!$D13)-1/298.15)+LN(Minerals!$C$6)))),"")</f>
        <v>1.0339597563609269</v>
      </c>
      <c r="HH13" s="89">
        <f>IF(HA13&lt;&gt;"",LOG(GQ13*GU13/(EXP(-1*Minerals!$E$5/'Other Constants'!$B$2*(1/(273.15+'ppm-mgL-1'!$D13)-1/298.15)+LN(Minerals!$C$5)))),"")</f>
        <v>0.90348022700470898</v>
      </c>
      <c r="HI13" s="89">
        <f>IF(HC13&lt;&gt;"",LOG(GQ13*GX13^2/(EXP(-1*Minerals!$E$2/'Other Constants'!$B$2*(1/(273.15+'ppm-mgL-1'!$D13)-1/298.15)+LN(Minerals!$C$2)))),"")</f>
        <v>1.7788826001739315</v>
      </c>
      <c r="HJ13" s="89">
        <f>IF(HD13&lt;&gt;"",LOG($FF13*$FN13/(EXP(-1*Minerals!$E$3/'Other Constants'!$B$2*(1/(273.15+'ppm-mgL-1'!$D13)-1/298.15)+LN(Minerals!$C$3)))),"")</f>
        <v>-1.5057023288378908</v>
      </c>
      <c r="HK13" s="90">
        <f>IF(HE13&lt;&gt;"",LOG($FF13*$FN13/(EXP(-1*Minerals!$E$4/'Other Constants'!$B$2*(1/(273.15+'ppm-mgL-1'!$D13)-1/298.15)+LN(Minerals!$C$4)))),"")</f>
        <v>-1.7456868403037928</v>
      </c>
      <c r="HL13" s="198"/>
      <c r="HM13" s="198"/>
    </row>
    <row r="14" spans="1:221" customFormat="1" x14ac:dyDescent="0.25">
      <c r="A14" s="3"/>
      <c r="B14" s="6" t="s">
        <v>231</v>
      </c>
      <c r="C14" s="215"/>
      <c r="D14" s="3">
        <v>25</v>
      </c>
      <c r="E14" s="4">
        <v>10</v>
      </c>
      <c r="F14" s="4"/>
      <c r="G14" s="4"/>
      <c r="H14" s="5"/>
      <c r="I14" s="3" t="str">
        <f t="shared" si="54"/>
        <v/>
      </c>
      <c r="J14" s="4" t="str">
        <f t="shared" si="55"/>
        <v/>
      </c>
      <c r="K14" s="3" t="str">
        <f t="shared" si="56"/>
        <v/>
      </c>
      <c r="L14" s="4" t="str">
        <f t="shared" si="1"/>
        <v/>
      </c>
      <c r="M14" s="3" t="str">
        <f t="shared" si="0"/>
        <v/>
      </c>
      <c r="N14" s="4" t="str">
        <f t="shared" ref="N14" si="190">IF(M14&lt;&gt;"", IF($D14&lt;&gt;"",M14*2.303*0.0019858*($D14+273.15)/23.06, 0.059*M14),"")</f>
        <v/>
      </c>
      <c r="O14" s="3" t="str">
        <f t="shared" si="2"/>
        <v/>
      </c>
      <c r="P14" s="4" t="str">
        <f t="shared" ref="P14" si="191">IF(O14&lt;&gt;"", IF($D14&lt;&gt;"",O14*2.303*0.0019858*($D14+273.15)/23.06, 0.059*O14),"")</f>
        <v/>
      </c>
      <c r="Q14" s="3" t="str">
        <f t="shared" si="3"/>
        <v/>
      </c>
      <c r="R14" s="4" t="str">
        <f t="shared" ref="R14" si="192">IF(Q14&lt;&gt;"", IF($D14&lt;&gt;"",Q14*2.303*0.0019858*($D14+273.15)/23.06, 0.059*Q14),"")</f>
        <v/>
      </c>
      <c r="S14" s="3" t="str">
        <f t="shared" si="4"/>
        <v/>
      </c>
      <c r="T14" s="4" t="str">
        <f t="shared" ref="T14" si="193">IF(S14&lt;&gt;"", IF($D14&lt;&gt;"",S14*2.303*0.0019858*($D14+273.15)/23.06, 0.059*S14),"")</f>
        <v/>
      </c>
      <c r="U14" s="3" t="str">
        <f>IF(AND($E14&lt;&gt;"",$CX14&lt;&gt;"",$DG14&lt;&gt;""),IF($E14&lt;7,5.12-5/4*$E14+1/8*LOG($CX14/$DG14),4.25-9/8*$E14+1/8*(LOG($CX14)-$E14-LOG($DG14)+pKa!$B$3)),"")</f>
        <v/>
      </c>
      <c r="V14" s="4" t="str">
        <f t="shared" ref="V14" si="194">IF(U14&lt;&gt;"", IF($D14&lt;&gt;"",U14*2.303*0.0019858*($D14+273.15)/23.06, 0.059*U14),"")</f>
        <v/>
      </c>
      <c r="W14" s="3" t="str">
        <f t="shared" si="5"/>
        <v/>
      </c>
      <c r="X14" s="4" t="str">
        <f t="shared" ref="X14" si="195">IF(W14&lt;&gt;"", IF($D14&lt;&gt;"",W14*2.303*0.0019858*($D14+273.15)/23.06, 0.059*W14),"")</f>
        <v/>
      </c>
      <c r="Y14" s="3" t="str">
        <f t="shared" si="6"/>
        <v/>
      </c>
      <c r="Z14" s="4" t="str">
        <f t="shared" ref="Z14" si="196">IF(Y14&lt;&gt;"", IF($D14&lt;&gt;"",Y14*2.303*0.0019858*($D14+273.15)/23.06, 0.059*Y14),"")</f>
        <v/>
      </c>
      <c r="AA14" s="3" t="str">
        <f t="shared" si="7"/>
        <v/>
      </c>
      <c r="AB14" s="4" t="str">
        <f t="shared" ref="AB14" si="197">IF(AA14&lt;&gt;"", IF($D14&lt;&gt;"",AA14*2.303*0.0019858*($D14+273.15)/23.06, 0.059*AA14),"")</f>
        <v/>
      </c>
      <c r="AC14" s="4"/>
      <c r="AD14" s="83">
        <f>IF(E14&lt;&gt;"",10^(-2*$E14)/(10^(-2*$E14)+10^(-$E14-pKa!$B$2)+(10^(-pKa!$B$2-pKa!$C$2))),"")</f>
        <v>1.3289462570967262E-4</v>
      </c>
      <c r="AE14" s="84">
        <f>IF(E14&lt;&gt;"",10^(-$E14-pKa!$B$2)/(10^(-2*$E14)+10^(-$E14-pKa!$B$2)+10^(-pKa!$B$2-pKa!$C$2)),"")</f>
        <v>0.66605089823362107</v>
      </c>
      <c r="AF14" s="212">
        <f>IF(E14&lt;&gt;"",10^(-pKa!$B$2-pKa!$C$2)/(10^(-2*$E14)+10^(-$E14-pKa!$B$2)+10^(-pKa!$B$2-pKa!$C$2)),"")</f>
        <v>0.33381620714066929</v>
      </c>
      <c r="AG14" s="152"/>
      <c r="AH14" s="222">
        <f>IF($AK14&lt;&gt;"",$AK14/'Elements and ions'!$G$3,IF($E14="","","Enter Alk(HCO3-)"))</f>
        <v>4.3512577839167024E-2</v>
      </c>
      <c r="AI14" s="85">
        <f>IF($AH14&lt;&gt;"",($AH14-10^(-14+$E14)+10^(-$E14))/1000/(AE14+2*AF14),IF($E14="","",""))</f>
        <v>3.2550889354162233E-5</v>
      </c>
      <c r="AJ14" s="84">
        <f>IF(AI14&lt;&gt;"",AI14*1000*'Elements and ions'!$B$7,"")</f>
        <v>0.39095896676603636</v>
      </c>
      <c r="AK14" s="99">
        <v>2.6549999999999998</v>
      </c>
      <c r="AL14" s="88">
        <f>IF($AK14&lt;&gt;"",$AK14/'Elements and ions'!$G$3*Minerals!$B$6/2,IF($E14="","","Enter Alk(HCO3-)"))</f>
        <v>2.1775195134654632</v>
      </c>
      <c r="AM14" s="199"/>
      <c r="AN14" s="91">
        <f t="shared" si="8"/>
        <v>4.3258382572383572E-9</v>
      </c>
      <c r="AO14" s="89">
        <f t="shared" si="9"/>
        <v>2.1680549092642969E-5</v>
      </c>
      <c r="AP14" s="90">
        <f t="shared" si="10"/>
        <v>1.0866014423262027E-5</v>
      </c>
      <c r="AQ14" s="198"/>
      <c r="AR14" s="198"/>
      <c r="AS14" s="83">
        <f t="shared" si="66"/>
        <v>1.2723053697759874E-5</v>
      </c>
      <c r="AT14" s="83">
        <f>IF(AN14&lt;&gt;"",AN14/'Henrys law constants'!$B$7*1000000,"")</f>
        <v>0.12723053697759873</v>
      </c>
      <c r="AU14" s="3"/>
      <c r="AV14" s="6"/>
      <c r="AW14" s="6"/>
      <c r="AX14" s="6"/>
      <c r="AY14" s="226">
        <f>AO14*'Elements and ions'!$G$3*1000</f>
        <v>1.3228785950979411</v>
      </c>
      <c r="AZ14" s="6"/>
      <c r="BA14" s="6"/>
      <c r="BB14" s="5"/>
      <c r="BC14" s="222">
        <f>IF($E14&lt;&gt;"",10^-$E14*'Elements and ions'!B13*1000,"")</f>
        <v>2.4305000000000003E-6</v>
      </c>
      <c r="BD14" s="4"/>
      <c r="BE14" s="6"/>
      <c r="BF14" s="6"/>
      <c r="BG14" s="5"/>
      <c r="BH14" s="3"/>
      <c r="BI14" s="4"/>
      <c r="BJ14" s="88">
        <f>IF($AN14&lt;&gt;"",$AN14*'Elements and ions'!$G$2*1000,"")</f>
        <v>2.6830916622079244E-4</v>
      </c>
      <c r="BK14" s="229"/>
      <c r="BL14" s="230"/>
      <c r="BM14" s="91">
        <f>IF($E14&lt;&gt;"",(10^-14+$E14)*'Elements and ions'!$G$8,"")</f>
        <v>170.07340000000016</v>
      </c>
      <c r="BN14" s="4"/>
      <c r="BO14" s="97">
        <f>IF($AP14&lt;&gt;"",$AP14*'Elements and ions'!$G$4*1000,"")</f>
        <v>0.65205757292408861</v>
      </c>
      <c r="BP14" s="6"/>
      <c r="BQ14" s="5"/>
      <c r="BR14" s="195"/>
      <c r="BS14" s="238" t="str">
        <f>IF($AU14&lt;&gt;"",$AU14/'Elements and ions'!$B$12,"")</f>
        <v/>
      </c>
      <c r="BT14" s="239" t="str">
        <f>IF($AV14&lt;&gt;"",$AV14/'Elements and ions'!$B$20,"")</f>
        <v/>
      </c>
      <c r="BU14" s="239" t="str">
        <f>IF($AW14&lt;&gt;"",$AW14/'Elements and ions'!$B$21, "")</f>
        <v/>
      </c>
      <c r="BV14" s="240" t="str">
        <f>IF($AX14&lt;&gt;"",$AX14/'Elements and ions'!$B$13, "")</f>
        <v/>
      </c>
      <c r="BW14" s="238">
        <f>IF($AY14&lt;&gt;"",$AY14/'Elements and ions'!$G$3,"")</f>
        <v>2.168054909264297E-2</v>
      </c>
      <c r="BX14" s="239" t="str">
        <f>IF($AZ14&lt;&gt;"",$AZ14/'Elements and ions'!$B$18,"")</f>
        <v/>
      </c>
      <c r="BY14" s="239" t="str">
        <f>IF($BA14&lt;&gt;"",$BA14/'Elements and ions'!$G$7,"")</f>
        <v/>
      </c>
      <c r="BZ14" s="241" t="str">
        <f>IF($BB14&lt;&gt;"",$BB14/'Elements and ions'!$G$5,"")</f>
        <v/>
      </c>
      <c r="CA14" s="91">
        <f t="shared" si="67"/>
        <v>1.0000000000000001E-7</v>
      </c>
      <c r="CB14" s="163" t="str">
        <f>IF($BD14&lt;&gt;"",$BD14/'Elements and ions'!$B$14,"")</f>
        <v/>
      </c>
      <c r="CC14" s="89" t="str">
        <f>IF($BE14&lt;&gt;"",$BE14/'Elements and ions'!$B$27, "")</f>
        <v/>
      </c>
      <c r="CD14" s="249" t="str">
        <f>IF($BF14&lt;&gt;"",$BF14/'Elements and ions'!$B$26,"")</f>
        <v/>
      </c>
      <c r="CE14" s="250" t="str">
        <f>IF($BG14&lt;&gt;"",$BG14/'Elements and ions'!$G$6,"")</f>
        <v/>
      </c>
      <c r="CF14" s="91" t="str">
        <f>IF($BH14&lt;&gt;"",$BH14/'Elements and ions'!$G$15,"")</f>
        <v/>
      </c>
      <c r="CG14" s="89" t="str">
        <f>IF($BI14&lt;&gt;"",$BI14/'Elements and ions'!$G$16,"")</f>
        <v/>
      </c>
      <c r="CH14" s="90">
        <f>IF($BJ14&lt;&gt;"",$BJ14/'Elements and ions'!$G$2,"")</f>
        <v>4.3258382572383563E-6</v>
      </c>
      <c r="CI14" s="91" t="str">
        <f>IF($BK14&lt;&gt;"",$BK14/'Elements and ions'!$B$15, "")</f>
        <v/>
      </c>
      <c r="CJ14" s="88" t="str">
        <f>IF($BL14&lt;&gt;"", $BL14/'Elements and ions'!$G$17,"")</f>
        <v/>
      </c>
      <c r="CK14" s="89">
        <f t="shared" si="68"/>
        <v>0.1</v>
      </c>
      <c r="CL14" s="163" t="str">
        <f>IF($BN14&lt;&gt;"", $BN14/'Elements and ions'!$G$19,"")</f>
        <v/>
      </c>
      <c r="CM14" s="89">
        <f>IF($BO14&lt;&gt;"",$BO14/'Elements and ions'!$G$4,"")</f>
        <v>1.0866014423262026E-2</v>
      </c>
      <c r="CN14" s="89" t="str">
        <f>IF($BP14&lt;&gt;"",$BP14/'Elements and ions'!$B$10,"")</f>
        <v/>
      </c>
      <c r="CO14" s="104" t="str">
        <f>IF($BQ14&lt;&gt;"",$BQ14/'Elements and ions'!$G$18,"")</f>
        <v/>
      </c>
      <c r="CP14" s="242"/>
      <c r="CQ14" s="238" t="str">
        <f t="shared" si="94"/>
        <v/>
      </c>
      <c r="CR14" s="239" t="str">
        <f t="shared" si="95"/>
        <v/>
      </c>
      <c r="CS14" s="239" t="str">
        <f t="shared" si="96"/>
        <v/>
      </c>
      <c r="CT14" s="241" t="str">
        <f t="shared" si="97"/>
        <v/>
      </c>
      <c r="CU14" s="238">
        <f t="shared" si="11"/>
        <v>2.1680549092642969E-5</v>
      </c>
      <c r="CV14" s="239" t="str">
        <f t="shared" si="12"/>
        <v/>
      </c>
      <c r="CW14" s="239" t="str">
        <f t="shared" si="13"/>
        <v/>
      </c>
      <c r="CX14" s="241" t="str">
        <f t="shared" si="69"/>
        <v/>
      </c>
      <c r="CY14" s="258">
        <f t="shared" si="98"/>
        <v>1E-10</v>
      </c>
      <c r="CZ14" s="259" t="str">
        <f t="shared" si="99"/>
        <v/>
      </c>
      <c r="DA14" s="260" t="str">
        <f t="shared" si="100"/>
        <v/>
      </c>
      <c r="DB14" s="261" t="str">
        <f t="shared" si="101"/>
        <v/>
      </c>
      <c r="DC14" s="262" t="str">
        <f t="shared" si="102"/>
        <v/>
      </c>
      <c r="DD14" s="263" t="str">
        <f t="shared" si="103"/>
        <v/>
      </c>
      <c r="DE14" s="259" t="str">
        <f t="shared" si="104"/>
        <v/>
      </c>
      <c r="DF14" s="260">
        <f t="shared" si="105"/>
        <v>4.3258382572383563E-9</v>
      </c>
      <c r="DG14" s="260" t="str">
        <f t="shared" si="106"/>
        <v/>
      </c>
      <c r="DH14" s="264" t="str">
        <f t="shared" si="107"/>
        <v/>
      </c>
      <c r="DI14" s="258">
        <f t="shared" si="108"/>
        <v>1E-4</v>
      </c>
      <c r="DJ14" s="260" t="str">
        <f t="shared" si="109"/>
        <v/>
      </c>
      <c r="DK14" s="260">
        <f t="shared" si="110"/>
        <v>1.0866014423262026E-5</v>
      </c>
      <c r="DL14" s="260" t="str">
        <f t="shared" si="111"/>
        <v/>
      </c>
      <c r="DM14" s="265" t="str">
        <f t="shared" si="112"/>
        <v/>
      </c>
      <c r="DN14" s="242"/>
      <c r="DO14" s="238">
        <f t="shared" si="18"/>
        <v>0</v>
      </c>
      <c r="DP14" s="239">
        <f t="shared" si="19"/>
        <v>0</v>
      </c>
      <c r="DQ14" s="239">
        <f t="shared" si="20"/>
        <v>0</v>
      </c>
      <c r="DR14" s="241">
        <f t="shared" si="21"/>
        <v>0</v>
      </c>
      <c r="DS14" s="238">
        <f t="shared" si="22"/>
        <v>-2.168054909264297E-2</v>
      </c>
      <c r="DT14" s="239">
        <f t="shared" si="23"/>
        <v>0</v>
      </c>
      <c r="DU14" s="239">
        <f t="shared" si="24"/>
        <v>0</v>
      </c>
      <c r="DV14" s="241">
        <f t="shared" si="25"/>
        <v>0</v>
      </c>
      <c r="DW14" s="91">
        <f t="shared" si="113"/>
        <v>1.0000000000000001E-7</v>
      </c>
      <c r="DX14" s="89">
        <f t="shared" si="114"/>
        <v>0</v>
      </c>
      <c r="DY14" s="89">
        <f t="shared" si="115"/>
        <v>0</v>
      </c>
      <c r="DZ14" s="89">
        <f t="shared" si="116"/>
        <v>0</v>
      </c>
      <c r="EA14" s="90">
        <f t="shared" si="117"/>
        <v>0</v>
      </c>
      <c r="EB14" s="91">
        <f t="shared" si="118"/>
        <v>-0.1</v>
      </c>
      <c r="EC14" s="89">
        <f t="shared" si="119"/>
        <v>0</v>
      </c>
      <c r="ED14" s="89">
        <f t="shared" si="120"/>
        <v>-2.1732028846524053E-2</v>
      </c>
      <c r="EE14" s="89">
        <f t="shared" si="121"/>
        <v>0</v>
      </c>
      <c r="EF14" s="90">
        <f t="shared" si="122"/>
        <v>0</v>
      </c>
      <c r="EG14" s="242"/>
      <c r="EH14" s="245">
        <f t="shared" si="123"/>
        <v>1.0000000000000001E-7</v>
      </c>
      <c r="EI14" s="246">
        <f t="shared" si="124"/>
        <v>-0.14341257793916704</v>
      </c>
      <c r="EJ14" s="198">
        <f t="shared" si="83"/>
        <v>-99.999860542315446</v>
      </c>
      <c r="EK14" s="198">
        <f t="shared" si="27"/>
        <v>1.0840274546321485E-5</v>
      </c>
      <c r="EL14" s="91" t="str">
        <f>IF(AND(CS14&lt;&gt;"",DK14&lt;&gt;""),LOG(CS14*DK14/Minerals!$C$6),"")</f>
        <v/>
      </c>
      <c r="EM14" s="89" t="str">
        <f>IF(AND(CS14&lt;&gt;"",DK14&lt;&gt;""),LOG(CS14*DK14/Minerals!$C$5),"")</f>
        <v/>
      </c>
      <c r="EN14" s="89" t="str">
        <f>IF(AND(CS14&lt;&gt;"",DL14&lt;&gt;""),LOG(CS14*DL14^2/Minerals!$C$2),"")</f>
        <v/>
      </c>
      <c r="EO14" s="89" t="str">
        <f>IF(AND(CS14&lt;&gt;"",CX14&lt;&gt;""),LOG($CS14*$CX14/Minerals!$C$3),"")</f>
        <v/>
      </c>
      <c r="EP14" s="90" t="str">
        <f>IF(AND(CS14&lt;&gt;"",CX14&lt;&gt;""),LOG($CS14*$CX14/Minerals!$C$4),"")</f>
        <v/>
      </c>
      <c r="EQ14" s="198"/>
      <c r="ER14" s="91">
        <f t="shared" si="28"/>
        <v>0.99622898611287425</v>
      </c>
      <c r="ES14" s="89">
        <f>10^(-0.5*SQRT($EK14)/(1+SQRT($EK14)))</f>
        <v>0.99622898611287425</v>
      </c>
      <c r="ET14" s="89">
        <f t="shared" si="29"/>
        <v>0.9850010534246405</v>
      </c>
      <c r="EU14" s="89">
        <f t="shared" si="29"/>
        <v>0.9850010534246405</v>
      </c>
      <c r="EV14" s="90">
        <f t="shared" si="29"/>
        <v>0.9850010534246405</v>
      </c>
      <c r="EW14" s="91">
        <f t="shared" si="30"/>
        <v>0.99622898611287425</v>
      </c>
      <c r="EX14" s="89">
        <f t="shared" si="31"/>
        <v>0.9850010534246405</v>
      </c>
      <c r="EY14" s="89">
        <f t="shared" si="30"/>
        <v>0.99622898611287425</v>
      </c>
      <c r="EZ14" s="89">
        <f t="shared" si="30"/>
        <v>0.99622898611287425</v>
      </c>
      <c r="FA14" s="89">
        <f t="shared" si="165"/>
        <v>0.99622898611287425</v>
      </c>
      <c r="FB14" s="90">
        <f t="shared" si="32"/>
        <v>0.9850010534246405</v>
      </c>
      <c r="FC14" s="198"/>
      <c r="FD14" s="91" t="str">
        <f t="shared" si="33"/>
        <v/>
      </c>
      <c r="FE14" s="89" t="str">
        <f t="shared" si="34"/>
        <v/>
      </c>
      <c r="FF14" s="89" t="str">
        <f t="shared" si="35"/>
        <v/>
      </c>
      <c r="FG14" s="89" t="str">
        <f t="shared" si="36"/>
        <v/>
      </c>
      <c r="FH14" s="90" t="str">
        <f t="shared" si="37"/>
        <v/>
      </c>
      <c r="FI14" s="91">
        <f t="shared" si="85"/>
        <v>2.15987914409341E-5</v>
      </c>
      <c r="FJ14" s="89">
        <f t="shared" si="38"/>
        <v>1.0703035653440433E-5</v>
      </c>
      <c r="FK14" s="89" t="str">
        <f t="shared" si="39"/>
        <v/>
      </c>
      <c r="FL14" s="89" t="str">
        <f t="shared" si="40"/>
        <v/>
      </c>
      <c r="FM14" s="89" t="str">
        <f t="shared" si="41"/>
        <v/>
      </c>
      <c r="FN14" s="90" t="str">
        <f t="shared" si="42"/>
        <v/>
      </c>
      <c r="FO14" s="198"/>
      <c r="FP14" s="91" t="str">
        <f>IF(EL14&lt;&gt;"",LOG(FF14*FJ14/Minerals!$C$6),"")</f>
        <v/>
      </c>
      <c r="FQ14" s="89" t="str">
        <f>IF(EL14&lt;&gt;"",LOG(FF14*FJ14/Minerals!$C$5),"")</f>
        <v/>
      </c>
      <c r="FR14" s="89" t="str">
        <f>IF(EN14&lt;&gt;"",LOG(FF14*FM14^2/Minerals!$C$2),"")</f>
        <v/>
      </c>
      <c r="FS14" s="89" t="str">
        <f>IF(EO14&lt;&gt;"",LOG($FF14*$FN14/Minerals!$C$3),"")</f>
        <v/>
      </c>
      <c r="FT14" s="90" t="str">
        <f>IF(EP14&lt;&gt;"",LOG($FF14*$FN14/Minerals!$C$4),"")</f>
        <v/>
      </c>
      <c r="FU14" s="163"/>
      <c r="FV14" s="91" t="str">
        <f>IF(FP14&lt;&gt;"",LOG(FF14*FJ14/(EXP(-1*Minerals!$E$6/'Other Constants'!$B$2*(1/(273.15+'ppm-mgL-1'!$D14)-1/298.15)+LN(Minerals!$C$6)))),"")</f>
        <v/>
      </c>
      <c r="FW14" s="89" t="str">
        <f>IF(FP14&lt;&gt;"",LOG(FF14*FJ14/(EXP(-1*Minerals!$E$5/'Other Constants'!$B$2*(1/(273.15+'ppm-mgL-1'!$D14)-1/298.15)+LN(Minerals!$C$5)))),"")</f>
        <v/>
      </c>
      <c r="FX14" s="89" t="str">
        <f>IF(FR14&lt;&gt;"",LOG(FF14*FM14^2/(EXP(-1*Minerals!$E$2/'Other Constants'!$B$2*(1/(273.15+'ppm-mgL-1'!$D14)-1/298.15)+LN(Minerals!$C$2)))),"")</f>
        <v/>
      </c>
      <c r="FY14" s="89" t="str">
        <f>IF(FS14&lt;&gt;"",LOG($FF14*$FN14/(EXP(-1*Minerals!$E$3/'Other Constants'!$B$2*(1/(273.15+'ppm-mgL-1'!$D14)-1/298.15)+LN(Minerals!$C$3)))),"")</f>
        <v/>
      </c>
      <c r="FZ14" s="90" t="str">
        <f>IF(FT14&lt;&gt;"",LOG($FF14*$FN14/(EXP(-1*Minerals!$E$4/'Other Constants'!$B$2*(1/(273.15+'ppm-mgL-1'!$D14)-1/298.15)+LN(Minerals!$C$4)))),"")</f>
        <v/>
      </c>
      <c r="GA14" s="163"/>
      <c r="GB14" s="163"/>
      <c r="GC14" s="91">
        <f>10^(-1825000*(79.755*EXP(-0.0046*($D14-20))*($D14+273.15))^-1.5*$EK14^0.5/(1+'Elements and ions'!$D$12*$EK14^0.5/(2*(79.755*EXP(-0.0046*($D14-20))*($D14+273.15))^0.5)))</f>
        <v>0.99611870528012803</v>
      </c>
      <c r="GD14" s="89">
        <f>10^(-1825000*(79.755*EXP(-0.0046*($D14-20))*($D14+273.15))^-1.5*$EK14^0.5/(1+'Elements and ions'!$D$20*$EK14^0.5/(2*(79.755*EXP(-0.0046*($D14-20))*($D14+273.15))^0.5)))</f>
        <v>0.99611453548778972</v>
      </c>
      <c r="GE14" s="89">
        <f>10^(-1825000*(79.755*EXP(-0.0046*($D14-20))*($D14+273.15))^-1.5*4*$EK14^0.5/(1+'Elements and ions'!$D$21*$EK14^0.5/(2*(79.755*EXP(-0.0046*($D14-20))*($D14+273.15))^0.5)))</f>
        <v>0.98459784007144591</v>
      </c>
      <c r="GF14" s="89">
        <f>10^(-1825000*(79.755*EXP(-0.0046*($D14-20))*($D14+273.15))^-1.5*4*$EK14^0.5/(1+'Elements and ions'!$D$13*$EK14^0.5/(2*(79.755*EXP(-0.0046*($D14-20))*($D14+273.15))^0.5)))</f>
        <v>0.9846305663184618</v>
      </c>
      <c r="GG14" s="90">
        <f>10^(-1825000*(79.755*EXP(-0.0046*($D14-20))*($D14+273.15))^-1.5*4*$EK14^0.5/(1+'Elements and ions'!$D$27*$EK14^0.5/(2*(79.755*EXP(-0.0046*($D14-20))*($D14+273.15))^0.5)))</f>
        <v>0.98459784007144591</v>
      </c>
      <c r="GH14" s="91">
        <f>10^(-1825000*(79.755*EXP(-0.0046*($D14-20))*($D14+273.15))^-1.5*$EK14^0.5/(1+'Elements and ions'!$G$3*$EK14^0.5/(2*(79.755*EXP(-0.0046*($D14-20))*($D14+273.15))^0.5)))</f>
        <v>0.99610453400203136</v>
      </c>
      <c r="GI14" s="89">
        <f>10^(-1825000*(79.755*EXP(-0.0046*($D14-20))*($D14+273.15))^-1.5*4*$EK14^0.5/(1+'Elements and ions'!$G$4*$EK14^0.5/(2*(79.755*EXP(-0.0046*($D14-20))*($D14+273.15))^0.5)))</f>
        <v>0.98450878052428914</v>
      </c>
      <c r="GJ14" s="89">
        <f>10^(-1825000*(79.755*EXP(-0.0046*($D14-20))*($D14+273.15))^-1.5*$EK14^0.5/(1+'Elements and ions'!$D$18*$EK14^0.5/(2*(79.755*EXP(-0.0046*($D14-20))*($D14+273.15))^0.5)))</f>
        <v>0.99611453548778972</v>
      </c>
      <c r="GK14" s="89">
        <f>10^(-1825000*(79.755*EXP(-0.0046*($D14-20))*($D14+273.15))^-1.5*$EK14^0.5/(1+'Elements and ions'!$I$7*$EK14^0.5/(2*(79.755*EXP(-0.0046*($D14-20))*($D14+273.15))^0.5)))</f>
        <v>0.99611453548778972</v>
      </c>
      <c r="GL14" s="89">
        <f>10^(-1825000*(79.755*EXP(-0.0046*($D14-20))*($D14+273.15))^-1.5*$EK14^0.5/(1+'Elements and ions'!$D$10*$EK14^0.5/(2*(79.755*EXP(-0.0046*($D14-20))*($D14+273.15))^0.5)))</f>
        <v>0.99611662150328972</v>
      </c>
      <c r="GM14" s="90">
        <f>10^(-1825000*(79.755*EXP(-0.0046*($D14-20))*($D14+273.15))^-1.5*4*$EK14^0.5/(1+'Elements and ions'!$I$5*$EK14^0.5/(2*(79.755*EXP(-0.0046*($D14-20))*($D14+273.15))^0.5)))</f>
        <v>0.98456497416140443</v>
      </c>
      <c r="GN14" s="163"/>
      <c r="GO14" s="91" t="str">
        <f t="shared" si="43"/>
        <v/>
      </c>
      <c r="GP14" s="89" t="str">
        <f t="shared" si="44"/>
        <v/>
      </c>
      <c r="GQ14" s="89" t="str">
        <f t="shared" si="45"/>
        <v/>
      </c>
      <c r="GR14" s="89" t="str">
        <f t="shared" si="46"/>
        <v/>
      </c>
      <c r="GS14" s="90" t="str">
        <f t="shared" si="47"/>
        <v/>
      </c>
      <c r="GT14" s="91">
        <f t="shared" si="48"/>
        <v>2.1596093250835288E-5</v>
      </c>
      <c r="GU14" s="89">
        <f t="shared" si="49"/>
        <v>1.0697686609005033E-5</v>
      </c>
      <c r="GV14" s="89" t="str">
        <f t="shared" si="50"/>
        <v/>
      </c>
      <c r="GW14" s="89" t="str">
        <f t="shared" si="51"/>
        <v/>
      </c>
      <c r="GX14" s="89" t="str">
        <f t="shared" si="52"/>
        <v/>
      </c>
      <c r="GY14" s="97" t="str">
        <f t="shared" si="53"/>
        <v/>
      </c>
      <c r="GZ14" s="198"/>
      <c r="HA14" s="88" t="str">
        <f>IF(AND(GQ14&lt;&gt;"",GU14&lt;&gt;""),LOG(GQ14*GU14/Minerals!$C$6),"")</f>
        <v/>
      </c>
      <c r="HB14" s="89" t="str">
        <f>IF(AND(GQ14&lt;&gt;"",GU14&lt;&gt;""),LOG(GQ14*GU14/Minerals!$C$5),"")</f>
        <v/>
      </c>
      <c r="HC14" s="89" t="str">
        <f>IF(AND(GQ14&lt;&gt;"",GX14&lt;&gt;""),LOG(GQ14*GX14^2/Minerals!$C$2),"")</f>
        <v/>
      </c>
      <c r="HD14" s="89" t="str">
        <f>IF(AND(GQ14&lt;&gt;"",GY14&lt;&gt;""),LOG($GQ14*$GY14/Minerals!$C$3),"")</f>
        <v/>
      </c>
      <c r="HE14" s="97" t="str">
        <f>IF(AND(GQ14&lt;&gt;"",GY14&lt;&gt;""),LOG($GQ14*$GY14/Minerals!$C$3),"")</f>
        <v/>
      </c>
      <c r="HF14" s="198"/>
      <c r="HG14" s="88" t="str">
        <f>IF(HA14&lt;&gt;"",LOG(GQ14*GU14/(EXP(-1*Minerals!$E$6/'Other Constants'!$B$2*(1/(273.15+'ppm-mgL-1'!$D14)-1/298.15)+LN(Minerals!$C$6)))),"")</f>
        <v/>
      </c>
      <c r="HH14" s="89" t="str">
        <f>IF(HA14&lt;&gt;"",LOG(GQ14*GU14/(EXP(-1*Minerals!$E$5/'Other Constants'!$B$2*(1/(273.15+'ppm-mgL-1'!$D14)-1/298.15)+LN(Minerals!$C$5)))),"")</f>
        <v/>
      </c>
      <c r="HI14" s="89" t="str">
        <f>IF(HC14&lt;&gt;"",LOG(GQ14*GX14^2/(EXP(-1*Minerals!$E$2/'Other Constants'!$B$2*(1/(273.15+'ppm-mgL-1'!$D14)-1/298.15)+LN(Minerals!$C$2)))),"")</f>
        <v/>
      </c>
      <c r="HJ14" s="89" t="str">
        <f>IF(HD14&lt;&gt;"",LOG($FF14*$FN14/(EXP(-1*Minerals!$E$3/'Other Constants'!$B$2*(1/(273.15+'ppm-mgL-1'!$D14)-1/298.15)+LN(Minerals!$C$3)))),"")</f>
        <v/>
      </c>
      <c r="HK14" s="90" t="str">
        <f>IF(HE14&lt;&gt;"",LOG($FF14*$FN14/(EXP(-1*Minerals!$E$4/'Other Constants'!$B$2*(1/(273.15+'ppm-mgL-1'!$D14)-1/298.15)+LN(Minerals!$C$4)))),"")</f>
        <v/>
      </c>
      <c r="HL14" s="198"/>
      <c r="HM14" s="198"/>
    </row>
    <row r="15" spans="1:221" customFormat="1" x14ac:dyDescent="0.25">
      <c r="A15" s="3"/>
      <c r="B15" s="6" t="s">
        <v>232</v>
      </c>
      <c r="C15" s="215"/>
      <c r="D15" s="3">
        <v>25</v>
      </c>
      <c r="E15" s="4">
        <v>6.5</v>
      </c>
      <c r="F15" s="4"/>
      <c r="G15" s="4"/>
      <c r="H15" s="5"/>
      <c r="I15" s="3" t="str">
        <f t="shared" si="54"/>
        <v/>
      </c>
      <c r="J15" s="4" t="str">
        <f t="shared" si="55"/>
        <v/>
      </c>
      <c r="K15" s="3" t="str">
        <f t="shared" si="56"/>
        <v/>
      </c>
      <c r="L15" s="4" t="str">
        <f t="shared" si="1"/>
        <v/>
      </c>
      <c r="M15" s="3" t="str">
        <f t="shared" si="0"/>
        <v/>
      </c>
      <c r="N15" s="4" t="str">
        <f t="shared" ref="N15" si="198">IF(M15&lt;&gt;"", IF($D15&lt;&gt;"",M15*2.303*0.0019858*($D15+273.15)/23.06, 0.059*M15),"")</f>
        <v/>
      </c>
      <c r="O15" s="3" t="str">
        <f t="shared" si="2"/>
        <v/>
      </c>
      <c r="P15" s="4" t="str">
        <f t="shared" ref="P15" si="199">IF(O15&lt;&gt;"", IF($D15&lt;&gt;"",O15*2.303*0.0019858*($D15+273.15)/23.06, 0.059*O15),"")</f>
        <v/>
      </c>
      <c r="Q15" s="3" t="str">
        <f t="shared" si="3"/>
        <v/>
      </c>
      <c r="R15" s="4" t="str">
        <f t="shared" ref="R15" si="200">IF(Q15&lt;&gt;"", IF($D15&lt;&gt;"",Q15*2.303*0.0019858*($D15+273.15)/23.06, 0.059*Q15),"")</f>
        <v/>
      </c>
      <c r="S15" s="3" t="str">
        <f t="shared" si="4"/>
        <v/>
      </c>
      <c r="T15" s="4" t="str">
        <f t="shared" ref="T15" si="201">IF(S15&lt;&gt;"", IF($D15&lt;&gt;"",S15*2.303*0.0019858*($D15+273.15)/23.06, 0.059*S15),"")</f>
        <v/>
      </c>
      <c r="U15" s="3" t="str">
        <f>IF(AND($E15&lt;&gt;"",$CX15&lt;&gt;"",$DG15&lt;&gt;""),IF($E15&lt;7,5.12-5/4*$E15+1/8*LOG($CX15/$DG15),4.25-9/8*$E15+1/8*(LOG($CX15)-$E15-LOG($DG15)+pKa!$B$3)),"")</f>
        <v/>
      </c>
      <c r="V15" s="4" t="str">
        <f t="shared" ref="V15" si="202">IF(U15&lt;&gt;"", IF($D15&lt;&gt;"",U15*2.303*0.0019858*($D15+273.15)/23.06, 0.059*U15),"")</f>
        <v/>
      </c>
      <c r="W15" s="3" t="str">
        <f t="shared" si="5"/>
        <v/>
      </c>
      <c r="X15" s="4" t="str">
        <f t="shared" ref="X15" si="203">IF(W15&lt;&gt;"", IF($D15&lt;&gt;"",W15*2.303*0.0019858*($D15+273.15)/23.06, 0.059*W15),"")</f>
        <v/>
      </c>
      <c r="Y15" s="3" t="str">
        <f t="shared" si="6"/>
        <v/>
      </c>
      <c r="Z15" s="4" t="str">
        <f t="shared" ref="Z15" si="204">IF(Y15&lt;&gt;"", IF($D15&lt;&gt;"",Y15*2.303*0.0019858*($D15+273.15)/23.06, 0.059*Y15),"")</f>
        <v/>
      </c>
      <c r="AA15" s="3" t="str">
        <f t="shared" si="7"/>
        <v/>
      </c>
      <c r="AB15" s="4" t="str">
        <f t="shared" ref="AB15" si="205">IF(AA15&lt;&gt;"", IF($D15&lt;&gt;"",AA15*2.303*0.0019858*($D15+273.15)/23.06, 0.059*AA15),"")</f>
        <v/>
      </c>
      <c r="AC15" s="4"/>
      <c r="AD15" s="83">
        <f>IF(E15&lt;&gt;"",10^(-2*$E15)/(10^(-2*$E15)+10^(-$E15-pKa!$B$2)+(10^(-pKa!$B$2-pKa!$C$2))),"")</f>
        <v>0.38682558982366999</v>
      </c>
      <c r="AE15" s="84">
        <f>IF(E15&lt;&gt;"",10^(-$E15-pKa!$B$2)/(10^(-2*$E15)+10^(-$E15-pKa!$B$2)+10^(-pKa!$B$2-pKa!$C$2)),"")</f>
        <v>0.61307724398128605</v>
      </c>
      <c r="AF15" s="212">
        <f>IF(E15&lt;&gt;"",10^(-pKa!$B$2-pKa!$C$2)/(10^(-2*$E15)+10^(-$E15-pKa!$B$2)+10^(-pKa!$B$2-pKa!$C$2)),"")</f>
        <v>9.7166195043876216E-5</v>
      </c>
      <c r="AG15" s="152"/>
      <c r="AH15" s="88">
        <f>IF($AI15&lt;&gt;"",$AI15*1000*(AE15+2*AF15)+10^(-14+$E15)-10^(-$E15),IF($E15="","","Enter Alk(HCO3-)"))</f>
        <v>45.462449741680722</v>
      </c>
      <c r="AI15" s="99">
        <f>10^-1.13</f>
        <v>7.4131024130091761E-2</v>
      </c>
      <c r="AJ15" s="84">
        <f>IF(AI15&lt;&gt;"",AI15*1000*'Elements and ions'!$B$7,"")</f>
        <v>890.36549151929307</v>
      </c>
      <c r="AK15" s="89">
        <f>IF($AI15&lt;&gt;"",$AH15*'Elements and ions'!$G$3,IF($E15="","","Enter DIC"))</f>
        <v>2773.9750218961735</v>
      </c>
      <c r="AL15" s="94">
        <f>IF($AI15&lt;&gt;"",$AH15/2*Minerals!B6,IF($E15="","","Enter DIC"))</f>
        <v>2275.097830525312</v>
      </c>
      <c r="AM15" s="199"/>
      <c r="AN15" s="91">
        <f t="shared" si="8"/>
        <v>2.8675777133355458E-2</v>
      </c>
      <c r="AO15" s="89">
        <f t="shared" si="9"/>
        <v>4.5448043967186873E-2</v>
      </c>
      <c r="AP15" s="90">
        <f t="shared" si="10"/>
        <v>7.2030295494267901E-6</v>
      </c>
      <c r="AQ15" s="198"/>
      <c r="AR15" s="198"/>
      <c r="AS15" s="83">
        <f t="shared" si="66"/>
        <v>84.340520980457228</v>
      </c>
      <c r="AT15" s="83">
        <f>IF(AN15&lt;&gt;"",AN15/'Henrys law constants'!$B$7*1000000,"")</f>
        <v>843405.20980457228</v>
      </c>
      <c r="AU15" s="3"/>
      <c r="AV15" s="6"/>
      <c r="AW15" s="6"/>
      <c r="AX15" s="6"/>
      <c r="AY15" s="226">
        <f>AO15*'Elements and ions'!$G$3*1000</f>
        <v>2773.0960270588066</v>
      </c>
      <c r="AZ15" s="6"/>
      <c r="BA15" s="6"/>
      <c r="BB15" s="5"/>
      <c r="BC15" s="222">
        <f>IF($E15&lt;&gt;"",10^-$E15*'Elements and ions'!B14*1000,"")</f>
        <v>8.5323116751750642E-3</v>
      </c>
      <c r="BD15" s="4"/>
      <c r="BE15" s="6"/>
      <c r="BF15" s="6"/>
      <c r="BG15" s="5"/>
      <c r="BH15" s="3"/>
      <c r="BI15" s="4"/>
      <c r="BJ15" s="88">
        <f>IF($AN15&lt;&gt;"",$AN15*'Elements and ions'!$G$2*1000,"")</f>
        <v>1778.6087680254027</v>
      </c>
      <c r="BK15" s="229"/>
      <c r="BL15" s="230"/>
      <c r="BM15" s="91">
        <f>IF($E15&lt;&gt;"",(10^-14+$E15)*'Elements and ions'!$G$8,"")</f>
        <v>110.54771000000017</v>
      </c>
      <c r="BN15" s="4"/>
      <c r="BO15" s="97">
        <f>IF($AP15&lt;&gt;"",$AP15*'Elements and ions'!$G$4*1000,"")</f>
        <v>0.43224587992859725</v>
      </c>
      <c r="BP15" s="6"/>
      <c r="BQ15" s="5"/>
      <c r="BR15" s="195"/>
      <c r="BS15" s="238" t="str">
        <f>IF($AU15&lt;&gt;"",$AU15/'Elements and ions'!$B$12,"")</f>
        <v/>
      </c>
      <c r="BT15" s="239" t="str">
        <f>IF($AV15&lt;&gt;"",$AV15/'Elements and ions'!$B$20,"")</f>
        <v/>
      </c>
      <c r="BU15" s="239" t="str">
        <f>IF($AW15&lt;&gt;"",$AW15/'Elements and ions'!$B$21, "")</f>
        <v/>
      </c>
      <c r="BV15" s="240" t="str">
        <f>IF($AX15&lt;&gt;"",$AX15/'Elements and ions'!$B$13, "")</f>
        <v/>
      </c>
      <c r="BW15" s="238">
        <f>IF($AY15&lt;&gt;"",$AY15/'Elements and ions'!$G$3,"")</f>
        <v>45.448043967186877</v>
      </c>
      <c r="BX15" s="239" t="str">
        <f>IF($AZ15&lt;&gt;"",$AZ15/'Elements and ions'!$B$18,"")</f>
        <v/>
      </c>
      <c r="BY15" s="239" t="str">
        <f>IF($BA15&lt;&gt;"",$BA15/'Elements and ions'!$G$7,"")</f>
        <v/>
      </c>
      <c r="BZ15" s="241" t="str">
        <f>IF($BB15&lt;&gt;"",$BB15/'Elements and ions'!$G$5,"")</f>
        <v/>
      </c>
      <c r="CA15" s="91">
        <f t="shared" si="67"/>
        <v>3.1622776601683734E-4</v>
      </c>
      <c r="CB15" s="163" t="str">
        <f>IF($BD15&lt;&gt;"",$BD15/'Elements and ions'!$B$14,"")</f>
        <v/>
      </c>
      <c r="CC15" s="89" t="str">
        <f>IF($BE15&lt;&gt;"",$BE15/'Elements and ions'!$B$27, "")</f>
        <v/>
      </c>
      <c r="CD15" s="249" t="str">
        <f>IF($BF15&lt;&gt;"",$BF15/'Elements and ions'!$B$26,"")</f>
        <v/>
      </c>
      <c r="CE15" s="250" t="str">
        <f>IF($BG15&lt;&gt;"",$BG15/'Elements and ions'!$G$6,"")</f>
        <v/>
      </c>
      <c r="CF15" s="91" t="str">
        <f>IF($BH15&lt;&gt;"",$BH15/'Elements and ions'!$G$15,"")</f>
        <v/>
      </c>
      <c r="CG15" s="89" t="str">
        <f>IF($BI15&lt;&gt;"",$BI15/'Elements and ions'!$G$16,"")</f>
        <v/>
      </c>
      <c r="CH15" s="90">
        <f>IF($BJ15&lt;&gt;"",$BJ15/'Elements and ions'!$G$2,"")</f>
        <v>28.675777133355457</v>
      </c>
      <c r="CI15" s="91" t="str">
        <f>IF($BK15&lt;&gt;"",$BK15/'Elements and ions'!$B$15, "")</f>
        <v/>
      </c>
      <c r="CJ15" s="88" t="str">
        <f>IF($BL15&lt;&gt;"", $BL15/'Elements and ions'!$G$17,"")</f>
        <v/>
      </c>
      <c r="CK15" s="89">
        <f t="shared" si="68"/>
        <v>3.16227766016837E-5</v>
      </c>
      <c r="CL15" s="163" t="str">
        <f>IF($BN15&lt;&gt;"", $BN15/'Elements and ions'!$G$19,"")</f>
        <v/>
      </c>
      <c r="CM15" s="89">
        <f>IF($BO15&lt;&gt;"",$BO15/'Elements and ions'!$G$4,"")</f>
        <v>7.2030295494267893E-3</v>
      </c>
      <c r="CN15" s="89" t="str">
        <f>IF($BP15&lt;&gt;"",$BP15/'Elements and ions'!$B$10,"")</f>
        <v/>
      </c>
      <c r="CO15" s="104" t="str">
        <f>IF($BQ15&lt;&gt;"",$BQ15/'Elements and ions'!$G$18,"")</f>
        <v/>
      </c>
      <c r="CP15" s="242"/>
      <c r="CQ15" s="238" t="str">
        <f t="shared" si="94"/>
        <v/>
      </c>
      <c r="CR15" s="239" t="str">
        <f t="shared" si="95"/>
        <v/>
      </c>
      <c r="CS15" s="239" t="str">
        <f t="shared" si="96"/>
        <v/>
      </c>
      <c r="CT15" s="241" t="str">
        <f t="shared" si="97"/>
        <v/>
      </c>
      <c r="CU15" s="238">
        <f t="shared" si="11"/>
        <v>4.544804396718688E-2</v>
      </c>
      <c r="CV15" s="239" t="str">
        <f t="shared" si="12"/>
        <v/>
      </c>
      <c r="CW15" s="239" t="str">
        <f t="shared" si="13"/>
        <v/>
      </c>
      <c r="CX15" s="241" t="str">
        <f t="shared" si="69"/>
        <v/>
      </c>
      <c r="CY15" s="258">
        <f t="shared" si="98"/>
        <v>3.1622776601683734E-7</v>
      </c>
      <c r="CZ15" s="259" t="str">
        <f t="shared" si="99"/>
        <v/>
      </c>
      <c r="DA15" s="260" t="str">
        <f t="shared" si="100"/>
        <v/>
      </c>
      <c r="DB15" s="261" t="str">
        <f t="shared" si="101"/>
        <v/>
      </c>
      <c r="DC15" s="262" t="str">
        <f t="shared" si="102"/>
        <v/>
      </c>
      <c r="DD15" s="263" t="str">
        <f t="shared" si="103"/>
        <v/>
      </c>
      <c r="DE15" s="259" t="str">
        <f t="shared" si="104"/>
        <v/>
      </c>
      <c r="DF15" s="260">
        <f t="shared" si="105"/>
        <v>2.8675777133355458E-2</v>
      </c>
      <c r="DG15" s="260" t="str">
        <f t="shared" si="106"/>
        <v/>
      </c>
      <c r="DH15" s="264" t="str">
        <f t="shared" si="107"/>
        <v/>
      </c>
      <c r="DI15" s="258">
        <f t="shared" si="108"/>
        <v>3.1622776601683699E-8</v>
      </c>
      <c r="DJ15" s="260" t="str">
        <f t="shared" si="109"/>
        <v/>
      </c>
      <c r="DK15" s="260">
        <f t="shared" si="110"/>
        <v>7.2030295494267892E-6</v>
      </c>
      <c r="DL15" s="260" t="str">
        <f t="shared" si="111"/>
        <v/>
      </c>
      <c r="DM15" s="265" t="str">
        <f t="shared" si="112"/>
        <v/>
      </c>
      <c r="DN15" s="242"/>
      <c r="DO15" s="238">
        <f t="shared" si="18"/>
        <v>0</v>
      </c>
      <c r="DP15" s="239">
        <f t="shared" si="19"/>
        <v>0</v>
      </c>
      <c r="DQ15" s="239">
        <f t="shared" si="20"/>
        <v>0</v>
      </c>
      <c r="DR15" s="241">
        <f t="shared" si="21"/>
        <v>0</v>
      </c>
      <c r="DS15" s="238">
        <f t="shared" si="22"/>
        <v>-45.448043967186877</v>
      </c>
      <c r="DT15" s="239">
        <f t="shared" si="23"/>
        <v>0</v>
      </c>
      <c r="DU15" s="239">
        <f t="shared" si="24"/>
        <v>0</v>
      </c>
      <c r="DV15" s="241">
        <f t="shared" si="25"/>
        <v>0</v>
      </c>
      <c r="DW15" s="91">
        <f t="shared" si="113"/>
        <v>3.1622776601683734E-4</v>
      </c>
      <c r="DX15" s="89">
        <f t="shared" si="114"/>
        <v>0</v>
      </c>
      <c r="DY15" s="89">
        <f t="shared" si="115"/>
        <v>0</v>
      </c>
      <c r="DZ15" s="89">
        <f t="shared" si="116"/>
        <v>0</v>
      </c>
      <c r="EA15" s="90">
        <f t="shared" si="117"/>
        <v>0</v>
      </c>
      <c r="EB15" s="91">
        <f t="shared" si="118"/>
        <v>-3.16227766016837E-5</v>
      </c>
      <c r="EC15" s="89">
        <f t="shared" si="119"/>
        <v>0</v>
      </c>
      <c r="ED15" s="89">
        <f t="shared" si="120"/>
        <v>-1.4406059098853579E-2</v>
      </c>
      <c r="EE15" s="89">
        <f t="shared" si="121"/>
        <v>0</v>
      </c>
      <c r="EF15" s="90">
        <f t="shared" si="122"/>
        <v>0</v>
      </c>
      <c r="EG15" s="242"/>
      <c r="EH15" s="245">
        <f t="shared" si="123"/>
        <v>3.1622776601683734E-4</v>
      </c>
      <c r="EI15" s="246">
        <f t="shared" si="124"/>
        <v>-45.462481649062333</v>
      </c>
      <c r="EJ15" s="198">
        <f t="shared" si="83"/>
        <v>-99.998608850397332</v>
      </c>
      <c r="EK15" s="198">
        <f t="shared" si="27"/>
        <v>2.272402198359344E-2</v>
      </c>
      <c r="EL15" s="91" t="str">
        <f>IF(AND(CS15&lt;&gt;"",DK15&lt;&gt;""),LOG(CS15*DK15/Minerals!$C$6),"")</f>
        <v/>
      </c>
      <c r="EM15" s="89" t="str">
        <f>IF(AND(CS15&lt;&gt;"",DK15&lt;&gt;""),LOG(CS15*DK15/Minerals!$C$5),"")</f>
        <v/>
      </c>
      <c r="EN15" s="89" t="str">
        <f>IF(AND(CS15&lt;&gt;"",DL15&lt;&gt;""),LOG(CS15*DL15^2/Minerals!$C$2),"")</f>
        <v/>
      </c>
      <c r="EO15" s="89" t="str">
        <f>IF(AND(CS15&lt;&gt;"",CX15&lt;&gt;""),LOG($CS15*$CX15/Minerals!$C$3),"")</f>
        <v/>
      </c>
      <c r="EP15" s="90" t="str">
        <f>IF(AND(CS15&lt;&gt;"",CX15&lt;&gt;""),LOG($CS15*$CX15/Minerals!$C$4),"")</f>
        <v/>
      </c>
      <c r="EQ15" s="198"/>
      <c r="ER15" s="91">
        <f t="shared" si="28"/>
        <v>0.8600053816050931</v>
      </c>
      <c r="ES15" s="89">
        <f t="shared" si="28"/>
        <v>0.8600053816050931</v>
      </c>
      <c r="ET15" s="89">
        <f t="shared" si="29"/>
        <v>0.54702185213735754</v>
      </c>
      <c r="EU15" s="89">
        <f t="shared" si="29"/>
        <v>0.54702185213735754</v>
      </c>
      <c r="EV15" s="90">
        <f t="shared" si="29"/>
        <v>0.54702185213735754</v>
      </c>
      <c r="EW15" s="91">
        <f t="shared" si="30"/>
        <v>0.8600053816050931</v>
      </c>
      <c r="EX15" s="89">
        <f t="shared" si="31"/>
        <v>0.54702185213735754</v>
      </c>
      <c r="EY15" s="89">
        <f t="shared" si="30"/>
        <v>0.8600053816050931</v>
      </c>
      <c r="EZ15" s="89">
        <f t="shared" si="30"/>
        <v>0.8600053816050931</v>
      </c>
      <c r="FA15" s="89">
        <f t="shared" si="165"/>
        <v>0.8600053816050931</v>
      </c>
      <c r="FB15" s="90">
        <f t="shared" si="32"/>
        <v>0.54702185213735754</v>
      </c>
      <c r="FC15" s="198"/>
      <c r="FD15" s="91" t="str">
        <f t="shared" si="33"/>
        <v/>
      </c>
      <c r="FE15" s="89" t="str">
        <f t="shared" si="34"/>
        <v/>
      </c>
      <c r="FF15" s="89" t="str">
        <f t="shared" si="35"/>
        <v/>
      </c>
      <c r="FG15" s="89" t="str">
        <f t="shared" si="36"/>
        <v/>
      </c>
      <c r="FH15" s="90" t="str">
        <f t="shared" si="37"/>
        <v/>
      </c>
      <c r="FI15" s="91">
        <f t="shared" si="85"/>
        <v>3.9085562395205602E-2</v>
      </c>
      <c r="FJ15" s="89">
        <f t="shared" si="38"/>
        <v>3.9402145651275583E-6</v>
      </c>
      <c r="FK15" s="89" t="str">
        <f t="shared" si="39"/>
        <v/>
      </c>
      <c r="FL15" s="89" t="str">
        <f t="shared" si="40"/>
        <v/>
      </c>
      <c r="FM15" s="89" t="str">
        <f t="shared" si="41"/>
        <v/>
      </c>
      <c r="FN15" s="90" t="str">
        <f t="shared" si="42"/>
        <v/>
      </c>
      <c r="FO15" s="198"/>
      <c r="FP15" s="91" t="str">
        <f>IF(EL15&lt;&gt;"",LOG(FF15*FJ15/Minerals!$C$6),"")</f>
        <v/>
      </c>
      <c r="FQ15" s="89" t="str">
        <f>IF(EL15&lt;&gt;"",LOG(FF15*FJ15/Minerals!$C$5),"")</f>
        <v/>
      </c>
      <c r="FR15" s="89" t="str">
        <f>IF(EN15&lt;&gt;"",LOG(FF15*FM15^2/Minerals!$C$2),"")</f>
        <v/>
      </c>
      <c r="FS15" s="89" t="str">
        <f>IF(EO15&lt;&gt;"",LOG($FF15*$FN15/Minerals!$C$3),"")</f>
        <v/>
      </c>
      <c r="FT15" s="90" t="str">
        <f>IF(EP15&lt;&gt;"",LOG($FF15*$FN15/Minerals!$C$4),"")</f>
        <v/>
      </c>
      <c r="FU15" s="163"/>
      <c r="FV15" s="91" t="str">
        <f>IF(FP15&lt;&gt;"",LOG(FF15*FJ15/(EXP(-1*Minerals!$E$6/'Other Constants'!$B$2*(1/(273.15+'ppm-mgL-1'!$D15)-1/298.15)+LN(Minerals!$C$6)))),"")</f>
        <v/>
      </c>
      <c r="FW15" s="89" t="str">
        <f>IF(FP15&lt;&gt;"",LOG(FF15*FJ15/(EXP(-1*Minerals!$E$5/'Other Constants'!$B$2*(1/(273.15+'ppm-mgL-1'!$D15)-1/298.15)+LN(Minerals!$C$5)))),"")</f>
        <v/>
      </c>
      <c r="FX15" s="89" t="str">
        <f>IF(FR15&lt;&gt;"",LOG(FF15*FM15^2/(EXP(-1*Minerals!$E$2/'Other Constants'!$B$2*(1/(273.15+'ppm-mgL-1'!$D15)-1/298.15)+LN(Minerals!$C$2)))),"")</f>
        <v/>
      </c>
      <c r="FY15" s="89" t="str">
        <f>IF(FS15&lt;&gt;"",LOG($FF15*$FN15/(EXP(-1*Minerals!$E$3/'Other Constants'!$B$2*(1/(273.15+'ppm-mgL-1'!$D15)-1/298.15)+LN(Minerals!$C$3)))),"")</f>
        <v/>
      </c>
      <c r="FZ15" s="90" t="str">
        <f>IF(FT15&lt;&gt;"",LOG($FF15*$FN15/(EXP(-1*Minerals!$E$4/'Other Constants'!$B$2*(1/(273.15+'ppm-mgL-1'!$D15)-1/298.15)+LN(Minerals!$C$4)))),"")</f>
        <v/>
      </c>
      <c r="GA15" s="163"/>
      <c r="GB15" s="163"/>
      <c r="GC15" s="91">
        <f>10^(-1825000*(79.755*EXP(-0.0046*($D15-20))*($D15+273.15))^-1.5*$EK15^0.5/(1+'Elements and ions'!$D$12*$EK15^0.5/(2*(79.755*EXP(-0.0046*($D15-20))*($D15+273.15))^0.5)))</f>
        <v>0.86131651764256956</v>
      </c>
      <c r="GD15" s="89">
        <f>10^(-1825000*(79.755*EXP(-0.0046*($D15-20))*($D15+273.15))^-1.5*$EK15^0.5/(1+'Elements and ions'!$D$20*$EK15^0.5/(2*(79.755*EXP(-0.0046*($D15-20))*($D15+273.15))^0.5)))</f>
        <v>0.85579763295924716</v>
      </c>
      <c r="GE15" s="89">
        <f>10^(-1825000*(79.755*EXP(-0.0046*($D15-20))*($D15+273.15))^-1.5*4*$EK15^0.5/(1+'Elements and ions'!$D$21*$EK15^0.5/(2*(79.755*EXP(-0.0046*($D15-20))*($D15+273.15))^0.5)))</f>
        <v>0.57600973920435572</v>
      </c>
      <c r="GF15" s="89">
        <f>10^(-1825000*(79.755*EXP(-0.0046*($D15-20))*($D15+273.15))^-1.5*4*$EK15^0.5/(1+'Elements and ions'!$D$13*$EK15^0.5/(2*(79.755*EXP(-0.0046*($D15-20))*($D15+273.15))^0.5)))</f>
        <v>0.59897065517812409</v>
      </c>
      <c r="GG15" s="90">
        <f>10^(-1825000*(79.755*EXP(-0.0046*($D15-20))*($D15+273.15))^-1.5*4*$EK15^0.5/(1+'Elements and ions'!$D$27*$EK15^0.5/(2*(79.755*EXP(-0.0046*($D15-20))*($D15+273.15))^0.5)))</f>
        <v>0.57600973920435572</v>
      </c>
      <c r="GH15" s="91">
        <f>10^(-1825000*(79.755*EXP(-0.0046*($D15-20))*($D15+273.15))^-1.5*$EK15^0.5/(1+'Elements and ions'!$G$3*$EK15^0.5/(2*(79.755*EXP(-0.0046*($D15-20))*($D15+273.15))^0.5)))</f>
        <v>0.84064751967276097</v>
      </c>
      <c r="GI15" s="89">
        <f>10^(-1825000*(79.755*EXP(-0.0046*($D15-20))*($D15+273.15))^-1.5*4*$EK15^0.5/(1+'Elements and ions'!$G$4*$EK15^0.5/(2*(79.755*EXP(-0.0046*($D15-20))*($D15+273.15))^0.5)))</f>
        <v>0.49924048422279632</v>
      </c>
      <c r="GJ15" s="89">
        <f>10^(-1825000*(79.755*EXP(-0.0046*($D15-20))*($D15+273.15))^-1.5*$EK15^0.5/(1+'Elements and ions'!$D$18*$EK15^0.5/(2*(79.755*EXP(-0.0046*($D15-20))*($D15+273.15))^0.5)))</f>
        <v>0.85579763295924716</v>
      </c>
      <c r="GK15" s="89">
        <f>10^(-1825000*(79.755*EXP(-0.0046*($D15-20))*($D15+273.15))^-1.5*$EK15^0.5/(1+'Elements and ions'!$I$7*$EK15^0.5/(2*(79.755*EXP(-0.0046*($D15-20))*($D15+273.15))^0.5)))</f>
        <v>0.85579763295924716</v>
      </c>
      <c r="GL15" s="89">
        <f>10^(-1825000*(79.755*EXP(-0.0046*($D15-20))*($D15+273.15))^-1.5*$EK15^0.5/(1+'Elements and ions'!$D$10*$EK15^0.5/(2*(79.755*EXP(-0.0046*($D15-20))*($D15+273.15))^0.5)))</f>
        <v>0.85861079731301504</v>
      </c>
      <c r="GM15" s="90">
        <f>10^(-1825000*(79.755*EXP(-0.0046*($D15-20))*($D15+273.15))^-1.5*4*$EK15^0.5/(1+'Elements and ions'!$I$5*$EK15^0.5/(2*(79.755*EXP(-0.0046*($D15-20))*($D15+273.15))^0.5)))</f>
        <v>0.55036537496640725</v>
      </c>
      <c r="GN15" s="163"/>
      <c r="GO15" s="91" t="str">
        <f t="shared" si="43"/>
        <v/>
      </c>
      <c r="GP15" s="89" t="str">
        <f t="shared" si="44"/>
        <v/>
      </c>
      <c r="GQ15" s="89" t="str">
        <f t="shared" si="45"/>
        <v/>
      </c>
      <c r="GR15" s="89" t="str">
        <f t="shared" si="46"/>
        <v/>
      </c>
      <c r="GS15" s="90" t="str">
        <f t="shared" si="47"/>
        <v/>
      </c>
      <c r="GT15" s="91">
        <f t="shared" si="48"/>
        <v>3.8205785434994241E-2</v>
      </c>
      <c r="GU15" s="89">
        <f t="shared" si="49"/>
        <v>3.5960439601269408E-6</v>
      </c>
      <c r="GV15" s="89" t="str">
        <f t="shared" si="50"/>
        <v/>
      </c>
      <c r="GW15" s="89" t="str">
        <f t="shared" si="51"/>
        <v/>
      </c>
      <c r="GX15" s="89" t="str">
        <f t="shared" si="52"/>
        <v/>
      </c>
      <c r="GY15" s="97" t="str">
        <f t="shared" si="53"/>
        <v/>
      </c>
      <c r="GZ15" s="198"/>
      <c r="HA15" s="88" t="str">
        <f>IF(AND(GQ15&lt;&gt;"",GU15&lt;&gt;""),LOG(GQ15*GU15/Minerals!$C$6),"")</f>
        <v/>
      </c>
      <c r="HB15" s="89" t="str">
        <f>IF(AND(GQ15&lt;&gt;"",GU15&lt;&gt;""),LOG(GQ15*GU15/Minerals!$C$5),"")</f>
        <v/>
      </c>
      <c r="HC15" s="89" t="str">
        <f>IF(AND(GQ15&lt;&gt;"",GX15&lt;&gt;""),LOG(GQ15*GX15^2/Minerals!$C$2),"")</f>
        <v/>
      </c>
      <c r="HD15" s="89" t="str">
        <f>IF(AND(GQ15&lt;&gt;"",GY15&lt;&gt;""),LOG($GQ15*$GY15/Minerals!$C$3),"")</f>
        <v/>
      </c>
      <c r="HE15" s="97" t="str">
        <f>IF(AND(GQ15&lt;&gt;"",GY15&lt;&gt;""),LOG($GQ15*$GY15/Minerals!$C$3),"")</f>
        <v/>
      </c>
      <c r="HF15" s="198"/>
      <c r="HG15" s="88" t="str">
        <f>IF(HA15&lt;&gt;"",LOG(GQ15*GU15/(EXP(-1*Minerals!$E$6/'Other Constants'!$B$2*(1/(273.15+'ppm-mgL-1'!$D15)-1/298.15)+LN(Minerals!$C$6)))),"")</f>
        <v/>
      </c>
      <c r="HH15" s="89" t="str">
        <f>IF(HA15&lt;&gt;"",LOG(GQ15*GU15/(EXP(-1*Minerals!$E$5/'Other Constants'!$B$2*(1/(273.15+'ppm-mgL-1'!$D15)-1/298.15)+LN(Minerals!$C$5)))),"")</f>
        <v/>
      </c>
      <c r="HI15" s="89" t="str">
        <f>IF(HC15&lt;&gt;"",LOG(GQ15*GX15^2/(EXP(-1*Minerals!$E$2/'Other Constants'!$B$2*(1/(273.15+'ppm-mgL-1'!$D15)-1/298.15)+LN(Minerals!$C$2)))),"")</f>
        <v/>
      </c>
      <c r="HJ15" s="89" t="str">
        <f>IF(HD15&lt;&gt;"",LOG($FF15*$FN15/(EXP(-1*Minerals!$E$3/'Other Constants'!$B$2*(1/(273.15+'ppm-mgL-1'!$D15)-1/298.15)+LN(Minerals!$C$3)))),"")</f>
        <v/>
      </c>
      <c r="HK15" s="90" t="str">
        <f>IF(HE15&lt;&gt;"",LOG($FF15*$FN15/(EXP(-1*Minerals!$E$4/'Other Constants'!$B$2*(1/(273.15+'ppm-mgL-1'!$D15)-1/298.15)+LN(Minerals!$C$4)))),"")</f>
        <v/>
      </c>
      <c r="HL15" s="198"/>
      <c r="HM15" s="198"/>
    </row>
    <row r="16" spans="1:221" customFormat="1" x14ac:dyDescent="0.25">
      <c r="A16" s="3"/>
      <c r="B16" s="6" t="s">
        <v>233</v>
      </c>
      <c r="C16" s="215"/>
      <c r="D16" s="3">
        <v>25</v>
      </c>
      <c r="E16" s="4">
        <v>7.5</v>
      </c>
      <c r="F16" s="4"/>
      <c r="G16" s="4"/>
      <c r="H16" s="5"/>
      <c r="I16" s="3" t="str">
        <f t="shared" si="54"/>
        <v/>
      </c>
      <c r="J16" s="4" t="str">
        <f t="shared" si="55"/>
        <v/>
      </c>
      <c r="K16" s="3" t="str">
        <f t="shared" si="56"/>
        <v/>
      </c>
      <c r="L16" s="4" t="str">
        <f t="shared" si="1"/>
        <v/>
      </c>
      <c r="M16" s="3" t="str">
        <f t="shared" si="0"/>
        <v/>
      </c>
      <c r="N16" s="4" t="str">
        <f t="shared" ref="N16" si="206">IF(M16&lt;&gt;"", IF($D16&lt;&gt;"",M16*2.303*0.0019858*($D16+273.15)/23.06, 0.059*M16),"")</f>
        <v/>
      </c>
      <c r="O16" s="3" t="str">
        <f t="shared" si="2"/>
        <v/>
      </c>
      <c r="P16" s="4" t="str">
        <f t="shared" ref="P16" si="207">IF(O16&lt;&gt;"", IF($D16&lt;&gt;"",O16*2.303*0.0019858*($D16+273.15)/23.06, 0.059*O16),"")</f>
        <v/>
      </c>
      <c r="Q16" s="3" t="str">
        <f t="shared" si="3"/>
        <v/>
      </c>
      <c r="R16" s="4" t="str">
        <f t="shared" ref="R16" si="208">IF(Q16&lt;&gt;"", IF($D16&lt;&gt;"",Q16*2.303*0.0019858*($D16+273.15)/23.06, 0.059*Q16),"")</f>
        <v/>
      </c>
      <c r="S16" s="3" t="str">
        <f t="shared" si="4"/>
        <v/>
      </c>
      <c r="T16" s="4" t="str">
        <f t="shared" ref="T16" si="209">IF(S16&lt;&gt;"", IF($D16&lt;&gt;"",S16*2.303*0.0019858*($D16+273.15)/23.06, 0.059*S16),"")</f>
        <v/>
      </c>
      <c r="U16" s="3" t="str">
        <f>IF(AND($E16&lt;&gt;"",$CX16&lt;&gt;"",$DG16&lt;&gt;""),IF($E16&lt;7,5.12-5/4*$E16+1/8*LOG($CX16/$DG16),4.25-9/8*$E16+1/8*(LOG($CX16)-$E16-LOG($DG16)+pKa!$B$3)),"")</f>
        <v/>
      </c>
      <c r="V16" s="4" t="str">
        <f t="shared" ref="V16" si="210">IF(U16&lt;&gt;"", IF($D16&lt;&gt;"",U16*2.303*0.0019858*($D16+273.15)/23.06, 0.059*U16),"")</f>
        <v/>
      </c>
      <c r="W16" s="3" t="str">
        <f t="shared" si="5"/>
        <v/>
      </c>
      <c r="X16" s="4" t="str">
        <f t="shared" ref="X16" si="211">IF(W16&lt;&gt;"", IF($D16&lt;&gt;"",W16*2.303*0.0019858*($D16+273.15)/23.06, 0.059*W16),"")</f>
        <v/>
      </c>
      <c r="Y16" s="3" t="str">
        <f t="shared" si="6"/>
        <v/>
      </c>
      <c r="Z16" s="4" t="str">
        <f t="shared" ref="Z16" si="212">IF(Y16&lt;&gt;"", IF($D16&lt;&gt;"",Y16*2.303*0.0019858*($D16+273.15)/23.06, 0.059*Y16),"")</f>
        <v/>
      </c>
      <c r="AA16" s="3" t="str">
        <f t="shared" si="7"/>
        <v/>
      </c>
      <c r="AB16" s="4" t="str">
        <f t="shared" ref="AB16" si="213">IF(AA16&lt;&gt;"", IF($D16&lt;&gt;"",AA16*2.303*0.0019858*($D16+273.15)/23.06, 0.059*AA16),"")</f>
        <v/>
      </c>
      <c r="AC16" s="4"/>
      <c r="AD16" s="83">
        <f>IF(E16&lt;&gt;"",10^(-2*$E16)/(10^(-2*$E16)+10^(-$E16-pKa!$B$2)+(10^(-pKa!$B$2-pKa!$C$2))),"")</f>
        <v>5.9262592753143981E-2</v>
      </c>
      <c r="AE16" s="84">
        <f>IF(E16&lt;&gt;"",10^(-$E16-pKa!$B$2)/(10^(-2*$E16)+10^(-$E16-pKa!$B$2)+10^(-pKa!$B$2-pKa!$C$2)),"")</f>
        <v>0.93924879822052898</v>
      </c>
      <c r="AF16" s="212">
        <f>IF(E16&lt;&gt;"",10^(-pKa!$B$2-pKa!$C$2)/(10^(-2*$E16)+10^(-$E16-pKa!$B$2)+10^(-pKa!$B$2-pKa!$C$2)),"")</f>
        <v>1.4886090263269958E-3</v>
      </c>
      <c r="AG16" s="152"/>
      <c r="AH16" s="97">
        <f>IF($AL16&lt;&gt;"",$AL16/Minerals!$B$6*2,IF($E16="","","Enter Alk(CaCO3)"))</f>
        <v>7.9930540360426787E-3</v>
      </c>
      <c r="AI16" s="85">
        <f t="shared" ref="AI16:AI19" si="214">IF($AH16&lt;&gt;"",($AH16-10^(-14+$E16)+10^(-$E16))/1000/(AE16+2*AF16),IF($E16="","",""))</f>
        <v>8.482857926877592E-6</v>
      </c>
      <c r="AJ16" s="84">
        <f>IF(AI16&lt;&gt;"",AI16*1000*'Elements and ions'!$B$7,"")</f>
        <v>0.10188506170234869</v>
      </c>
      <c r="AK16" s="97">
        <f>IF($AL16&lt;&gt;"",$AL16/Minerals!$B$6*2*'Elements and ions'!$G$3,IF($E16="","","Enter Alk(CaCO3)"))</f>
        <v>0.4877108992285703</v>
      </c>
      <c r="AL16" s="99">
        <v>0.4</v>
      </c>
      <c r="AM16" s="198"/>
      <c r="AN16" s="91">
        <f>IF(AND($E16&lt;&gt;"",AI16&lt;&gt;""),AI16*AD16,"")</f>
        <v>5.0271615470332599E-7</v>
      </c>
      <c r="AO16" s="89">
        <f t="shared" si="9"/>
        <v>7.9675141132952657E-6</v>
      </c>
      <c r="AP16" s="90">
        <f t="shared" si="10"/>
        <v>1.262765887899949E-8</v>
      </c>
      <c r="AQ16" s="198"/>
      <c r="AR16" s="198"/>
      <c r="AS16" s="83">
        <f t="shared" si="66"/>
        <v>1.4785769255980176E-3</v>
      </c>
      <c r="AT16" s="83">
        <f>IF(AN16&lt;&gt;"",AN16/'Henrys law constants'!$B$7*1000000,"")</f>
        <v>14.785769255980176</v>
      </c>
      <c r="AU16" s="3"/>
      <c r="AV16" s="6"/>
      <c r="AW16" s="6"/>
      <c r="AX16" s="6"/>
      <c r="AY16" s="226">
        <f>AO16*'Elements and ions'!$G$3*1000</f>
        <v>0.48615253384867907</v>
      </c>
      <c r="AZ16" s="6"/>
      <c r="BA16" s="6"/>
      <c r="BB16" s="5"/>
      <c r="BC16" s="222">
        <f>IF($E16&lt;&gt;"",10^-$E16*'Elements and ions'!B15*1000,"")</f>
        <v>8.8814149224658752E-4</v>
      </c>
      <c r="BD16" s="4"/>
      <c r="BE16" s="6"/>
      <c r="BF16" s="6"/>
      <c r="BG16" s="5"/>
      <c r="BH16" s="3"/>
      <c r="BI16" s="4"/>
      <c r="BJ16" s="88">
        <f>IF($AN16&lt;&gt;"",$AN16*'Elements and ions'!$G$2*1000,"")</f>
        <v>3.1180858897919755E-2</v>
      </c>
      <c r="BK16" s="229"/>
      <c r="BL16" s="230"/>
      <c r="BM16" s="91">
        <f>IF($E16&lt;&gt;"",(10^-14+$E16)*'Elements and ions'!$G$8,"")</f>
        <v>127.55505000000016</v>
      </c>
      <c r="BN16" s="4"/>
      <c r="BO16" s="97">
        <f>IF($AP16&lt;&gt;"",$AP16*'Elements and ions'!$G$4*1000,"")</f>
        <v>7.5777191890399247E-4</v>
      </c>
      <c r="BP16" s="6"/>
      <c r="BQ16" s="5"/>
      <c r="BR16" s="195"/>
      <c r="BS16" s="238" t="str">
        <f>IF($AU16&lt;&gt;"",$AU16/'Elements and ions'!$B$12,"")</f>
        <v/>
      </c>
      <c r="BT16" s="239" t="str">
        <f>IF($AV16&lt;&gt;"",$AV16/'Elements and ions'!$B$20,"")</f>
        <v/>
      </c>
      <c r="BU16" s="239" t="str">
        <f>IF($AW16&lt;&gt;"",$AW16/'Elements and ions'!$B$21, "")</f>
        <v/>
      </c>
      <c r="BV16" s="240" t="str">
        <f>IF($AX16&lt;&gt;"",$AX16/'Elements and ions'!$B$13, "")</f>
        <v/>
      </c>
      <c r="BW16" s="238">
        <f>IF($AY16&lt;&gt;"",$AY16/'Elements and ions'!$G$3,"")</f>
        <v>7.9675141132952657E-3</v>
      </c>
      <c r="BX16" s="239" t="str">
        <f>IF($AZ16&lt;&gt;"",$AZ16/'Elements and ions'!$B$18,"")</f>
        <v/>
      </c>
      <c r="BY16" s="239" t="str">
        <f>IF($BA16&lt;&gt;"",$BA16/'Elements and ions'!$G$7,"")</f>
        <v/>
      </c>
      <c r="BZ16" s="241" t="str">
        <f>IF($BB16&lt;&gt;"",$BB16/'Elements and ions'!$G$5,"")</f>
        <v/>
      </c>
      <c r="CA16" s="91">
        <f t="shared" si="67"/>
        <v>3.16227766016837E-5</v>
      </c>
      <c r="CB16" s="163" t="str">
        <f>IF($BD16&lt;&gt;"",$BD16/'Elements and ions'!$B$14,"")</f>
        <v/>
      </c>
      <c r="CC16" s="89" t="str">
        <f>IF($BE16&lt;&gt;"",$BE16/'Elements and ions'!$B$27, "")</f>
        <v/>
      </c>
      <c r="CD16" s="249" t="str">
        <f>IF($BF16&lt;&gt;"",$BF16/'Elements and ions'!$B$26,"")</f>
        <v/>
      </c>
      <c r="CE16" s="250" t="str">
        <f>IF($BG16&lt;&gt;"",$BG16/'Elements and ions'!$G$6,"")</f>
        <v/>
      </c>
      <c r="CF16" s="91" t="str">
        <f>IF($BH16&lt;&gt;"",$BH16/'Elements and ions'!$G$15,"")</f>
        <v/>
      </c>
      <c r="CG16" s="89" t="str">
        <f>IF($BI16&lt;&gt;"",$BI16/'Elements and ions'!$G$16,"")</f>
        <v/>
      </c>
      <c r="CH16" s="90">
        <f>IF($BJ16&lt;&gt;"",$BJ16/'Elements and ions'!$G$2,"")</f>
        <v>5.0271615470332594E-4</v>
      </c>
      <c r="CI16" s="91" t="str">
        <f>IF($BK16&lt;&gt;"",$BK16/'Elements and ions'!$B$15, "")</f>
        <v/>
      </c>
      <c r="CJ16" s="88" t="str">
        <f>IF($BL16&lt;&gt;"", $BL16/'Elements and ions'!$G$17,"")</f>
        <v/>
      </c>
      <c r="CK16" s="89">
        <f t="shared" si="68"/>
        <v>3.1622776601683734E-4</v>
      </c>
      <c r="CL16" s="163" t="str">
        <f>IF($BN16&lt;&gt;"", $BN16/'Elements and ions'!$G$19,"")</f>
        <v/>
      </c>
      <c r="CM16" s="89">
        <f>IF($BO16&lt;&gt;"",$BO16/'Elements and ions'!$G$4,"")</f>
        <v>1.2627658878999491E-5</v>
      </c>
      <c r="CN16" s="89" t="str">
        <f>IF($BP16&lt;&gt;"",$BP16/'Elements and ions'!$B$10,"")</f>
        <v/>
      </c>
      <c r="CO16" s="104" t="str">
        <f>IF($BQ16&lt;&gt;"",$BQ16/'Elements and ions'!$G$18,"")</f>
        <v/>
      </c>
      <c r="CP16" s="242"/>
      <c r="CQ16" s="238" t="str">
        <f t="shared" si="94"/>
        <v/>
      </c>
      <c r="CR16" s="239" t="str">
        <f t="shared" si="95"/>
        <v/>
      </c>
      <c r="CS16" s="239" t="str">
        <f t="shared" si="96"/>
        <v/>
      </c>
      <c r="CT16" s="241" t="str">
        <f t="shared" si="97"/>
        <v/>
      </c>
      <c r="CU16" s="238">
        <f t="shared" si="11"/>
        <v>7.9675141132952657E-6</v>
      </c>
      <c r="CV16" s="239" t="str">
        <f t="shared" si="12"/>
        <v/>
      </c>
      <c r="CW16" s="239" t="str">
        <f t="shared" si="13"/>
        <v/>
      </c>
      <c r="CX16" s="241" t="str">
        <f t="shared" si="69"/>
        <v/>
      </c>
      <c r="CY16" s="258">
        <f t="shared" si="98"/>
        <v>3.1622776601683699E-8</v>
      </c>
      <c r="CZ16" s="259" t="str">
        <f t="shared" si="99"/>
        <v/>
      </c>
      <c r="DA16" s="260" t="str">
        <f t="shared" si="100"/>
        <v/>
      </c>
      <c r="DB16" s="261" t="str">
        <f t="shared" si="101"/>
        <v/>
      </c>
      <c r="DC16" s="262" t="str">
        <f t="shared" si="102"/>
        <v/>
      </c>
      <c r="DD16" s="263" t="str">
        <f t="shared" si="103"/>
        <v/>
      </c>
      <c r="DE16" s="259" t="str">
        <f t="shared" si="104"/>
        <v/>
      </c>
      <c r="DF16" s="260">
        <f t="shared" si="105"/>
        <v>5.0271615470332599E-7</v>
      </c>
      <c r="DG16" s="260" t="str">
        <f t="shared" si="106"/>
        <v/>
      </c>
      <c r="DH16" s="264" t="str">
        <f t="shared" si="107"/>
        <v/>
      </c>
      <c r="DI16" s="258">
        <f t="shared" si="108"/>
        <v>3.1622776601683734E-7</v>
      </c>
      <c r="DJ16" s="260" t="str">
        <f t="shared" si="109"/>
        <v/>
      </c>
      <c r="DK16" s="260">
        <f t="shared" si="110"/>
        <v>1.262765887899949E-8</v>
      </c>
      <c r="DL16" s="260" t="str">
        <f t="shared" si="111"/>
        <v/>
      </c>
      <c r="DM16" s="265" t="str">
        <f t="shared" si="112"/>
        <v/>
      </c>
      <c r="DN16" s="242"/>
      <c r="DO16" s="238">
        <f t="shared" si="18"/>
        <v>0</v>
      </c>
      <c r="DP16" s="239">
        <f t="shared" si="19"/>
        <v>0</v>
      </c>
      <c r="DQ16" s="239">
        <f t="shared" si="20"/>
        <v>0</v>
      </c>
      <c r="DR16" s="241">
        <f t="shared" si="21"/>
        <v>0</v>
      </c>
      <c r="DS16" s="238">
        <f t="shared" si="22"/>
        <v>-7.9675141132952657E-3</v>
      </c>
      <c r="DT16" s="239">
        <f t="shared" si="23"/>
        <v>0</v>
      </c>
      <c r="DU16" s="239">
        <f t="shared" si="24"/>
        <v>0</v>
      </c>
      <c r="DV16" s="241">
        <f t="shared" si="25"/>
        <v>0</v>
      </c>
      <c r="DW16" s="91">
        <f t="shared" si="113"/>
        <v>3.16227766016837E-5</v>
      </c>
      <c r="DX16" s="89">
        <f t="shared" si="114"/>
        <v>0</v>
      </c>
      <c r="DY16" s="89">
        <f t="shared" si="115"/>
        <v>0</v>
      </c>
      <c r="DZ16" s="89">
        <f t="shared" si="116"/>
        <v>0</v>
      </c>
      <c r="EA16" s="90">
        <f t="shared" si="117"/>
        <v>0</v>
      </c>
      <c r="EB16" s="91">
        <f t="shared" si="118"/>
        <v>-3.1622776601683734E-4</v>
      </c>
      <c r="EC16" s="89">
        <f t="shared" si="119"/>
        <v>0</v>
      </c>
      <c r="ED16" s="89">
        <f t="shared" si="120"/>
        <v>-2.5255317757998982E-5</v>
      </c>
      <c r="EE16" s="89">
        <f t="shared" si="121"/>
        <v>0</v>
      </c>
      <c r="EF16" s="90">
        <f t="shared" si="122"/>
        <v>0</v>
      </c>
      <c r="EG16" s="242"/>
      <c r="EH16" s="245">
        <f t="shared" si="123"/>
        <v>3.16227766016837E-5</v>
      </c>
      <c r="EI16" s="246">
        <f t="shared" si="124"/>
        <v>-8.3089971970701018E-3</v>
      </c>
      <c r="EJ16" s="198">
        <f t="shared" si="83"/>
        <v>-99.241716402341666</v>
      </c>
      <c r="EK16" s="198">
        <f t="shared" si="27"/>
        <v>3.9837570566476329E-6</v>
      </c>
      <c r="EL16" s="91" t="str">
        <f>IF(AND(CS16&lt;&gt;"",DK16&lt;&gt;""),LOG(CS16*DK16/Minerals!$C$6),"")</f>
        <v/>
      </c>
      <c r="EM16" s="89" t="str">
        <f>IF(AND(CS16&lt;&gt;"",DK16&lt;&gt;""),LOG(CS16*DK16/Minerals!$C$5),"")</f>
        <v/>
      </c>
      <c r="EN16" s="89" t="str">
        <f>IF(AND(CS16&lt;&gt;"",DL16&lt;&gt;""),LOG(CS16*DL16^2/Minerals!$C$2),"")</f>
        <v/>
      </c>
      <c r="EO16" s="89" t="str">
        <f>IF(AND(CS16&lt;&gt;"",CX16&lt;&gt;""),LOG($CS16*$CX16/Minerals!$C$3),"")</f>
        <v/>
      </c>
      <c r="EP16" s="90" t="str">
        <f>IF(AND(CS16&lt;&gt;"",CX16&lt;&gt;""),LOG($CS16*$CX16/Minerals!$C$4),"")</f>
        <v/>
      </c>
      <c r="EQ16" s="198"/>
      <c r="ER16" s="91">
        <f t="shared" si="28"/>
        <v>0.99770929975876033</v>
      </c>
      <c r="ES16" s="89">
        <f t="shared" si="28"/>
        <v>0.99770929975876033</v>
      </c>
      <c r="ET16" s="89">
        <f t="shared" si="29"/>
        <v>0.99086863482811172</v>
      </c>
      <c r="EU16" s="89">
        <f t="shared" si="29"/>
        <v>0.99086863482811172</v>
      </c>
      <c r="EV16" s="90">
        <f t="shared" si="29"/>
        <v>0.99086863482811172</v>
      </c>
      <c r="EW16" s="91">
        <f t="shared" si="30"/>
        <v>0.99770929975876033</v>
      </c>
      <c r="EX16" s="89">
        <f t="shared" si="31"/>
        <v>0.99086863482811172</v>
      </c>
      <c r="EY16" s="89">
        <f t="shared" si="30"/>
        <v>0.99770929975876033</v>
      </c>
      <c r="EZ16" s="89">
        <f t="shared" si="30"/>
        <v>0.99770929975876033</v>
      </c>
      <c r="FA16" s="89">
        <f t="shared" si="165"/>
        <v>0.99770929975876033</v>
      </c>
      <c r="FB16" s="90">
        <f t="shared" si="32"/>
        <v>0.99086863482811172</v>
      </c>
      <c r="FC16" s="198"/>
      <c r="FD16" s="91" t="str">
        <f t="shared" si="33"/>
        <v/>
      </c>
      <c r="FE16" s="89" t="str">
        <f t="shared" si="34"/>
        <v/>
      </c>
      <c r="FF16" s="89" t="str">
        <f t="shared" si="35"/>
        <v/>
      </c>
      <c r="FG16" s="89" t="str">
        <f t="shared" si="36"/>
        <v/>
      </c>
      <c r="FH16" s="90" t="str">
        <f t="shared" si="37"/>
        <v/>
      </c>
      <c r="FI16" s="91">
        <f t="shared" si="85"/>
        <v>7.9492629267938603E-6</v>
      </c>
      <c r="FJ16" s="89">
        <f t="shared" si="38"/>
        <v>1.2512351114509308E-8</v>
      </c>
      <c r="FK16" s="89" t="str">
        <f t="shared" si="39"/>
        <v/>
      </c>
      <c r="FL16" s="89" t="str">
        <f t="shared" si="40"/>
        <v/>
      </c>
      <c r="FM16" s="89" t="str">
        <f t="shared" si="41"/>
        <v/>
      </c>
      <c r="FN16" s="90" t="str">
        <f t="shared" si="42"/>
        <v/>
      </c>
      <c r="FO16" s="198"/>
      <c r="FP16" s="91" t="str">
        <f>IF(EL16&lt;&gt;"",LOG(FF16*FJ16/Minerals!$C$6),"")</f>
        <v/>
      </c>
      <c r="FQ16" s="89" t="str">
        <f>IF(EL16&lt;&gt;"",LOG(FF16*FJ16/Minerals!$C$5),"")</f>
        <v/>
      </c>
      <c r="FR16" s="89" t="str">
        <f>IF(EN16&lt;&gt;"",LOG(FF16*FM16^2/Minerals!$C$2),"")</f>
        <v/>
      </c>
      <c r="FS16" s="89" t="str">
        <f>IF(EO16&lt;&gt;"",LOG($FF16*$FN16/Minerals!$C$3),"")</f>
        <v/>
      </c>
      <c r="FT16" s="90" t="str">
        <f>IF(EP16&lt;&gt;"",LOG($FF16*$FN16/Minerals!$C$4),"")</f>
        <v/>
      </c>
      <c r="FU16" s="163"/>
      <c r="FV16" s="91" t="str">
        <f>IF(FP16&lt;&gt;"",LOG(FF16*FJ16/(EXP(-1*Minerals!$E$6/'Other Constants'!$B$2*(1/(273.15+'ppm-mgL-1'!$D16)-1/298.15)+LN(Minerals!$C$6)))),"")</f>
        <v/>
      </c>
      <c r="FW16" s="89" t="str">
        <f>IF(FP16&lt;&gt;"",LOG(FF16*FJ16/(EXP(-1*Minerals!$E$5/'Other Constants'!$B$2*(1/(273.15+'ppm-mgL-1'!$D16)-1/298.15)+LN(Minerals!$C$5)))),"")</f>
        <v/>
      </c>
      <c r="FX16" s="89" t="str">
        <f>IF(FR16&lt;&gt;"",LOG(FF16*FM16^2/(EXP(-1*Minerals!$E$2/'Other Constants'!$B$2*(1/(273.15+'ppm-mgL-1'!$D16)-1/298.15)+LN(Minerals!$C$2)))),"")</f>
        <v/>
      </c>
      <c r="FY16" s="89" t="str">
        <f>IF(FS16&lt;&gt;"",LOG($FF16*$FN16/(EXP(-1*Minerals!$E$3/'Other Constants'!$B$2*(1/(273.15+'ppm-mgL-1'!$D16)-1/298.15)+LN(Minerals!$C$3)))),"")</f>
        <v/>
      </c>
      <c r="FZ16" s="90" t="str">
        <f>IF(FT16&lt;&gt;"",LOG($FF16*$FN16/(EXP(-1*Minerals!$E$4/'Other Constants'!$B$2*(1/(273.15+'ppm-mgL-1'!$D16)-1/298.15)+LN(Minerals!$C$4)))),"")</f>
        <v/>
      </c>
      <c r="GA16" s="163"/>
      <c r="GB16" s="163"/>
      <c r="GC16" s="91">
        <f>10^(-1825000*(79.755*EXP(-0.0046*($D16-20))*($D16+273.15))^-1.5*$EK16^0.5/(1+'Elements and ions'!$D$12*$EK16^0.5/(2*(79.755*EXP(-0.0046*($D16-20))*($D16+273.15))^0.5)))</f>
        <v>0.99764131153727087</v>
      </c>
      <c r="GD16" s="89">
        <f>10^(-1825000*(79.755*EXP(-0.0046*($D16-20))*($D16+273.15))^-1.5*$EK16^0.5/(1+'Elements and ions'!$D$20*$EK16^0.5/(2*(79.755*EXP(-0.0046*($D16-20))*($D16+273.15))^0.5)))</f>
        <v>0.99763977224992262</v>
      </c>
      <c r="GE16" s="89">
        <f>10^(-1825000*(79.755*EXP(-0.0046*($D16-20))*($D16+273.15))^-1.5*4*$EK16^0.5/(1+'Elements and ions'!$D$21*$EK16^0.5/(2*(79.755*EXP(-0.0046*($D16-20))*($D16+273.15))^0.5)))</f>
        <v>0.99061077768988537</v>
      </c>
      <c r="GF16" s="89">
        <f>10^(-1825000*(79.755*EXP(-0.0046*($D16-20))*($D16+273.15))^-1.5*4*$EK16^0.5/(1+'Elements and ions'!$D$13*$EK16^0.5/(2*(79.755*EXP(-0.0046*($D16-20))*($D16+273.15))^0.5)))</f>
        <v>0.99062294958125574</v>
      </c>
      <c r="GG16" s="90">
        <f>10^(-1825000*(79.755*EXP(-0.0046*($D16-20))*($D16+273.15))^-1.5*4*$EK16^0.5/(1+'Elements and ions'!$D$27*$EK16^0.5/(2*(79.755*EXP(-0.0046*($D16-20))*($D16+273.15))^0.5)))</f>
        <v>0.99061077768988537</v>
      </c>
      <c r="GH16" s="91">
        <f>10^(-1825000*(79.755*EXP(-0.0046*($D16-20))*($D16+273.15))^-1.5*$EK16^0.5/(1+'Elements and ions'!$G$3*$EK16^0.5/(2*(79.755*EXP(-0.0046*($D16-20))*($D16+273.15))^0.5)))</f>
        <v>0.99763608546173277</v>
      </c>
      <c r="GI16" s="89">
        <f>10^(-1825000*(79.755*EXP(-0.0046*($D16-20))*($D16+273.15))^-1.5*4*$EK16^0.5/(1+'Elements and ions'!$G$4*$EK16^0.5/(2*(79.755*EXP(-0.0046*($D16-20))*($D16+273.15))^0.5)))</f>
        <v>0.99057775573603435</v>
      </c>
      <c r="GJ16" s="89">
        <f>10^(-1825000*(79.755*EXP(-0.0046*($D16-20))*($D16+273.15))^-1.5*$EK16^0.5/(1+'Elements and ions'!$D$18*$EK16^0.5/(2*(79.755*EXP(-0.0046*($D16-20))*($D16+273.15))^0.5)))</f>
        <v>0.99763977224992262</v>
      </c>
      <c r="GK16" s="89">
        <f>10^(-1825000*(79.755*EXP(-0.0046*($D16-20))*($D16+273.15))^-1.5*$EK16^0.5/(1+'Elements and ions'!$I$7*$EK16^0.5/(2*(79.755*EXP(-0.0046*($D16-20))*($D16+273.15))^0.5)))</f>
        <v>0.99763977224992262</v>
      </c>
      <c r="GL16" s="89">
        <f>10^(-1825000*(79.755*EXP(-0.0046*($D16-20))*($D16+273.15))^-1.5*$EK16^0.5/(1+'Elements and ions'!$D$10*$EK16^0.5/(2*(79.755*EXP(-0.0046*($D16-20))*($D16+273.15))^0.5)))</f>
        <v>0.99764054214465048</v>
      </c>
      <c r="GM16" s="90">
        <f>10^(-1825000*(79.755*EXP(-0.0046*($D16-20))*($D16+273.15))^-1.5*4*$EK16^0.5/(1+'Elements and ions'!$I$5*$EK16^0.5/(2*(79.755*EXP(-0.0046*($D16-20))*($D16+273.15))^0.5)))</f>
        <v>0.99059857415820451</v>
      </c>
      <c r="GN16" s="163"/>
      <c r="GO16" s="91" t="str">
        <f t="shared" si="43"/>
        <v/>
      </c>
      <c r="GP16" s="89" t="str">
        <f t="shared" si="44"/>
        <v/>
      </c>
      <c r="GQ16" s="89" t="str">
        <f t="shared" si="45"/>
        <v/>
      </c>
      <c r="GR16" s="89" t="str">
        <f t="shared" si="46"/>
        <v/>
      </c>
      <c r="GS16" s="90" t="str">
        <f t="shared" si="47"/>
        <v/>
      </c>
      <c r="GT16" s="91">
        <f t="shared" si="48"/>
        <v>7.9486795908489977E-6</v>
      </c>
      <c r="GU16" s="89">
        <f t="shared" si="49"/>
        <v>1.2508677992559522E-8</v>
      </c>
      <c r="GV16" s="89" t="str">
        <f t="shared" si="50"/>
        <v/>
      </c>
      <c r="GW16" s="89" t="str">
        <f t="shared" si="51"/>
        <v/>
      </c>
      <c r="GX16" s="89" t="str">
        <f t="shared" si="52"/>
        <v/>
      </c>
      <c r="GY16" s="97" t="str">
        <f t="shared" si="53"/>
        <v/>
      </c>
      <c r="GZ16" s="198"/>
      <c r="HA16" s="88" t="str">
        <f>IF(AND(GQ16&lt;&gt;"",GU16&lt;&gt;""),LOG(GQ16*GU16/Minerals!$C$6),"")</f>
        <v/>
      </c>
      <c r="HB16" s="89" t="str">
        <f>IF(AND(GQ16&lt;&gt;"",GU16&lt;&gt;""),LOG(GQ16*GU16/Minerals!$C$5),"")</f>
        <v/>
      </c>
      <c r="HC16" s="89" t="str">
        <f>IF(AND(GQ16&lt;&gt;"",GX16&lt;&gt;""),LOG(GQ16*GX16^2/Minerals!$C$2),"")</f>
        <v/>
      </c>
      <c r="HD16" s="89" t="str">
        <f>IF(AND(GQ16&lt;&gt;"",GY16&lt;&gt;""),LOG($GQ16*$GY16/Minerals!$C$3),"")</f>
        <v/>
      </c>
      <c r="HE16" s="97" t="str">
        <f>IF(AND(GQ16&lt;&gt;"",GY16&lt;&gt;""),LOG($GQ16*$GY16/Minerals!$C$3),"")</f>
        <v/>
      </c>
      <c r="HF16" s="198"/>
      <c r="HG16" s="88" t="str">
        <f>IF(HA16&lt;&gt;"",LOG(GQ16*GU16/(EXP(-1*Minerals!$E$6/'Other Constants'!$B$2*(1/(273.15+'ppm-mgL-1'!$D16)-1/298.15)+LN(Minerals!$C$6)))),"")</f>
        <v/>
      </c>
      <c r="HH16" s="89" t="str">
        <f>IF(HA16&lt;&gt;"",LOG(GQ16*GU16/(EXP(-1*Minerals!$E$5/'Other Constants'!$B$2*(1/(273.15+'ppm-mgL-1'!$D16)-1/298.15)+LN(Minerals!$C$5)))),"")</f>
        <v/>
      </c>
      <c r="HI16" s="89" t="str">
        <f>IF(HC16&lt;&gt;"",LOG(GQ16*GX16^2/(EXP(-1*Minerals!$E$2/'Other Constants'!$B$2*(1/(273.15+'ppm-mgL-1'!$D16)-1/298.15)+LN(Minerals!$C$2)))),"")</f>
        <v/>
      </c>
      <c r="HJ16" s="89" t="str">
        <f>IF(HD16&lt;&gt;"",LOG($FF16*$FN16/(EXP(-1*Minerals!$E$3/'Other Constants'!$B$2*(1/(273.15+'ppm-mgL-1'!$D16)-1/298.15)+LN(Minerals!$C$3)))),"")</f>
        <v/>
      </c>
      <c r="HK16" s="90" t="str">
        <f>IF(HE16&lt;&gt;"",LOG($FF16*$FN16/(EXP(-1*Minerals!$E$4/'Other Constants'!$B$2*(1/(273.15+'ppm-mgL-1'!$D16)-1/298.15)+LN(Minerals!$C$4)))),"")</f>
        <v/>
      </c>
      <c r="HL16" s="198"/>
      <c r="HM16" s="198"/>
    </row>
    <row r="17" spans="1:221" customFormat="1" x14ac:dyDescent="0.25">
      <c r="A17" s="3"/>
      <c r="B17" s="6" t="s">
        <v>239</v>
      </c>
      <c r="C17" s="215"/>
      <c r="D17" s="3">
        <v>10</v>
      </c>
      <c r="E17" s="4">
        <v>8.1</v>
      </c>
      <c r="F17" s="4"/>
      <c r="G17" s="4"/>
      <c r="H17" s="5"/>
      <c r="I17" s="3" t="str">
        <f t="shared" si="54"/>
        <v/>
      </c>
      <c r="J17" s="4" t="str">
        <f t="shared" si="55"/>
        <v/>
      </c>
      <c r="K17" s="3" t="str">
        <f t="shared" si="56"/>
        <v/>
      </c>
      <c r="L17" s="4" t="str">
        <f t="shared" si="1"/>
        <v/>
      </c>
      <c r="M17" s="3" t="str">
        <f t="shared" si="0"/>
        <v/>
      </c>
      <c r="N17" s="4" t="str">
        <f t="shared" ref="N17" si="215">IF(M17&lt;&gt;"", IF($D17&lt;&gt;"",M17*2.303*0.0019858*($D17+273.15)/23.06, 0.059*M17),"")</f>
        <v/>
      </c>
      <c r="O17" s="3" t="str">
        <f t="shared" si="2"/>
        <v/>
      </c>
      <c r="P17" s="4" t="str">
        <f t="shared" ref="P17" si="216">IF(O17&lt;&gt;"", IF($D17&lt;&gt;"",O17*2.303*0.0019858*($D17+273.15)/23.06, 0.059*O17),"")</f>
        <v/>
      </c>
      <c r="Q17" s="3" t="str">
        <f t="shared" si="3"/>
        <v/>
      </c>
      <c r="R17" s="4" t="str">
        <f t="shared" ref="R17" si="217">IF(Q17&lt;&gt;"", IF($D17&lt;&gt;"",Q17*2.303*0.0019858*($D17+273.15)/23.06, 0.059*Q17),"")</f>
        <v/>
      </c>
      <c r="S17" s="3" t="str">
        <f t="shared" si="4"/>
        <v/>
      </c>
      <c r="T17" s="4" t="str">
        <f t="shared" ref="T17" si="218">IF(S17&lt;&gt;"", IF($D17&lt;&gt;"",S17*2.303*0.0019858*($D17+273.15)/23.06, 0.059*S17),"")</f>
        <v/>
      </c>
      <c r="U17" s="3" t="str">
        <f>IF(AND($E17&lt;&gt;"",$CX17&lt;&gt;"",$DG17&lt;&gt;""),IF($E17&lt;7,5.12-5/4*$E17+1/8*LOG($CX17/$DG17),4.25-9/8*$E17+1/8*(LOG($CX17)-$E17-LOG($DG17)+pKa!$B$3)),"")</f>
        <v/>
      </c>
      <c r="V17" s="4" t="str">
        <f t="shared" ref="V17" si="219">IF(U17&lt;&gt;"", IF($D17&lt;&gt;"",U17*2.303*0.0019858*($D17+273.15)/23.06, 0.059*U17),"")</f>
        <v/>
      </c>
      <c r="W17" s="3" t="str">
        <f t="shared" si="5"/>
        <v/>
      </c>
      <c r="X17" s="4" t="str">
        <f t="shared" ref="X17" si="220">IF(W17&lt;&gt;"", IF($D17&lt;&gt;"",W17*2.303*0.0019858*($D17+273.15)/23.06, 0.059*W17),"")</f>
        <v/>
      </c>
      <c r="Y17" s="3" t="str">
        <f t="shared" si="6"/>
        <v/>
      </c>
      <c r="Z17" s="4" t="str">
        <f t="shared" ref="Z17" si="221">IF(Y17&lt;&gt;"", IF($D17&lt;&gt;"",Y17*2.303*0.0019858*($D17+273.15)/23.06, 0.059*Y17),"")</f>
        <v/>
      </c>
      <c r="AA17" s="3" t="str">
        <f t="shared" si="7"/>
        <v/>
      </c>
      <c r="AB17" s="4" t="str">
        <f t="shared" ref="AB17" si="222">IF(AA17&lt;&gt;"", IF($D17&lt;&gt;"",AA17*2.303*0.0019858*($D17+273.15)/23.06, 0.059*AA17),"")</f>
        <v/>
      </c>
      <c r="AC17" s="4"/>
      <c r="AD17" s="83">
        <f>IF(E17&lt;&gt;"",10^(-2*$E17)/(10^(-2*$E17)+10^(-$E17-pKa!$B$2)+(10^(-pKa!$B$2-pKa!$C$2))),"")</f>
        <v>1.5505356401533039E-2</v>
      </c>
      <c r="AE17" s="84">
        <f>IF(E17&lt;&gt;"",10^(-$E17-pKa!$B$2)/(10^(-2*$E17)+10^(-$E17-pKa!$B$2)+10^(-pKa!$B$2-pKa!$C$2)),"")</f>
        <v>0.97832185003302907</v>
      </c>
      <c r="AF17" s="212">
        <f>IF(E17&lt;&gt;"",10^(-pKa!$B$2-pKa!$C$2)/(10^(-2*$E17)+10^(-$E17-pKa!$B$2)+10^(-pKa!$B$2-pKa!$C$2)),"")</f>
        <v>6.172793565437853E-3</v>
      </c>
      <c r="AG17" s="152"/>
      <c r="AH17" s="223">
        <v>1.3</v>
      </c>
      <c r="AI17" s="85">
        <f t="shared" si="214"/>
        <v>1.3122453613086582E-3</v>
      </c>
      <c r="AJ17" s="84">
        <f>IF(AI17&lt;&gt;"",AI17*1000*'Elements and ions'!$B$7,"")</f>
        <v>15.760985361069901</v>
      </c>
      <c r="AK17" s="92">
        <f>IF($AH17&lt;&gt;"",$AH17*'Elements and ions'!$G$3,IF($E17="","","Enter Alk (meq/L)"))</f>
        <v>79.321891999999991</v>
      </c>
      <c r="AL17" s="232">
        <f>IF($AH17&lt;&gt;"",$AH17*Minerals!$B$6/2,IF($E17="","","Enter Alk (meq/L)"))</f>
        <v>65.056485000000009</v>
      </c>
      <c r="AM17" s="199"/>
      <c r="AN17" s="101">
        <f t="shared" si="8"/>
        <v>2.034683201334924E-5</v>
      </c>
      <c r="AO17" s="94">
        <f t="shared" si="9"/>
        <v>1.2837983095727471E-3</v>
      </c>
      <c r="AP17" s="95">
        <f t="shared" si="10"/>
        <v>8.1002197225617566E-6</v>
      </c>
      <c r="AQ17" s="199"/>
      <c r="AR17" s="199"/>
      <c r="AS17" s="83">
        <f t="shared" si="66"/>
        <v>5.9843623568674231E-2</v>
      </c>
      <c r="AT17" s="83">
        <f>IF(AN17&lt;&gt;"",AN17/'Henrys law constants'!$B$7*1000000,"")</f>
        <v>598.43623568674229</v>
      </c>
      <c r="AU17" s="3">
        <v>11.4</v>
      </c>
      <c r="AV17" s="6">
        <v>1.56</v>
      </c>
      <c r="AW17" s="6">
        <v>24</v>
      </c>
      <c r="AX17" s="6">
        <v>10</v>
      </c>
      <c r="AY17" s="226">
        <f>AO17*'Elements and ions'!$G$3*1000</f>
        <v>78.33331604747076</v>
      </c>
      <c r="AZ17" s="6">
        <v>1.9</v>
      </c>
      <c r="BA17" s="6"/>
      <c r="BB17" s="5">
        <v>58</v>
      </c>
      <c r="BC17" s="226">
        <f>IF($E17&lt;&gt;"",10^-$E17*'Elements and ions'!B16*1000,"")</f>
        <v>2.4603333692230011E-4</v>
      </c>
      <c r="BD17" s="4"/>
      <c r="BE17" s="6"/>
      <c r="BF17" s="6"/>
      <c r="BG17" s="5"/>
      <c r="BH17" s="3"/>
      <c r="BI17" s="4"/>
      <c r="BJ17" s="92">
        <f>IF($AN17&lt;&gt;"",$AN17*'Elements and ions'!$G$2*1000,"")</f>
        <v>1.2620077793249433</v>
      </c>
      <c r="BK17" s="229"/>
      <c r="BL17" s="230"/>
      <c r="BM17" s="101">
        <f>IF($E17&lt;&gt;"",(10^-14+$E17)*'Elements and ions'!$G$8,"")</f>
        <v>137.75945400000018</v>
      </c>
      <c r="BN17" s="4"/>
      <c r="BO17" s="102">
        <f>IF($AP17&lt;&gt;"",$AP17*'Elements and ions'!$G$4*1000,"")</f>
        <v>0.48608527530923618</v>
      </c>
      <c r="BP17" s="6"/>
      <c r="BQ17" s="5"/>
      <c r="BR17" s="195"/>
      <c r="BS17" s="238">
        <f>IF($AU17&lt;&gt;"",$AU17/'Elements and ions'!$B$12,"")</f>
        <v>0.4958727450091226</v>
      </c>
      <c r="BT17" s="239">
        <f>IF($AV17&lt;&gt;"",$AV17/'Elements and ions'!$B$20,"")</f>
        <v>3.9899432967673787E-2</v>
      </c>
      <c r="BU17" s="239">
        <f>IF($AW17&lt;&gt;"",$AW17/'Elements and ions'!$B$21, "")</f>
        <v>0.59883227705973352</v>
      </c>
      <c r="BV17" s="240">
        <f>IF($AX17&lt;&gt;"",$AX17/'Elements and ions'!$B$13, "")</f>
        <v>0.41143797572515944</v>
      </c>
      <c r="BW17" s="238">
        <f>IF($AY17&lt;&gt;"",$AY17/'Elements and ions'!$G$3,"")</f>
        <v>1.283798309572747</v>
      </c>
      <c r="BX17" s="239">
        <f>IF($AZ17&lt;&gt;"",$AZ17/'Elements and ions'!$B$18,"")</f>
        <v>5.3592079654754175E-2</v>
      </c>
      <c r="BY17" s="239" t="str">
        <f>IF($BA17&lt;&gt;"",$BA17/'Elements and ions'!$G$7,"")</f>
        <v/>
      </c>
      <c r="BZ17" s="241">
        <f>IF($BB17&lt;&gt;"",$BB17/'Elements and ions'!$G$5,"")</f>
        <v>0.60377295638469075</v>
      </c>
      <c r="CA17" s="91">
        <f t="shared" si="67"/>
        <v>7.9432823472428082E-6</v>
      </c>
      <c r="CB17" s="163" t="str">
        <f>IF($BD17&lt;&gt;"",$BD17/'Elements and ions'!$B$14,"")</f>
        <v/>
      </c>
      <c r="CC17" s="89" t="str">
        <f>IF($BE17&lt;&gt;"",$BE17/'Elements and ions'!$B$27, "")</f>
        <v/>
      </c>
      <c r="CD17" s="249" t="str">
        <f>IF($BF17&lt;&gt;"",$BF17/'Elements and ions'!$B$26,"")</f>
        <v/>
      </c>
      <c r="CE17" s="250" t="str">
        <f>IF($BG17&lt;&gt;"",$BG17/'Elements and ions'!$G$6,"")</f>
        <v/>
      </c>
      <c r="CF17" s="91" t="str">
        <f>IF($BH17&lt;&gt;"",$BH17/'Elements and ions'!$G$15,"")</f>
        <v/>
      </c>
      <c r="CG17" s="89" t="str">
        <f>IF($BI17&lt;&gt;"",$BI17/'Elements and ions'!$G$16,"")</f>
        <v/>
      </c>
      <c r="CH17" s="90">
        <f>IF($BJ17&lt;&gt;"",$BJ17/'Elements and ions'!$G$2,"")</f>
        <v>2.0346832013349237E-2</v>
      </c>
      <c r="CI17" s="91" t="str">
        <f>IF($BK17&lt;&gt;"",$BK17/'Elements and ions'!$B$15, "")</f>
        <v/>
      </c>
      <c r="CJ17" s="88" t="str">
        <f>IF($BL17&lt;&gt;"", $BL17/'Elements and ions'!$G$17,"")</f>
        <v/>
      </c>
      <c r="CK17" s="89">
        <f t="shared" si="68"/>
        <v>1.2589254117941642E-3</v>
      </c>
      <c r="CL17" s="163" t="str">
        <f>IF($BN17&lt;&gt;"", $BN17/'Elements and ions'!$G$19,"")</f>
        <v/>
      </c>
      <c r="CM17" s="89">
        <f>IF($BO17&lt;&gt;"",$BO17/'Elements and ions'!$G$4,"")</f>
        <v>8.1002197225617575E-3</v>
      </c>
      <c r="CN17" s="89" t="str">
        <f>IF($BP17&lt;&gt;"",$BP17/'Elements and ions'!$B$10,"")</f>
        <v/>
      </c>
      <c r="CO17" s="104" t="str">
        <f>IF($BQ17&lt;&gt;"",$BQ17/'Elements and ions'!$G$18,"")</f>
        <v/>
      </c>
      <c r="CP17" s="242"/>
      <c r="CQ17" s="238">
        <f t="shared" si="94"/>
        <v>4.958727450091226E-4</v>
      </c>
      <c r="CR17" s="239">
        <f t="shared" si="95"/>
        <v>3.9899432967673784E-5</v>
      </c>
      <c r="CS17" s="239">
        <f t="shared" si="96"/>
        <v>5.9883227705973354E-4</v>
      </c>
      <c r="CT17" s="241">
        <f t="shared" si="97"/>
        <v>4.1143797572515943E-4</v>
      </c>
      <c r="CU17" s="238">
        <f t="shared" si="11"/>
        <v>1.2837983095727471E-3</v>
      </c>
      <c r="CV17" s="239">
        <f t="shared" si="12"/>
        <v>5.3592079654754178E-5</v>
      </c>
      <c r="CW17" s="239" t="str">
        <f t="shared" si="13"/>
        <v/>
      </c>
      <c r="CX17" s="241">
        <f t="shared" si="69"/>
        <v>6.0377295638469077E-4</v>
      </c>
      <c r="CY17" s="258">
        <f t="shared" si="98"/>
        <v>7.9432823472428087E-9</v>
      </c>
      <c r="CZ17" s="259" t="str">
        <f t="shared" si="99"/>
        <v/>
      </c>
      <c r="DA17" s="260" t="str">
        <f t="shared" si="100"/>
        <v/>
      </c>
      <c r="DB17" s="261" t="str">
        <f t="shared" si="101"/>
        <v/>
      </c>
      <c r="DC17" s="262" t="str">
        <f t="shared" si="102"/>
        <v/>
      </c>
      <c r="DD17" s="263" t="str">
        <f t="shared" si="103"/>
        <v/>
      </c>
      <c r="DE17" s="259" t="str">
        <f t="shared" si="104"/>
        <v/>
      </c>
      <c r="DF17" s="260">
        <f t="shared" si="105"/>
        <v>2.0346832013349236E-5</v>
      </c>
      <c r="DG17" s="260" t="str">
        <f t="shared" si="106"/>
        <v/>
      </c>
      <c r="DH17" s="264" t="str">
        <f t="shared" si="107"/>
        <v/>
      </c>
      <c r="DI17" s="258">
        <f t="shared" si="108"/>
        <v>1.2589254117941642E-6</v>
      </c>
      <c r="DJ17" s="260" t="str">
        <f t="shared" si="109"/>
        <v/>
      </c>
      <c r="DK17" s="260">
        <f t="shared" si="110"/>
        <v>8.1002197225617566E-6</v>
      </c>
      <c r="DL17" s="260" t="str">
        <f t="shared" si="111"/>
        <v/>
      </c>
      <c r="DM17" s="265" t="str">
        <f t="shared" si="112"/>
        <v/>
      </c>
      <c r="DN17" s="242"/>
      <c r="DO17" s="238">
        <f t="shared" si="18"/>
        <v>0.4958727450091226</v>
      </c>
      <c r="DP17" s="239">
        <f t="shared" si="19"/>
        <v>3.9899432967673787E-2</v>
      </c>
      <c r="DQ17" s="239">
        <f t="shared" si="20"/>
        <v>1.197664554119467</v>
      </c>
      <c r="DR17" s="241">
        <f t="shared" si="21"/>
        <v>0.82287595145031889</v>
      </c>
      <c r="DS17" s="238">
        <f t="shared" si="22"/>
        <v>-1.283798309572747</v>
      </c>
      <c r="DT17" s="239">
        <f t="shared" si="23"/>
        <v>-5.3592079654754175E-2</v>
      </c>
      <c r="DU17" s="239">
        <f t="shared" si="24"/>
        <v>0</v>
      </c>
      <c r="DV17" s="241">
        <f t="shared" si="25"/>
        <v>-1.2075459127693815</v>
      </c>
      <c r="DW17" s="91">
        <f t="shared" si="113"/>
        <v>7.9432823472428082E-6</v>
      </c>
      <c r="DX17" s="89">
        <f t="shared" si="114"/>
        <v>0</v>
      </c>
      <c r="DY17" s="89">
        <f t="shared" si="115"/>
        <v>0</v>
      </c>
      <c r="DZ17" s="89">
        <f t="shared" si="116"/>
        <v>0</v>
      </c>
      <c r="EA17" s="90">
        <f t="shared" si="117"/>
        <v>0</v>
      </c>
      <c r="EB17" s="91">
        <f t="shared" si="118"/>
        <v>-1.2589254117941642E-3</v>
      </c>
      <c r="EC17" s="89">
        <f t="shared" si="119"/>
        <v>0</v>
      </c>
      <c r="ED17" s="89">
        <f t="shared" si="120"/>
        <v>-1.6200439445123515E-2</v>
      </c>
      <c r="EE17" s="89">
        <f t="shared" si="121"/>
        <v>0</v>
      </c>
      <c r="EF17" s="90">
        <f t="shared" si="122"/>
        <v>0</v>
      </c>
      <c r="EG17" s="242"/>
      <c r="EH17" s="245">
        <f t="shared" si="123"/>
        <v>2.5563206268289296</v>
      </c>
      <c r="EI17" s="246">
        <f t="shared" si="124"/>
        <v>-2.5623956668538002</v>
      </c>
      <c r="EJ17" s="198">
        <f t="shared" si="83"/>
        <v>-0.11868288211964589</v>
      </c>
      <c r="EK17" s="198">
        <f t="shared" si="27"/>
        <v>7.3927541202804831E-3</v>
      </c>
      <c r="EL17" s="101">
        <f>IF(AND(CS17&lt;&gt;"",DK17&lt;&gt;""),LOG(CS17*DK17/Minerals!$C$6),"")</f>
        <v>0.165974006494919</v>
      </c>
      <c r="EM17" s="94">
        <f>IF(AND(CS17&lt;&gt;"",DK17&lt;&gt;""),LOG(CS17*DK17/Minerals!$C$5),"")</f>
        <v>3.5494477138701311E-2</v>
      </c>
      <c r="EN17" s="94" t="str">
        <f>IF(AND(CS17&lt;&gt;"",DL17&lt;&gt;""),LOG(CS17*DL17^2/Minerals!$C$2),"")</f>
        <v/>
      </c>
      <c r="EO17" s="94">
        <f>IF(AND(CS17&lt;&gt;"",CX17&lt;&gt;""),LOG($CS17*$CX17/Minerals!$C$3),"")</f>
        <v>-1.8418407776670882</v>
      </c>
      <c r="EP17" s="95">
        <f>IF(AND(CS17&lt;&gt;"",CX17&lt;&gt;""),LOG($CS17*$CX17/Minerals!$C$4),"")</f>
        <v>-2.0818252891329907</v>
      </c>
      <c r="EQ17" s="199"/>
      <c r="ER17" s="101">
        <f t="shared" si="28"/>
        <v>0.91287887678874291</v>
      </c>
      <c r="ES17" s="94">
        <f t="shared" si="28"/>
        <v>0.91287887678874291</v>
      </c>
      <c r="ET17" s="94">
        <f t="shared" si="29"/>
        <v>0.6944686285779007</v>
      </c>
      <c r="EU17" s="94">
        <f t="shared" si="29"/>
        <v>0.6944686285779007</v>
      </c>
      <c r="EV17" s="95">
        <f t="shared" si="29"/>
        <v>0.6944686285779007</v>
      </c>
      <c r="EW17" s="101">
        <f t="shared" si="30"/>
        <v>0.91287887678874291</v>
      </c>
      <c r="EX17" s="94">
        <f t="shared" si="31"/>
        <v>0.6944686285779007</v>
      </c>
      <c r="EY17" s="94">
        <f t="shared" si="30"/>
        <v>0.91287887678874291</v>
      </c>
      <c r="EZ17" s="94">
        <f t="shared" si="30"/>
        <v>0.91287887678874291</v>
      </c>
      <c r="FA17" s="94">
        <f t="shared" si="165"/>
        <v>0.91287887678874291</v>
      </c>
      <c r="FB17" s="95">
        <f t="shared" si="32"/>
        <v>0.6944686285779007</v>
      </c>
      <c r="FC17" s="199"/>
      <c r="FD17" s="101">
        <f t="shared" si="33"/>
        <v>4.5267175449407857E-4</v>
      </c>
      <c r="FE17" s="94">
        <f t="shared" si="34"/>
        <v>3.642334955203778E-5</v>
      </c>
      <c r="FF17" s="94">
        <f t="shared" si="35"/>
        <v>4.1587023019785464E-4</v>
      </c>
      <c r="FG17" s="94">
        <f t="shared" si="36"/>
        <v>2.8573076674671906E-4</v>
      </c>
      <c r="FH17" s="95" t="str">
        <f t="shared" si="37"/>
        <v/>
      </c>
      <c r="FI17" s="101">
        <f t="shared" si="85"/>
        <v>1.1719523588660562E-3</v>
      </c>
      <c r="FJ17" s="94">
        <f t="shared" si="38"/>
        <v>5.6253484819071267E-6</v>
      </c>
      <c r="FK17" s="94">
        <f t="shared" si="39"/>
        <v>4.8923077480004833E-5</v>
      </c>
      <c r="FL17" s="94" t="str">
        <f t="shared" si="40"/>
        <v/>
      </c>
      <c r="FM17" s="94" t="str">
        <f t="shared" si="41"/>
        <v/>
      </c>
      <c r="FN17" s="95">
        <f t="shared" si="42"/>
        <v>4.1930137699290083E-4</v>
      </c>
      <c r="FO17" s="199"/>
      <c r="FP17" s="101">
        <f>IF(EL17&lt;&gt;"",LOG(FF17*FJ17/Minerals!$C$6),"")</f>
        <v>-0.15072072947943277</v>
      </c>
      <c r="FQ17" s="94">
        <f>IF(EL17&lt;&gt;"",LOG(FF17*FJ17/Minerals!$C$5),"")</f>
        <v>-0.28120025883565047</v>
      </c>
      <c r="FR17" s="94" t="str">
        <f>IF(EN17&lt;&gt;"",LOG(FF17*FM17^2/Minerals!$C$2),"")</f>
        <v/>
      </c>
      <c r="FS17" s="94">
        <f>IF(EO17&lt;&gt;"",LOG($FF17*$FN17/Minerals!$C$3),"")</f>
        <v>-2.1585355136414397</v>
      </c>
      <c r="FT17" s="95">
        <f>IF(EP17&lt;&gt;"",LOG($FF17*$FN17/Minerals!$C$4),"")</f>
        <v>-2.3985200251073424</v>
      </c>
      <c r="FU17" s="96"/>
      <c r="FV17" s="101">
        <f>IF(FP17&lt;&gt;"",LOG(FF17*FJ17/(EXP(-1*Minerals!$E$6/'Other Constants'!$B$2*(1/(273.15+'ppm-mgL-1'!$D17)-1/298.15)+LN(Minerals!$C$6)))),"")</f>
        <v>-6.3107470227940778</v>
      </c>
      <c r="FW17" s="94">
        <f>IF(FP17&lt;&gt;"",LOG(FF17*FJ17/(EXP(-1*Minerals!$E$5/'Other Constants'!$B$2*(1/(273.15+'ppm-mgL-1'!$D17)-1/298.15)+LN(Minerals!$C$5)))),"")</f>
        <v>-6.4417834370231395</v>
      </c>
      <c r="FX17" s="94" t="str">
        <f>IF(FR17&lt;&gt;"",LOG(FF17*FM17^2/(EXP(-1*Minerals!$E$2/'Other Constants'!$B$2*(1/(273.15+'ppm-mgL-1'!$D17)-1/298.15)+LN(Minerals!$C$2)))),"")</f>
        <v/>
      </c>
      <c r="FY17" s="94">
        <f>IF(FS17&lt;&gt;"",LOG($FF17*$FN17/(EXP(-1*Minerals!$E$3/'Other Constants'!$B$2*(1/(273.15+'ppm-mgL-1'!$D17)-1/298.15)+LN(Minerals!$C$3)))),"")</f>
        <v>3.1516216285363132</v>
      </c>
      <c r="FZ17" s="95">
        <f>IF(FT17&lt;&gt;"",LOG($FF17*$FN17/(EXP(-1*Minerals!$E$4/'Other Constants'!$B$2*(1/(273.15+'ppm-mgL-1'!$D17)-1/298.15)+LN(Minerals!$C$4)))),"")</f>
        <v>-2.5506424095393103</v>
      </c>
      <c r="GA17" s="96"/>
      <c r="GB17" s="96"/>
      <c r="GC17" s="101">
        <f>10^(-1825000*(79.755*EXP(-0.0046*($D17-20))*($D17+273.15))^-1.5*$EK17^0.5/(1+'Elements and ions'!$D$12*$EK17^0.5/(2*(79.755*EXP(-0.0046*($D17-20))*($D17+273.15))^0.5)))</f>
        <v>0.9145026987188537</v>
      </c>
      <c r="GD17" s="94">
        <f>10^(-1825000*(79.755*EXP(-0.0046*($D17-20))*($D17+273.15))^-1.5*$EK17^0.5/(1+'Elements and ions'!$D$20*$EK17^0.5/(2*(79.755*EXP(-0.0046*($D17-20))*($D17+273.15))^0.5)))</f>
        <v>0.91239689018575498</v>
      </c>
      <c r="GE17" s="94">
        <f>10^(-1825000*(79.755*EXP(-0.0046*($D17-20))*($D17+273.15))^-1.5*4*$EK17^0.5/(1+'Elements and ions'!$D$21*$EK17^0.5/(2*(79.755*EXP(-0.0046*($D17-20))*($D17+273.15))^0.5)))</f>
        <v>0.71149892187759978</v>
      </c>
      <c r="GF17" s="94">
        <f>10^(-1825000*(79.755*EXP(-0.0046*($D17-20))*($D17+273.15))^-1.5*4*$EK17^0.5/(1+'Elements and ions'!$D$13*$EK17^0.5/(2*(79.755*EXP(-0.0046*($D17-20))*($D17+273.15))^0.5)))</f>
        <v>0.72265183759993423</v>
      </c>
      <c r="GG17" s="95">
        <f>10^(-1825000*(79.755*EXP(-0.0046*($D17-20))*($D17+273.15))^-1.5*4*$EK17^0.5/(1+'Elements and ions'!$D$27*$EK17^0.5/(2*(79.755*EXP(-0.0046*($D17-20))*($D17+273.15))^0.5)))</f>
        <v>0.71149892187759978</v>
      </c>
      <c r="GH17" s="101">
        <f>10^(-1825000*(79.755*EXP(-0.0046*($D17-20))*($D17+273.15))^-1.5*$EK17^0.5/(1+'Elements and ions'!$G$3*$EK17^0.5/(2*(79.755*EXP(-0.0046*($D17-20))*($D17+273.15))^0.5)))</f>
        <v>0.90691827806068737</v>
      </c>
      <c r="GI17" s="94">
        <f>10^(-1825000*(79.755*EXP(-0.0046*($D17-20))*($D17+273.15))^-1.5*4*$EK17^0.5/(1+'Elements and ions'!$G$4*$EK17^0.5/(2*(79.755*EXP(-0.0046*($D17-20))*($D17+273.15))^0.5)))</f>
        <v>0.67643423583868223</v>
      </c>
      <c r="GJ17" s="94">
        <f>10^(-1825000*(79.755*EXP(-0.0046*($D17-20))*($D17+273.15))^-1.5*$EK17^0.5/(1+'Elements and ions'!$D$18*$EK17^0.5/(2*(79.755*EXP(-0.0046*($D17-20))*($D17+273.15))^0.5)))</f>
        <v>0.91239689018575498</v>
      </c>
      <c r="GK17" s="94">
        <f>10^(-1825000*(79.755*EXP(-0.0046*($D17-20))*($D17+273.15))^-1.5*$EK17^0.5/(1+'Elements and ions'!$I$7*$EK17^0.5/(2*(79.755*EXP(-0.0046*($D17-20))*($D17+273.15))^0.5)))</f>
        <v>0.91239689018575498</v>
      </c>
      <c r="GL17" s="94">
        <f>10^(-1825000*(79.755*EXP(-0.0046*($D17-20))*($D17+273.15))^-1.5*$EK17^0.5/(1+'Elements and ions'!$D$10*$EK17^0.5/(2*(79.755*EXP(-0.0046*($D17-20))*($D17+273.15))^0.5)))</f>
        <v>0.91346259413673681</v>
      </c>
      <c r="GM17" s="95">
        <f>10^(-1825000*(79.755*EXP(-0.0046*($D17-20))*($D17+273.15))^-1.5*4*$EK17^0.5/(1+'Elements and ions'!$I$5*$EK17^0.5/(2*(79.755*EXP(-0.0046*($D17-20))*($D17+273.15))^0.5)))</f>
        <v>0.69942309027411109</v>
      </c>
      <c r="GN17" s="96"/>
      <c r="GO17" s="101">
        <f t="shared" si="43"/>
        <v>4.5347696353196859E-4</v>
      </c>
      <c r="GP17" s="94">
        <f t="shared" si="44"/>
        <v>3.6404118559880547E-5</v>
      </c>
      <c r="GQ17" s="94">
        <f t="shared" si="45"/>
        <v>4.2606851951350853E-4</v>
      </c>
      <c r="GR17" s="94">
        <f t="shared" si="46"/>
        <v>2.9732640921618361E-4</v>
      </c>
      <c r="GS17" s="95" t="str">
        <f t="shared" si="47"/>
        <v/>
      </c>
      <c r="GT17" s="101">
        <f t="shared" si="48"/>
        <v>1.1643001522949369E-3</v>
      </c>
      <c r="GU17" s="94">
        <f t="shared" si="49"/>
        <v>5.4792659381564844E-6</v>
      </c>
      <c r="GV17" s="94">
        <f t="shared" si="50"/>
        <v>4.8897246815584981E-5</v>
      </c>
      <c r="GW17" s="94" t="str">
        <f t="shared" si="51"/>
        <v/>
      </c>
      <c r="GX17" s="94" t="str">
        <f t="shared" si="52"/>
        <v/>
      </c>
      <c r="GY17" s="102">
        <f t="shared" si="53"/>
        <v>4.2229274697851653E-4</v>
      </c>
      <c r="GZ17" s="199"/>
      <c r="HA17" s="92">
        <f>IF(AND(GQ17&lt;&gt;"",GU17&lt;&gt;""),LOG(GQ17*GU17/Minerals!$C$6),"")</f>
        <v>-0.15162616707339777</v>
      </c>
      <c r="HB17" s="94">
        <f>IF(AND(GQ17&lt;&gt;"",GU17&lt;&gt;""),LOG(GQ17*GU17/Minerals!$C$5),"")</f>
        <v>-0.28210569642961547</v>
      </c>
      <c r="HC17" s="94" t="str">
        <f>IF(AND(GQ17&lt;&gt;"",GX17&lt;&gt;""),LOG(GQ17*GX17^2/Minerals!$C$2),"")</f>
        <v/>
      </c>
      <c r="HD17" s="94">
        <f>IF(AND(GQ17&lt;&gt;"",GY17&lt;&gt;""),LOG($GQ17*$GY17/Minerals!$C$3),"")</f>
        <v>-2.1449265656154384</v>
      </c>
      <c r="HE17" s="102">
        <f>IF(AND(GQ17&lt;&gt;"",GY17&lt;&gt;""),LOG($GQ17*$GY17/Minerals!$C$3),"")</f>
        <v>-2.1449265656154384</v>
      </c>
      <c r="HF17" s="199"/>
      <c r="HG17" s="92">
        <f>IF(HA17&lt;&gt;"",LOG(GQ17*GU17/(EXP(-1*Minerals!$E$6/'Other Constants'!$B$2*(1/(273.15+'ppm-mgL-1'!$D17)-1/298.15)+LN(Minerals!$C$6)))),"")</f>
        <v>-6.3116524603880428</v>
      </c>
      <c r="HH17" s="94">
        <f>IF(HA17&lt;&gt;"",LOG(GQ17*GU17/(EXP(-1*Minerals!$E$5/'Other Constants'!$B$2*(1/(273.15+'ppm-mgL-1'!$D17)-1/298.15)+LN(Minerals!$C$5)))),"")</f>
        <v>-6.4426888746171045</v>
      </c>
      <c r="HI17" s="94" t="str">
        <f>IF(HC17&lt;&gt;"",LOG(GQ17*GX17^2/(EXP(-1*Minerals!$E$2/'Other Constants'!$B$2*(1/(273.15+'ppm-mgL-1'!$D17)-1/298.15)+LN(Minerals!$C$2)))),"")</f>
        <v/>
      </c>
      <c r="HJ17" s="94">
        <f>IF(HD17&lt;&gt;"",LOG($FF17*$FN17/(EXP(-1*Minerals!$E$3/'Other Constants'!$B$2*(1/(273.15+'ppm-mgL-1'!$D17)-1/298.15)+LN(Minerals!$C$3)))),"")</f>
        <v>3.1516216285363132</v>
      </c>
      <c r="HK17" s="95">
        <f>IF(HE17&lt;&gt;"",LOG($FF17*$FN17/(EXP(-1*Minerals!$E$4/'Other Constants'!$B$2*(1/(273.15+'ppm-mgL-1'!$D17)-1/298.15)+LN(Minerals!$C$4)))),"")</f>
        <v>-2.5506424095393103</v>
      </c>
      <c r="HL17" s="199"/>
      <c r="HM17" s="199"/>
    </row>
    <row r="18" spans="1:221" customFormat="1" x14ac:dyDescent="0.25">
      <c r="A18" s="3"/>
      <c r="B18" s="6"/>
      <c r="C18" s="215"/>
      <c r="D18" s="3"/>
      <c r="E18" s="4"/>
      <c r="F18" s="4"/>
      <c r="G18" s="4"/>
      <c r="H18" s="5"/>
      <c r="I18" s="3" t="str">
        <f t="shared" si="54"/>
        <v/>
      </c>
      <c r="J18" s="4" t="str">
        <f t="shared" si="55"/>
        <v/>
      </c>
      <c r="K18" s="3" t="str">
        <f t="shared" si="56"/>
        <v/>
      </c>
      <c r="L18" s="4" t="str">
        <f t="shared" si="1"/>
        <v/>
      </c>
      <c r="M18" s="3" t="str">
        <f t="shared" si="0"/>
        <v/>
      </c>
      <c r="N18" s="4" t="str">
        <f t="shared" ref="N18" si="223">IF(M18&lt;&gt;"", IF($D18&lt;&gt;"",M18*2.303*0.0019858*($D18+273.15)/23.06, 0.059*M18),"")</f>
        <v/>
      </c>
      <c r="O18" s="3" t="str">
        <f t="shared" si="2"/>
        <v/>
      </c>
      <c r="P18" s="4" t="str">
        <f t="shared" ref="P18" si="224">IF(O18&lt;&gt;"", IF($D18&lt;&gt;"",O18*2.303*0.0019858*($D18+273.15)/23.06, 0.059*O18),"")</f>
        <v/>
      </c>
      <c r="Q18" s="3" t="str">
        <f t="shared" si="3"/>
        <v/>
      </c>
      <c r="R18" s="4" t="str">
        <f t="shared" ref="R18" si="225">IF(Q18&lt;&gt;"", IF($D18&lt;&gt;"",Q18*2.303*0.0019858*($D18+273.15)/23.06, 0.059*Q18),"")</f>
        <v/>
      </c>
      <c r="S18" s="3" t="str">
        <f t="shared" si="4"/>
        <v/>
      </c>
      <c r="T18" s="4" t="str">
        <f t="shared" ref="T18" si="226">IF(S18&lt;&gt;"", IF($D18&lt;&gt;"",S18*2.303*0.0019858*($D18+273.15)/23.06, 0.059*S18),"")</f>
        <v/>
      </c>
      <c r="U18" s="3" t="str">
        <f>IF(AND($E18&lt;&gt;"",$CX18&lt;&gt;"",$DG18&lt;&gt;""),IF($E18&lt;7,5.12-5/4*$E18+1/8*LOG($CX18/$DG18),4.25-9/8*$E18+1/8*(LOG($CX18)-$E18-LOG($DG18)+pKa!$B$3)),"")</f>
        <v/>
      </c>
      <c r="V18" s="4" t="str">
        <f t="shared" ref="V18" si="227">IF(U18&lt;&gt;"", IF($D18&lt;&gt;"",U18*2.303*0.0019858*($D18+273.15)/23.06, 0.059*U18),"")</f>
        <v/>
      </c>
      <c r="W18" s="3" t="str">
        <f t="shared" si="5"/>
        <v/>
      </c>
      <c r="X18" s="4" t="str">
        <f t="shared" ref="X18" si="228">IF(W18&lt;&gt;"", IF($D18&lt;&gt;"",W18*2.303*0.0019858*($D18+273.15)/23.06, 0.059*W18),"")</f>
        <v/>
      </c>
      <c r="Y18" s="3" t="str">
        <f t="shared" si="6"/>
        <v/>
      </c>
      <c r="Z18" s="4" t="str">
        <f t="shared" ref="Z18" si="229">IF(Y18&lt;&gt;"", IF($D18&lt;&gt;"",Y18*2.303*0.0019858*($D18+273.15)/23.06, 0.059*Y18),"")</f>
        <v/>
      </c>
      <c r="AA18" s="3" t="str">
        <f t="shared" si="7"/>
        <v/>
      </c>
      <c r="AB18" s="4" t="str">
        <f t="shared" ref="AB18" si="230">IF(AA18&lt;&gt;"", IF($D18&lt;&gt;"",AA18*2.303*0.0019858*($D18+273.15)/23.06, 0.059*AA18),"")</f>
        <v/>
      </c>
      <c r="AC18" s="4"/>
      <c r="AD18" s="83" t="str">
        <f>IF(E18&lt;&gt;"",10^(-2*$E18)/(10^(-2*$E18)+10^(-$E18-pKa!$B$2)+(10^(-pKa!$B$2-pKa!$C$2))),"")</f>
        <v/>
      </c>
      <c r="AE18" s="84" t="str">
        <f>IF(E18&lt;&gt;"",10^(-$E18-pKa!$B$2)/(10^(-2*$E18)+10^(-$E18-pKa!$B$2)+10^(-pKa!$B$2-pKa!$C$2)),"")</f>
        <v/>
      </c>
      <c r="AF18" s="212" t="str">
        <f>IF(E18&lt;&gt;"",10^(-pKa!$B$2-pKa!$C$2)/(10^(-2*$E18)+10^(-$E18-pKa!$B$2)+10^(-pKa!$B$2-pKa!$C$2)),"")</f>
        <v/>
      </c>
      <c r="AG18" s="152"/>
      <c r="AH18" s="223"/>
      <c r="AI18" s="85" t="str">
        <f t="shared" si="214"/>
        <v/>
      </c>
      <c r="AJ18" s="84" t="str">
        <f>IF(AI18&lt;&gt;"",AI18*1000*'Elements and ions'!$B$7,"")</f>
        <v/>
      </c>
      <c r="AK18" s="92" t="str">
        <f>IF($AH18&lt;&gt;"",$AH18*'Elements and ions'!$G$3,IF($E18="","","Enter Alk (meq/L)"))</f>
        <v/>
      </c>
      <c r="AL18" s="232" t="str">
        <f>IF($AH18&lt;&gt;"",$AH18*Minerals!$B$6/2,IF($E18="","","Enter Alk (meq/L)"))</f>
        <v/>
      </c>
      <c r="AM18" s="199"/>
      <c r="AN18" s="101" t="str">
        <f t="shared" si="8"/>
        <v/>
      </c>
      <c r="AO18" s="94" t="str">
        <f t="shared" si="9"/>
        <v/>
      </c>
      <c r="AP18" s="95" t="str">
        <f t="shared" si="10"/>
        <v/>
      </c>
      <c r="AQ18" s="199"/>
      <c r="AR18" s="199"/>
      <c r="AS18" s="83" t="str">
        <f t="shared" si="66"/>
        <v/>
      </c>
      <c r="AT18" s="83" t="str">
        <f>IF(AN18&lt;&gt;"",AN18/'Henrys law constants'!$B$7*1000000,"")</f>
        <v/>
      </c>
      <c r="AU18" s="3"/>
      <c r="AV18" s="6"/>
      <c r="AW18" s="6"/>
      <c r="AX18" s="6"/>
      <c r="AY18" s="226"/>
      <c r="AZ18" s="6">
        <v>6923.8</v>
      </c>
      <c r="BA18" s="6"/>
      <c r="BB18" s="5"/>
      <c r="BC18" s="226"/>
      <c r="BD18" s="4"/>
      <c r="BE18" s="6">
        <v>2.6689830000000001E-2</v>
      </c>
      <c r="BF18" s="6"/>
      <c r="BG18" s="5"/>
      <c r="BH18" s="3"/>
      <c r="BI18" s="4"/>
      <c r="BJ18" s="92" t="str">
        <f>IF($AN18&lt;&gt;"",$AN18*'Elements and ions'!$G$2*1000,"")</f>
        <v/>
      </c>
      <c r="BK18" s="229"/>
      <c r="BL18" s="230"/>
      <c r="BM18" s="101"/>
      <c r="BN18" s="4"/>
      <c r="BO18" s="102"/>
      <c r="BP18" s="6"/>
      <c r="BQ18" s="5"/>
      <c r="BR18" s="195"/>
      <c r="BS18" s="238" t="str">
        <f>IF($AU18&lt;&gt;"",$AU18/'Elements and ions'!$B$12,"")</f>
        <v/>
      </c>
      <c r="BT18" s="239" t="str">
        <f>IF($AV18&lt;&gt;"",$AV18/'Elements and ions'!$B$20,"")</f>
        <v/>
      </c>
      <c r="BU18" s="239" t="str">
        <f>IF($AW18&lt;&gt;"",$AW18/'Elements and ions'!$B$21, "")</f>
        <v/>
      </c>
      <c r="BV18" s="240" t="str">
        <f>IF($AX18&lt;&gt;"",$AX18/'Elements and ions'!$B$13, "")</f>
        <v/>
      </c>
      <c r="BW18" s="238" t="str">
        <f>IF($AY18&lt;&gt;"",$AY18/'Elements and ions'!$G$3,"")</f>
        <v/>
      </c>
      <c r="BX18" s="239">
        <f>IF($AZ18&lt;&gt;"",$AZ18/'Elements and ions'!$B$18,"")</f>
        <v>195.29517953346684</v>
      </c>
      <c r="BY18" s="239" t="str">
        <f>IF($BA18&lt;&gt;"",$BA18/'Elements and ions'!$G$7,"")</f>
        <v/>
      </c>
      <c r="BZ18" s="241" t="str">
        <f>IF($BB18&lt;&gt;"",$BB18/'Elements and ions'!$G$5,"")</f>
        <v/>
      </c>
      <c r="CA18" s="91" t="str">
        <f t="shared" si="67"/>
        <v/>
      </c>
      <c r="CB18" s="163" t="str">
        <f>IF($BD18&lt;&gt;"",$BD18/'Elements and ions'!$B$14,"")</f>
        <v/>
      </c>
      <c r="CC18" s="89">
        <f>IF($BE18&lt;&gt;"",$BE18/'Elements and ions'!$B$27, "")</f>
        <v>4.7792694063926943E-4</v>
      </c>
      <c r="CD18" s="249" t="str">
        <f>IF($BF18&lt;&gt;"",$BF18/'Elements and ions'!$B$26,"")</f>
        <v/>
      </c>
      <c r="CE18" s="250" t="str">
        <f>IF($BG18&lt;&gt;"",$BG18/'Elements and ions'!$G$6,"")</f>
        <v/>
      </c>
      <c r="CF18" s="91" t="str">
        <f>IF($BH18&lt;&gt;"",$BH18/'Elements and ions'!$G$15,"")</f>
        <v/>
      </c>
      <c r="CG18" s="89" t="str">
        <f>IF($BI18&lt;&gt;"",$BI18/'Elements and ions'!$G$16,"")</f>
        <v/>
      </c>
      <c r="CH18" s="90" t="str">
        <f>IF($BJ18&lt;&gt;"",$BJ18/'Elements and ions'!$G$2,"")</f>
        <v/>
      </c>
      <c r="CI18" s="91" t="str">
        <f>IF($BK18&lt;&gt;"",$BK18/'Elements and ions'!$B$15, "")</f>
        <v/>
      </c>
      <c r="CJ18" s="88" t="str">
        <f>IF($BL18&lt;&gt;"", $BL18/'Elements and ions'!$G$17,"")</f>
        <v/>
      </c>
      <c r="CK18" s="89" t="str">
        <f t="shared" si="68"/>
        <v/>
      </c>
      <c r="CL18" s="163" t="str">
        <f>IF($BN18&lt;&gt;"", $BN18/'Elements and ions'!$G$19,"")</f>
        <v/>
      </c>
      <c r="CM18" s="89" t="str">
        <f>IF($BO18&lt;&gt;"",$BO18/'Elements and ions'!$G$4,"")</f>
        <v/>
      </c>
      <c r="CN18" s="89" t="str">
        <f>IF($BP18&lt;&gt;"",$BP18/'Elements and ions'!$B$10,"")</f>
        <v/>
      </c>
      <c r="CO18" s="104" t="str">
        <f>IF($BQ18&lt;&gt;"",$BQ18/'Elements and ions'!$G$18,"")</f>
        <v/>
      </c>
      <c r="CP18" s="242"/>
      <c r="CQ18" s="238" t="str">
        <f t="shared" si="94"/>
        <v/>
      </c>
      <c r="CR18" s="239" t="str">
        <f t="shared" si="95"/>
        <v/>
      </c>
      <c r="CS18" s="239" t="str">
        <f t="shared" si="96"/>
        <v/>
      </c>
      <c r="CT18" s="241" t="str">
        <f t="shared" si="97"/>
        <v/>
      </c>
      <c r="CU18" s="238" t="str">
        <f t="shared" si="11"/>
        <v/>
      </c>
      <c r="CV18" s="239">
        <f t="shared" si="12"/>
        <v>0.19529517953346684</v>
      </c>
      <c r="CW18" s="239" t="str">
        <f t="shared" si="13"/>
        <v/>
      </c>
      <c r="CX18" s="241" t="str">
        <f t="shared" si="69"/>
        <v/>
      </c>
      <c r="CY18" s="258" t="str">
        <f t="shared" si="98"/>
        <v/>
      </c>
      <c r="CZ18" s="259" t="str">
        <f t="shared" si="99"/>
        <v/>
      </c>
      <c r="DA18" s="260">
        <f t="shared" si="100"/>
        <v>4.7792694063926943E-7</v>
      </c>
      <c r="DB18" s="261" t="str">
        <f t="shared" si="101"/>
        <v/>
      </c>
      <c r="DC18" s="262" t="str">
        <f t="shared" si="102"/>
        <v/>
      </c>
      <c r="DD18" s="263" t="str">
        <f t="shared" si="103"/>
        <v/>
      </c>
      <c r="DE18" s="259" t="str">
        <f t="shared" si="104"/>
        <v/>
      </c>
      <c r="DF18" s="260" t="str">
        <f t="shared" si="105"/>
        <v/>
      </c>
      <c r="DG18" s="260" t="str">
        <f t="shared" si="106"/>
        <v/>
      </c>
      <c r="DH18" s="264" t="str">
        <f t="shared" si="107"/>
        <v/>
      </c>
      <c r="DI18" s="258" t="str">
        <f t="shared" si="108"/>
        <v/>
      </c>
      <c r="DJ18" s="260" t="str">
        <f t="shared" si="109"/>
        <v/>
      </c>
      <c r="DK18" s="260" t="str">
        <f t="shared" si="110"/>
        <v/>
      </c>
      <c r="DL18" s="260" t="str">
        <f t="shared" si="111"/>
        <v/>
      </c>
      <c r="DM18" s="265" t="str">
        <f t="shared" si="112"/>
        <v/>
      </c>
      <c r="DN18" s="242"/>
      <c r="DO18" s="238">
        <f t="shared" si="18"/>
        <v>0</v>
      </c>
      <c r="DP18" s="239">
        <f t="shared" si="19"/>
        <v>0</v>
      </c>
      <c r="DQ18" s="239">
        <f t="shared" si="20"/>
        <v>0</v>
      </c>
      <c r="DR18" s="241">
        <f t="shared" si="21"/>
        <v>0</v>
      </c>
      <c r="DS18" s="238">
        <f t="shared" si="22"/>
        <v>0</v>
      </c>
      <c r="DT18" s="239"/>
      <c r="DU18" s="239"/>
      <c r="DV18" s="241"/>
      <c r="DW18" s="91" t="str">
        <f t="shared" si="113"/>
        <v/>
      </c>
      <c r="DX18" s="89">
        <f t="shared" si="114"/>
        <v>0</v>
      </c>
      <c r="DY18" s="89">
        <f t="shared" si="115"/>
        <v>9.5585388127853886E-4</v>
      </c>
      <c r="DZ18" s="89">
        <f t="shared" si="116"/>
        <v>0</v>
      </c>
      <c r="EA18" s="90">
        <f t="shared" si="117"/>
        <v>0</v>
      </c>
      <c r="EB18" s="91" t="str">
        <f t="shared" si="118"/>
        <v/>
      </c>
      <c r="EC18" s="89">
        <f t="shared" si="119"/>
        <v>0</v>
      </c>
      <c r="ED18" s="89">
        <f t="shared" si="120"/>
        <v>0</v>
      </c>
      <c r="EE18" s="89">
        <f t="shared" si="121"/>
        <v>0</v>
      </c>
      <c r="EF18" s="90">
        <f t="shared" si="122"/>
        <v>0</v>
      </c>
      <c r="EG18" s="242"/>
      <c r="EH18" s="245">
        <f t="shared" si="123"/>
        <v>9.5585388127853886E-4</v>
      </c>
      <c r="EI18" s="246">
        <f t="shared" si="124"/>
        <v>0</v>
      </c>
      <c r="EJ18" s="198">
        <f t="shared" si="83"/>
        <v>100</v>
      </c>
      <c r="EK18" s="198">
        <f t="shared" si="27"/>
        <v>1.9117077625570777E-6</v>
      </c>
      <c r="EL18" s="101"/>
      <c r="EM18" s="94" t="str">
        <f>IF(AND(CS18&lt;&gt;"",DK18&lt;&gt;""),LOG(CS18*DK18/Minerals!$C$5),"")</f>
        <v/>
      </c>
      <c r="EN18" s="94" t="str">
        <f>IF(AND(CS18&lt;&gt;"",DL18&lt;&gt;""),LOG(CS18*DL18^2/Minerals!$C$2),"")</f>
        <v/>
      </c>
      <c r="EO18" s="94" t="str">
        <f>IF(AND(CS18&lt;&gt;"",CX18&lt;&gt;""),LOG($CS18*$CX18/Minerals!$C$3),"")</f>
        <v/>
      </c>
      <c r="EP18" s="95" t="str">
        <f>IF(AND(CS18&lt;&gt;"",CX18&lt;&gt;""),LOG($CS18*$CX18/Minerals!$C$4),"")</f>
        <v/>
      </c>
      <c r="EQ18" s="199"/>
      <c r="ER18" s="101">
        <f t="shared" si="28"/>
        <v>0.9984116315716659</v>
      </c>
      <c r="ES18" s="94">
        <f t="shared" si="28"/>
        <v>0.9984116315716659</v>
      </c>
      <c r="ET18" s="94">
        <f t="shared" si="29"/>
        <v>0.99366164774934429</v>
      </c>
      <c r="EU18" s="94">
        <f t="shared" si="29"/>
        <v>0.99366164774934429</v>
      </c>
      <c r="EV18" s="95">
        <f t="shared" si="29"/>
        <v>0.99366164774934429</v>
      </c>
      <c r="EW18" s="101">
        <f t="shared" si="30"/>
        <v>0.9984116315716659</v>
      </c>
      <c r="EX18" s="94">
        <f t="shared" si="31"/>
        <v>0.99366164774934429</v>
      </c>
      <c r="EY18" s="94">
        <f t="shared" si="30"/>
        <v>0.9984116315716659</v>
      </c>
      <c r="EZ18" s="94">
        <f t="shared" si="30"/>
        <v>0.9984116315716659</v>
      </c>
      <c r="FA18" s="94">
        <f t="shared" si="165"/>
        <v>0.9984116315716659</v>
      </c>
      <c r="FB18" s="95">
        <f t="shared" si="32"/>
        <v>0.99366164774934429</v>
      </c>
      <c r="FC18" s="199"/>
      <c r="FD18" s="101" t="str">
        <f t="shared" si="33"/>
        <v/>
      </c>
      <c r="FE18" s="94" t="str">
        <f t="shared" si="34"/>
        <v/>
      </c>
      <c r="FF18" s="94" t="str">
        <f t="shared" si="35"/>
        <v/>
      </c>
      <c r="FG18" s="94" t="str">
        <f t="shared" si="36"/>
        <v/>
      </c>
      <c r="FH18" s="95">
        <f t="shared" si="37"/>
        <v>4.7489767133941952E-7</v>
      </c>
      <c r="FI18" s="101" t="str">
        <f t="shared" si="85"/>
        <v/>
      </c>
      <c r="FJ18" s="94" t="str">
        <f t="shared" si="38"/>
        <v/>
      </c>
      <c r="FK18" s="94">
        <f t="shared" si="39"/>
        <v>0.19498497883609003</v>
      </c>
      <c r="FL18" s="94" t="str">
        <f t="shared" si="40"/>
        <v/>
      </c>
      <c r="FM18" s="94" t="str">
        <f t="shared" si="41"/>
        <v/>
      </c>
      <c r="FN18" s="95" t="str">
        <f t="shared" si="42"/>
        <v/>
      </c>
      <c r="FO18" s="199"/>
      <c r="FP18" s="101" t="str">
        <f>IF(EL18&lt;&gt;"",LOG(FF18*FJ18/Minerals!$C$6),"")</f>
        <v/>
      </c>
      <c r="FQ18" s="94" t="str">
        <f>IF(EL18&lt;&gt;"",LOG(FF18*FJ18/Minerals!$C$5),"")</f>
        <v/>
      </c>
      <c r="FR18" s="94" t="str">
        <f>IF(EN18&lt;&gt;"",LOG(FF18*FM18^2/Minerals!$C$2),"")</f>
        <v/>
      </c>
      <c r="FS18" s="94" t="str">
        <f>IF(EO18&lt;&gt;"",LOG($FF18*$FN18/Minerals!$C$3),"")</f>
        <v/>
      </c>
      <c r="FT18" s="95" t="str">
        <f>IF(EP18&lt;&gt;"",LOG($FF18*$FN18/Minerals!$C$4),"")</f>
        <v/>
      </c>
      <c r="FU18" s="96"/>
      <c r="FV18" s="101" t="str">
        <f>IF(FP18&lt;&gt;"",LOG(FF18*FJ18/(EXP(-1*Minerals!$E$6/'Other Constants'!$B$2*(1/(273.15+'ppm-mgL-1'!$D18)-1/298.15)+LN(Minerals!$C$6)))),"")</f>
        <v/>
      </c>
      <c r="FW18" s="94" t="str">
        <f>IF(FP18&lt;&gt;"",LOG(FF18*FJ18/(EXP(-1*Minerals!$E$5/'Other Constants'!$B$2*(1/(273.15+'ppm-mgL-1'!$D18)-1/298.15)+LN(Minerals!$C$5)))),"")</f>
        <v/>
      </c>
      <c r="FX18" s="94" t="str">
        <f>IF(FR18&lt;&gt;"",LOG(FF18*FM18^2/(EXP(-1*Minerals!$E$2/'Other Constants'!$B$2*(1/(273.15+'ppm-mgL-1'!$D18)-1/298.15)+LN(Minerals!$C$2)))),"")</f>
        <v/>
      </c>
      <c r="FY18" s="94" t="str">
        <f>IF(FS18&lt;&gt;"",LOG($FF18*$FN18/(EXP(-1*Minerals!$E$3/'Other Constants'!$B$2*(1/(273.15+'ppm-mgL-1'!$D18)-1/298.15)+LN(Minerals!$C$3)))),"")</f>
        <v/>
      </c>
      <c r="FZ18" s="95" t="str">
        <f>IF(FT18&lt;&gt;"",LOG($FF18*$FN18/(EXP(-1*Minerals!$E$4/'Other Constants'!$B$2*(1/(273.15+'ppm-mgL-1'!$D18)-1/298.15)+LN(Minerals!$C$4)))),"")</f>
        <v/>
      </c>
      <c r="GA18" s="96"/>
      <c r="GB18" s="96"/>
      <c r="GC18" s="101">
        <f>10^(-1825000*(79.755*EXP(-0.0046*($D18-20))*($D18+273.15))^-1.5*$EK18^0.5/(1+'Elements and ions'!$D$12*$EK18^0.5/(2*(79.755*EXP(-0.0046*($D18-20))*($D18+273.15))^0.5)))</f>
        <v>0.99842999711714053</v>
      </c>
      <c r="GD18" s="94">
        <f>10^(-1825000*(79.755*EXP(-0.0046*($D18-20))*($D18+273.15))^-1.5*$EK18^0.5/(1+'Elements and ions'!$D$20*$EK18^0.5/(2*(79.755*EXP(-0.0046*($D18-20))*($D18+273.15))^0.5)))</f>
        <v>0.99842929630714317</v>
      </c>
      <c r="GE18" s="94">
        <f>10^(-1825000*(79.755*EXP(-0.0046*($D18-20))*($D18+273.15))^-1.5*4*$EK18^0.5/(1+'Elements and ions'!$D$21*$EK18^0.5/(2*(79.755*EXP(-0.0046*($D18-20))*($D18+273.15))^0.5)))</f>
        <v>0.99374033511338378</v>
      </c>
      <c r="GF18" s="94">
        <f>10^(-1825000*(79.755*EXP(-0.0046*($D18-20))*($D18+273.15))^-1.5*4*$EK18^0.5/(1+'Elements and ions'!$D$13*$EK18^0.5/(2*(79.755*EXP(-0.0046*($D18-20))*($D18+273.15))^0.5)))</f>
        <v>0.99374589787301759</v>
      </c>
      <c r="GG18" s="95">
        <f>10^(-1825000*(79.755*EXP(-0.0046*($D18-20))*($D18+273.15))^-1.5*4*$EK18^0.5/(1+'Elements and ions'!$D$27*$EK18^0.5/(2*(79.755*EXP(-0.0046*($D18-20))*($D18+273.15))^0.5)))</f>
        <v>0.99374033511338378</v>
      </c>
      <c r="GH18" s="101">
        <f>10^(-1825000*(79.755*EXP(-0.0046*($D18-20))*($D18+273.15))^-1.5*$EK18^0.5/(1+'Elements and ions'!$G$3*$EK18^0.5/(2*(79.755*EXP(-0.0046*($D18-20))*($D18+273.15))^0.5)))</f>
        <v>0.99842761895233245</v>
      </c>
      <c r="GI18" s="94">
        <f>10^(-1825000*(79.755*EXP(-0.0046*($D18-20))*($D18+273.15))^-1.5*4*$EK18^0.5/(1+'Elements and ions'!$G$4*$EK18^0.5/(2*(79.755*EXP(-0.0046*($D18-20))*($D18+273.15))^0.5)))</f>
        <v>0.99372526636358449</v>
      </c>
      <c r="GJ18" s="94">
        <f>10^(-1825000*(79.755*EXP(-0.0046*($D18-20))*($D18+273.15))^-1.5*$EK18^0.5/(1+'Elements and ions'!$D$18*$EK18^0.5/(2*(79.755*EXP(-0.0046*($D18-20))*($D18+273.15))^0.5)))</f>
        <v>0.99842929630714317</v>
      </c>
      <c r="GK18" s="94">
        <f>10^(-1825000*(79.755*EXP(-0.0046*($D18-20))*($D18+273.15))^-1.5*$EK18^0.5/(1+'Elements and ions'!$I$7*$EK18^0.5/(2*(79.755*EXP(-0.0046*($D18-20))*($D18+273.15))^0.5)))</f>
        <v>0.99842929630714317</v>
      </c>
      <c r="GL18" s="94">
        <f>10^(-1825000*(79.755*EXP(-0.0046*($D18-20))*($D18+273.15))^-1.5*$EK18^0.5/(1+'Elements and ions'!$D$10*$EK18^0.5/(2*(79.755*EXP(-0.0046*($D18-20))*($D18+273.15))^0.5)))</f>
        <v>0.99842964679033042</v>
      </c>
      <c r="GM18" s="95">
        <f>10^(-1825000*(79.755*EXP(-0.0046*($D18-20))*($D18+273.15))^-1.5*4*$EK18^0.5/(1+'Elements and ions'!$I$5*$EK18^0.5/(2*(79.755*EXP(-0.0046*($D18-20))*($D18+273.15))^0.5)))</f>
        <v>0.99373476244929393</v>
      </c>
      <c r="GN18" s="96"/>
      <c r="GO18" s="101" t="str">
        <f t="shared" si="43"/>
        <v/>
      </c>
      <c r="GP18" s="94" t="str">
        <f t="shared" si="44"/>
        <v/>
      </c>
      <c r="GQ18" s="94" t="str">
        <f t="shared" si="45"/>
        <v/>
      </c>
      <c r="GR18" s="94" t="str">
        <f t="shared" si="46"/>
        <v/>
      </c>
      <c r="GS18" s="95">
        <f t="shared" si="47"/>
        <v>4.7493527815058188E-7</v>
      </c>
      <c r="GT18" s="101" t="str">
        <f t="shared" si="48"/>
        <v/>
      </c>
      <c r="GU18" s="94" t="str">
        <f t="shared" si="49"/>
        <v/>
      </c>
      <c r="GV18" s="94">
        <f t="shared" si="50"/>
        <v>0.1949884286737765</v>
      </c>
      <c r="GW18" s="94" t="str">
        <f t="shared" si="51"/>
        <v/>
      </c>
      <c r="GX18" s="94" t="str">
        <f t="shared" si="52"/>
        <v/>
      </c>
      <c r="GY18" s="102" t="str">
        <f t="shared" si="53"/>
        <v/>
      </c>
      <c r="GZ18" s="199"/>
      <c r="HA18" s="92" t="str">
        <f>IF(AND(GQ18&lt;&gt;"",GU18&lt;&gt;""),LOG(GQ18*GU18/Minerals!$C$6),"")</f>
        <v/>
      </c>
      <c r="HB18" s="94" t="str">
        <f>IF(AND(GQ18&lt;&gt;"",GU18&lt;&gt;""),LOG(GQ18*GU18/Minerals!$C$5),"")</f>
        <v/>
      </c>
      <c r="HC18" s="94" t="str">
        <f>IF(AND(GQ18&lt;&gt;"",GX18&lt;&gt;""),LOG(GQ18*GX18^2/Minerals!$C$2),"")</f>
        <v/>
      </c>
      <c r="HD18" s="94" t="str">
        <f>IF(AND(GQ18&lt;&gt;"",GY18&lt;&gt;""),LOG($GQ18*$GY18/Minerals!$C$3),"")</f>
        <v/>
      </c>
      <c r="HE18" s="102" t="str">
        <f>IF(AND(GQ18&lt;&gt;"",GY18&lt;&gt;""),LOG($GQ18*$GY18/Minerals!$C$3),"")</f>
        <v/>
      </c>
      <c r="HF18" s="199"/>
      <c r="HG18" s="92" t="str">
        <f>IF(HA18&lt;&gt;"",LOG(GQ18*GU18/(EXP(-1*Minerals!$E$6/'Other Constants'!$B$2*(1/(273.15+'ppm-mgL-1'!$D18)-1/298.15)+LN(Minerals!$C$6)))),"")</f>
        <v/>
      </c>
      <c r="HH18" s="94" t="str">
        <f>IF(HA18&lt;&gt;"",LOG(GQ18*GU18/(EXP(-1*Minerals!$E$5/'Other Constants'!$B$2*(1/(273.15+'ppm-mgL-1'!$D18)-1/298.15)+LN(Minerals!$C$5)))),"")</f>
        <v/>
      </c>
      <c r="HI18" s="94" t="str">
        <f>IF(HC18&lt;&gt;"",LOG(GQ18*GX18^2/(EXP(-1*Minerals!$E$2/'Other Constants'!$B$2*(1/(273.15+'ppm-mgL-1'!$D18)-1/298.15)+LN(Minerals!$C$2)))),"")</f>
        <v/>
      </c>
      <c r="HJ18" s="94" t="str">
        <f>IF(HD18&lt;&gt;"",LOG($FF18*$FN18/(EXP(-1*Minerals!$E$3/'Other Constants'!$B$2*(1/(273.15+'ppm-mgL-1'!$D18)-1/298.15)+LN(Minerals!$C$3)))),"")</f>
        <v/>
      </c>
      <c r="HK18" s="95" t="str">
        <f>IF(HE18&lt;&gt;"",LOG($FF18*$FN18/(EXP(-1*Minerals!$E$4/'Other Constants'!$B$2*(1/(273.15+'ppm-mgL-1'!$D18)-1/298.15)+LN(Minerals!$C$4)))),"")</f>
        <v/>
      </c>
      <c r="HL18" s="199"/>
      <c r="HM18" s="199"/>
    </row>
    <row r="19" spans="1:221" customFormat="1" x14ac:dyDescent="0.25">
      <c r="A19" s="3" t="s">
        <v>281</v>
      </c>
      <c r="B19" s="6" t="s">
        <v>280</v>
      </c>
      <c r="C19" s="215"/>
      <c r="D19" s="3"/>
      <c r="E19" s="4"/>
      <c r="F19" s="4"/>
      <c r="G19" s="4"/>
      <c r="H19" s="5"/>
      <c r="I19" s="3" t="str">
        <f t="shared" si="54"/>
        <v/>
      </c>
      <c r="J19" s="4" t="str">
        <f t="shared" si="55"/>
        <v/>
      </c>
      <c r="K19" s="3" t="str">
        <f t="shared" si="56"/>
        <v/>
      </c>
      <c r="L19" s="4" t="str">
        <f t="shared" si="1"/>
        <v/>
      </c>
      <c r="M19" s="3" t="str">
        <f t="shared" si="0"/>
        <v/>
      </c>
      <c r="N19" s="4" t="str">
        <f t="shared" ref="N19" si="231">IF(M19&lt;&gt;"", IF($D19&lt;&gt;"",M19*2.303*0.0019858*($D19+273.15)/23.06, 0.059*M19),"")</f>
        <v/>
      </c>
      <c r="O19" s="3" t="str">
        <f t="shared" si="2"/>
        <v/>
      </c>
      <c r="P19" s="4" t="str">
        <f t="shared" ref="P19" si="232">IF(O19&lt;&gt;"", IF($D19&lt;&gt;"",O19*2.303*0.0019858*($D19+273.15)/23.06, 0.059*O19),"")</f>
        <v/>
      </c>
      <c r="Q19" s="3" t="str">
        <f t="shared" si="3"/>
        <v/>
      </c>
      <c r="R19" s="4" t="str">
        <f t="shared" ref="R19" si="233">IF(Q19&lt;&gt;"", IF($D19&lt;&gt;"",Q19*2.303*0.0019858*($D19+273.15)/23.06, 0.059*Q19),"")</f>
        <v/>
      </c>
      <c r="S19" s="3" t="str">
        <f t="shared" si="4"/>
        <v/>
      </c>
      <c r="T19" s="4" t="str">
        <f t="shared" ref="T19" si="234">IF(S19&lt;&gt;"", IF($D19&lt;&gt;"",S19*2.303*0.0019858*($D19+273.15)/23.06, 0.059*S19),"")</f>
        <v/>
      </c>
      <c r="U19" s="3" t="str">
        <f>IF(AND($E19&lt;&gt;"",$CX19&lt;&gt;"",$DG19&lt;&gt;""),IF($E19&lt;7,5.12-5/4*$E19+1/8*LOG($CX19/$DG19),4.25-9/8*$E19+1/8*(LOG($CX19)-$E19-LOG($DG19)+pKa!$B$3)),"")</f>
        <v/>
      </c>
      <c r="V19" s="4" t="str">
        <f t="shared" ref="V19" si="235">IF(U19&lt;&gt;"", IF($D19&lt;&gt;"",U19*2.303*0.0019858*($D19+273.15)/23.06, 0.059*U19),"")</f>
        <v/>
      </c>
      <c r="W19" s="3" t="str">
        <f t="shared" si="5"/>
        <v/>
      </c>
      <c r="X19" s="4" t="str">
        <f t="shared" ref="X19" si="236">IF(W19&lt;&gt;"", IF($D19&lt;&gt;"",W19*2.303*0.0019858*($D19+273.15)/23.06, 0.059*W19),"")</f>
        <v/>
      </c>
      <c r="Y19" s="3" t="str">
        <f t="shared" si="6"/>
        <v/>
      </c>
      <c r="Z19" s="4" t="str">
        <f t="shared" ref="Z19" si="237">IF(Y19&lt;&gt;"", IF($D19&lt;&gt;"",Y19*2.303*0.0019858*($D19+273.15)/23.06, 0.059*Y19),"")</f>
        <v/>
      </c>
      <c r="AA19" s="3" t="str">
        <f t="shared" si="7"/>
        <v/>
      </c>
      <c r="AB19" s="4" t="str">
        <f t="shared" ref="AB19" si="238">IF(AA19&lt;&gt;"", IF($D19&lt;&gt;"",AA19*2.303*0.0019858*($D19+273.15)/23.06, 0.059*AA19),"")</f>
        <v/>
      </c>
      <c r="AC19" s="4"/>
      <c r="AD19" s="83" t="str">
        <f>IF(E19&lt;&gt;"",10^(-2*$E19)/(10^(-2*$E19)+10^(-$E19-pKa!$B$2)+(10^(-pKa!$B$2-pKa!$C$2))),"")</f>
        <v/>
      </c>
      <c r="AE19" s="84" t="str">
        <f>IF(E19&lt;&gt;"",10^(-$E19-pKa!$B$2)/(10^(-2*$E19)+10^(-$E19-pKa!$B$2)+10^(-pKa!$B$2-pKa!$C$2)),"")</f>
        <v/>
      </c>
      <c r="AF19" s="212" t="str">
        <f>IF(E19&lt;&gt;"",10^(-pKa!$B$2-pKa!$C$2)/(10^(-2*$E19)+10^(-$E19-pKa!$B$2)+10^(-pKa!$B$2-pKa!$C$2)),"")</f>
        <v/>
      </c>
      <c r="AG19" s="152"/>
      <c r="AH19" s="223"/>
      <c r="AI19" s="85" t="str">
        <f t="shared" si="214"/>
        <v/>
      </c>
      <c r="AJ19" s="84" t="str">
        <f>IF(AI19&lt;&gt;"",AI19*1000*'Elements and ions'!$B$7,"")</f>
        <v/>
      </c>
      <c r="AK19" s="92" t="str">
        <f>IF($AH19&lt;&gt;"",$AH19*'Elements and ions'!$G$3,IF($E19="","","Enter Alk (meq/L)"))</f>
        <v/>
      </c>
      <c r="AL19" s="232" t="str">
        <f>IF($AH19&lt;&gt;"",$AH19*Minerals!$B$6/2,IF($E19="","","Enter Alk (meq/L)"))</f>
        <v/>
      </c>
      <c r="AM19" s="199"/>
      <c r="AN19" s="101" t="str">
        <f t="shared" si="8"/>
        <v/>
      </c>
      <c r="AO19" s="94" t="str">
        <f t="shared" si="9"/>
        <v/>
      </c>
      <c r="AP19" s="95" t="str">
        <f t="shared" si="10"/>
        <v/>
      </c>
      <c r="AQ19" s="199"/>
      <c r="AR19" s="199"/>
      <c r="AS19" s="83" t="str">
        <f t="shared" si="66"/>
        <v/>
      </c>
      <c r="AT19" s="83" t="str">
        <f>IF(AN19&lt;&gt;"",AN19/'Henrys law constants'!$B$7*1000000,"")</f>
        <v/>
      </c>
      <c r="AU19" s="3">
        <v>11.494999999999999</v>
      </c>
      <c r="AV19" s="6"/>
      <c r="AW19" s="6"/>
      <c r="AX19" s="6"/>
      <c r="AY19" s="226"/>
      <c r="AZ19" s="6"/>
      <c r="BA19" s="6"/>
      <c r="BB19" s="5"/>
      <c r="BC19" s="226"/>
      <c r="BD19" s="4"/>
      <c r="BE19" s="6"/>
      <c r="BF19" s="6"/>
      <c r="BG19" s="5"/>
      <c r="BH19" s="3"/>
      <c r="BI19" s="4"/>
      <c r="BJ19" s="92" t="str">
        <f>IF($AN19&lt;&gt;"",$AN19*'Elements and ions'!$G$2*1000,"")</f>
        <v/>
      </c>
      <c r="BK19" s="229"/>
      <c r="BL19" s="230"/>
      <c r="BM19" s="101"/>
      <c r="BN19" s="4"/>
      <c r="BO19" s="102"/>
      <c r="BP19" s="6"/>
      <c r="BQ19" s="5"/>
      <c r="BR19" s="195"/>
      <c r="BS19" s="238">
        <f>IF($AU19&lt;&gt;"",$AU19/'Elements and ions'!$B$12,"")</f>
        <v>0.5000050178841986</v>
      </c>
      <c r="BT19" s="239" t="str">
        <f>IF($AV19&lt;&gt;"",$AV19/'Elements and ions'!$B$20,"")</f>
        <v/>
      </c>
      <c r="BU19" s="239" t="str">
        <f>IF($AW19&lt;&gt;"",$AW19/'Elements and ions'!$B$21, "")</f>
        <v/>
      </c>
      <c r="BV19" s="240" t="str">
        <f>IF($AX19&lt;&gt;"",$AX19/'Elements and ions'!$B$13, "")</f>
        <v/>
      </c>
      <c r="BW19" s="238" t="str">
        <f>IF($AY19&lt;&gt;"",$AY19/'Elements and ions'!$G$3,"")</f>
        <v/>
      </c>
      <c r="BX19" s="239" t="str">
        <f>IF($AZ19&lt;&gt;"",$AZ19/'Elements and ions'!$B$18,"")</f>
        <v/>
      </c>
      <c r="BY19" s="239" t="str">
        <f>IF($BA19&lt;&gt;"",$BA19/'Elements and ions'!$G$7,"")</f>
        <v/>
      </c>
      <c r="BZ19" s="241" t="str">
        <f>IF($BB19&lt;&gt;"",$BB19/'Elements and ions'!$G$5,"")</f>
        <v/>
      </c>
      <c r="CA19" s="91" t="str">
        <f t="shared" si="67"/>
        <v/>
      </c>
      <c r="CB19" s="163" t="str">
        <f>IF($BD19&lt;&gt;"",$BD19/'Elements and ions'!$B$14,"")</f>
        <v/>
      </c>
      <c r="CC19" s="89" t="str">
        <f>IF($BE19&lt;&gt;"",$BE19/'Elements and ions'!$B$27, "")</f>
        <v/>
      </c>
      <c r="CD19" s="249" t="str">
        <f>IF($BF19&lt;&gt;"",$BF19/'Elements and ions'!$B$26,"")</f>
        <v/>
      </c>
      <c r="CE19" s="250" t="str">
        <f>IF($BG19&lt;&gt;"",$BG19/'Elements and ions'!$G$6,"")</f>
        <v/>
      </c>
      <c r="CF19" s="91" t="str">
        <f>IF($BH19&lt;&gt;"",$BH19/'Elements and ions'!$G$15,"")</f>
        <v/>
      </c>
      <c r="CG19" s="89" t="str">
        <f>IF($BI19&lt;&gt;"",$BI19/'Elements and ions'!$G$16,"")</f>
        <v/>
      </c>
      <c r="CH19" s="90" t="str">
        <f>IF($BJ19&lt;&gt;"",$BJ19/'Elements and ions'!$G$2,"")</f>
        <v/>
      </c>
      <c r="CI19" s="91" t="str">
        <f>IF($BK19&lt;&gt;"",$BK19/'Elements and ions'!$B$15, "")</f>
        <v/>
      </c>
      <c r="CJ19" s="88" t="str">
        <f>IF($BL19&lt;&gt;"", $BL19/'Elements and ions'!$G$17,"")</f>
        <v/>
      </c>
      <c r="CK19" s="89" t="str">
        <f t="shared" si="68"/>
        <v/>
      </c>
      <c r="CL19" s="163" t="str">
        <f>IF($BN19&lt;&gt;"", $BN19/'Elements and ions'!$G$19,"")</f>
        <v/>
      </c>
      <c r="CM19" s="89" t="str">
        <f>IF($BO19&lt;&gt;"",$BO19/'Elements and ions'!$G$4,"")</f>
        <v/>
      </c>
      <c r="CN19" s="89" t="str">
        <f>IF($BP19&lt;&gt;"",$BP19/'Elements and ions'!$B$10,"")</f>
        <v/>
      </c>
      <c r="CO19" s="104" t="str">
        <f>IF($BQ19&lt;&gt;"",$BQ19/'Elements and ions'!$G$18,"")</f>
        <v/>
      </c>
      <c r="CP19" s="242"/>
      <c r="CQ19" s="238">
        <f t="shared" ref="CQ19:CQ26" si="239">IF($BS19&lt;&gt;"",BS19/1000,"")</f>
        <v>5.0000501788419855E-4</v>
      </c>
      <c r="CR19" s="239" t="str">
        <f t="shared" ref="CR19:CR26" si="240">IF($BT19&lt;&gt;"",BT19/1000,"")</f>
        <v/>
      </c>
      <c r="CS19" s="239" t="str">
        <f t="shared" ref="CS19:CS26" si="241">IF($BU19&lt;&gt;"",BU19/1000,"")</f>
        <v/>
      </c>
      <c r="CT19" s="241" t="str">
        <f t="shared" ref="CT19:CT26" si="242">IF($BV19&lt;&gt;"",BV19/1000,"")</f>
        <v/>
      </c>
      <c r="CU19" s="238" t="str">
        <f t="shared" ref="CU19:CU26" si="243">IF($BW19&lt;&gt;"",BW19/1000,"")</f>
        <v/>
      </c>
      <c r="CV19" s="239" t="str">
        <f t="shared" ref="CV19:CV26" si="244">IF($BX19&lt;&gt;"",BX19/1000,"")</f>
        <v/>
      </c>
      <c r="CW19" s="239" t="str">
        <f t="shared" ref="CW19:CW26" si="245">IF($BY19&lt;&gt;"",BY19/1000,"")</f>
        <v/>
      </c>
      <c r="CX19" s="241" t="str">
        <f t="shared" ref="CX19:CX26" si="246">IF(BZ19&lt;&gt;"",BZ19/1000,"")</f>
        <v/>
      </c>
      <c r="CY19" s="258" t="str">
        <f t="shared" si="98"/>
        <v/>
      </c>
      <c r="CZ19" s="259" t="str">
        <f t="shared" ref="CZ19:CZ26" si="247">IF(CB19&lt;&gt;"",CB19/1000,"")</f>
        <v/>
      </c>
      <c r="DA19" s="260" t="str">
        <f t="shared" ref="DA19:DA26" si="248">IF(CC19&lt;&gt;"",CC19/1000,"")</f>
        <v/>
      </c>
      <c r="DB19" s="261" t="str">
        <f t="shared" ref="DB19:DB26" si="249">IF(CD19&lt;&gt;"",CD19/1000,"")</f>
        <v/>
      </c>
      <c r="DC19" s="262" t="str">
        <f t="shared" ref="DC19:DC26" si="250">IF(CE19&lt;&gt;"",CE19/1000,"")</f>
        <v/>
      </c>
      <c r="DD19" s="263" t="str">
        <f t="shared" ref="DD19:DD26" si="251">IF(CF19&lt;&gt;"",CF19/1000,"")</f>
        <v/>
      </c>
      <c r="DE19" s="259" t="str">
        <f t="shared" ref="DE19:DE26" si="252">IF(CG19&lt;&gt;"",CG19/1000,"")</f>
        <v/>
      </c>
      <c r="DF19" s="260" t="str">
        <f t="shared" ref="DF19:DF26" si="253">IF(CH19&lt;&gt;"",CH19/1000,"")</f>
        <v/>
      </c>
      <c r="DG19" s="260" t="str">
        <f t="shared" ref="DG19:DG26" si="254">IF(CI19&lt;&gt;"",CI19/1000,"")</f>
        <v/>
      </c>
      <c r="DH19" s="264" t="str">
        <f t="shared" ref="DH19:DH26" si="255">IF(CJ19&lt;&gt;"",CJ19/1000,"")</f>
        <v/>
      </c>
      <c r="DI19" s="258" t="str">
        <f t="shared" si="108"/>
        <v/>
      </c>
      <c r="DJ19" s="260" t="str">
        <f t="shared" ref="DJ19:DJ26" si="256">IF(CL19&lt;&gt;"",CL19/1000,"")</f>
        <v/>
      </c>
      <c r="DK19" s="260" t="str">
        <f t="shared" ref="DK19:DK26" si="257">IF(CM19&lt;&gt;"",CM19/1000,"")</f>
        <v/>
      </c>
      <c r="DL19" s="260" t="str">
        <f t="shared" ref="DL19:DL26" si="258">IF(CN19&lt;&gt;"",CN19/1000,"")</f>
        <v/>
      </c>
      <c r="DM19" s="265" t="str">
        <f t="shared" ref="DM19:DM26" si="259">IF(CO19&lt;&gt;"",CO19/1000,"")</f>
        <v/>
      </c>
      <c r="DN19" s="242"/>
      <c r="DO19" s="238">
        <f t="shared" ref="DO19:DO26" si="260">IF($BS19&lt;&gt;"",BS19,0)</f>
        <v>0.5000050178841986</v>
      </c>
      <c r="DP19" s="239">
        <f t="shared" ref="DP19:DP26" si="261">IF($BT19&lt;&gt;"",BT19,0)</f>
        <v>0</v>
      </c>
      <c r="DQ19" s="239">
        <f t="shared" ref="DQ19:DQ26" si="262">IF($BU19&lt;&gt;"",BU19*2,0)</f>
        <v>0</v>
      </c>
      <c r="DR19" s="241">
        <f t="shared" ref="DR19:DR26" si="263">IF($BV19&lt;&gt;"",BV19*2,0)</f>
        <v>0</v>
      </c>
      <c r="DS19" s="238">
        <f t="shared" ref="DS19:DS26" si="264">IF($BW19&lt;&gt;"",BW19*-1,0)</f>
        <v>0</v>
      </c>
      <c r="DT19" s="239"/>
      <c r="DU19" s="239"/>
      <c r="DV19" s="241"/>
      <c r="DW19" s="91" t="str">
        <f t="shared" si="113"/>
        <v/>
      </c>
      <c r="DX19" s="89">
        <f t="shared" ref="DX19:DX26" si="265">IF(CB19&lt;&gt;"",CB19*3,0)</f>
        <v>0</v>
      </c>
      <c r="DY19" s="89">
        <f t="shared" ref="DY19:DY26" si="266">IF(CC19&lt;&gt;"",CC19*2,0)</f>
        <v>0</v>
      </c>
      <c r="DZ19" s="89">
        <f t="shared" ref="DZ19:DZ26" si="267">IF(CD19&lt;&gt;"",CD19*2,0)</f>
        <v>0</v>
      </c>
      <c r="EA19" s="90">
        <f t="shared" ref="EA19:EA26" si="268">IF(CE19&lt;&gt;"",CE19,0)</f>
        <v>0</v>
      </c>
      <c r="EB19" s="91" t="str">
        <f t="shared" si="118"/>
        <v/>
      </c>
      <c r="EC19" s="89">
        <f t="shared" ref="EC19:EC26" si="269">IF(CL19&lt;&gt;"",CL19*-1,0)</f>
        <v>0</v>
      </c>
      <c r="ED19" s="89">
        <f t="shared" ref="ED19:ED26" si="270">IF(CM19&lt;&gt;"",CM19*-2,0)</f>
        <v>0</v>
      </c>
      <c r="EE19" s="89">
        <f t="shared" ref="EE19:EE26" si="271">IF(CN19&lt;&gt;"",CN19*-1,0)</f>
        <v>0</v>
      </c>
      <c r="EF19" s="90">
        <f t="shared" ref="EF19:EF26" si="272">IF(CO19&lt;&gt;"",CO19*-2,0)</f>
        <v>0</v>
      </c>
      <c r="EG19" s="242"/>
      <c r="EH19" s="245">
        <f t="shared" ref="EH19:EH26" si="273">SUM(DO19:DR19,DW19:EA19)</f>
        <v>0.5000050178841986</v>
      </c>
      <c r="EI19" s="246">
        <f t="shared" ref="EI19:EI26" si="274">SUM(DS19:DV19,EB19:EF19)</f>
        <v>0</v>
      </c>
      <c r="EJ19" s="198">
        <f t="shared" ref="EJ19:EJ26" si="275">IF(EH19&lt;&gt;EI19,(EH19+EI19)/(EH19-EI19)*100,0)</f>
        <v>100</v>
      </c>
      <c r="EK19" s="198">
        <f t="shared" si="27"/>
        <v>2.5000250894209928E-4</v>
      </c>
      <c r="EL19" s="101"/>
      <c r="EM19" s="94" t="str">
        <f>IF(AND(CS19&lt;&gt;"",DK19&lt;&gt;""),LOG(CS19*DK19/Minerals!$C$5),"")</f>
        <v/>
      </c>
      <c r="EN19" s="94" t="str">
        <f>IF(AND(CS19&lt;&gt;"",DL19&lt;&gt;""),LOG(CS19*DL19^2/Minerals!$C$2),"")</f>
        <v/>
      </c>
      <c r="EO19" s="94" t="str">
        <f>IF(AND(CS19&lt;&gt;"",CX19&lt;&gt;""),LOG($CS19*$CX19/Minerals!$C$3),"")</f>
        <v/>
      </c>
      <c r="EP19" s="95" t="str">
        <f>IF(AND(CS19&lt;&gt;"",CX19&lt;&gt;""),LOG($CS19*$CX19/Minerals!$C$4),"")</f>
        <v/>
      </c>
      <c r="EQ19" s="199"/>
      <c r="ER19" s="101">
        <f t="shared" si="28"/>
        <v>0.98223933440482014</v>
      </c>
      <c r="ES19" s="94">
        <f t="shared" si="28"/>
        <v>0.98223933440482014</v>
      </c>
      <c r="ET19" s="94">
        <f t="shared" si="29"/>
        <v>0.93082767479107731</v>
      </c>
      <c r="EU19" s="94">
        <f t="shared" si="29"/>
        <v>0.93082767479107731</v>
      </c>
      <c r="EV19" s="95">
        <f t="shared" si="29"/>
        <v>0.93082767479107731</v>
      </c>
      <c r="EW19" s="101">
        <f t="shared" si="30"/>
        <v>0.98223933440482014</v>
      </c>
      <c r="EX19" s="94">
        <f t="shared" si="31"/>
        <v>0.93082767479107731</v>
      </c>
      <c r="EY19" s="94">
        <f t="shared" si="30"/>
        <v>0.98223933440482014</v>
      </c>
      <c r="EZ19" s="94">
        <f t="shared" si="30"/>
        <v>0.98223933440482014</v>
      </c>
      <c r="FA19" s="94">
        <f t="shared" si="165"/>
        <v>0.98223933440482014</v>
      </c>
      <c r="FB19" s="95">
        <f t="shared" si="32"/>
        <v>0.93082767479107731</v>
      </c>
      <c r="FC19" s="199"/>
      <c r="FD19" s="101">
        <f t="shared" ref="FD19:FD26" si="276">IF($CQ19&lt;&gt;"",ER19*$CQ19,"")</f>
        <v>4.9112459596564533E-4</v>
      </c>
      <c r="FE19" s="94" t="str">
        <f t="shared" ref="FE19:FE26" si="277">IF($CR19&lt;&gt;"",ES19*$CR19,"")</f>
        <v/>
      </c>
      <c r="FF19" s="94" t="str">
        <f t="shared" ref="FF19:FF26" si="278">IF($CS19&lt;&gt;"",ET19*$CS19,"")</f>
        <v/>
      </c>
      <c r="FG19" s="94" t="str">
        <f t="shared" ref="FG19:FG26" si="279">IF($CT19&lt;&gt;"",EU19*$CT19,"")</f>
        <v/>
      </c>
      <c r="FH19" s="95" t="str">
        <f t="shared" ref="FH19:FH26" si="280">IF($DA19&lt;&gt;"",EV19*$DA19,"")</f>
        <v/>
      </c>
      <c r="FI19" s="101" t="str">
        <f t="shared" ref="FI19:FI26" si="281">IF($CU19&lt;&gt;"",EW19*$CU19,"")</f>
        <v/>
      </c>
      <c r="FJ19" s="94" t="str">
        <f t="shared" ref="FJ19:FJ26" si="282">IF($DK19&lt;&gt;"",EX19*$DK19,"")</f>
        <v/>
      </c>
      <c r="FK19" s="94" t="str">
        <f t="shared" ref="FK19:FK26" si="283">IF($CV19&lt;&gt;"",EY19*$CV19,"")</f>
        <v/>
      </c>
      <c r="FL19" s="94" t="str">
        <f t="shared" ref="FL19:FL26" si="284">IF($CW19&lt;&gt;"",EZ19*$CW19,"")</f>
        <v/>
      </c>
      <c r="FM19" s="94" t="str">
        <f t="shared" ref="FM19:FM26" si="285">IF($DL19&lt;&gt;"",FA19*$DL19,"")</f>
        <v/>
      </c>
      <c r="FN19" s="95" t="str">
        <f t="shared" ref="FN19:FN26" si="286">IF($CX19&lt;&gt;"",FB19*$CX19,"")</f>
        <v/>
      </c>
      <c r="FO19" s="199"/>
      <c r="FP19" s="101" t="str">
        <f>IF(EL19&lt;&gt;"",LOG(FF19*FJ19/Minerals!$C$6),"")</f>
        <v/>
      </c>
      <c r="FQ19" s="94" t="str">
        <f>IF(EL19&lt;&gt;"",LOG(FF19*FJ19/Minerals!$C$5),"")</f>
        <v/>
      </c>
      <c r="FR19" s="94" t="str">
        <f>IF(EN19&lt;&gt;"",LOG(FF19*FM19^2/Minerals!$C$2),"")</f>
        <v/>
      </c>
      <c r="FS19" s="94" t="str">
        <f>IF(EO19&lt;&gt;"",LOG($FF19*$FN19/Minerals!$C$3),"")</f>
        <v/>
      </c>
      <c r="FT19" s="95" t="str">
        <f>IF(EP19&lt;&gt;"",LOG($FF19*$FN19/Minerals!$C$4),"")</f>
        <v/>
      </c>
      <c r="FU19" s="96"/>
      <c r="FV19" s="101" t="str">
        <f>IF(FP19&lt;&gt;"",LOG(FF19*FJ19/(EXP(-1*Minerals!$E$6/'Other Constants'!$B$2*(1/(273.15+'ppm-mgL-1'!$D19)-1/298.15)+LN(Minerals!$C$6)))),"")</f>
        <v/>
      </c>
      <c r="FW19" s="94" t="str">
        <f>IF(FP19&lt;&gt;"",LOG(FF19*FJ19/(EXP(-1*Minerals!$E$5/'Other Constants'!$B$2*(1/(273.15+'ppm-mgL-1'!$D19)-1/298.15)+LN(Minerals!$C$5)))),"")</f>
        <v/>
      </c>
      <c r="FX19" s="94" t="str">
        <f>IF(FR19&lt;&gt;"",LOG(FF19*FM19^2/(EXP(-1*Minerals!$E$2/'Other Constants'!$B$2*(1/(273.15+'ppm-mgL-1'!$D19)-1/298.15)+LN(Minerals!$C$2)))),"")</f>
        <v/>
      </c>
      <c r="FY19" s="94" t="str">
        <f>IF(FS19&lt;&gt;"",LOG($FF19*$FN19/(EXP(-1*Minerals!$E$3/'Other Constants'!$B$2*(1/(273.15+'ppm-mgL-1'!$D19)-1/298.15)+LN(Minerals!$C$3)))),"")</f>
        <v/>
      </c>
      <c r="FZ19" s="95" t="str">
        <f>IF(FT19&lt;&gt;"",LOG($FF19*$FN19/(EXP(-1*Minerals!$E$4/'Other Constants'!$B$2*(1/(273.15+'ppm-mgL-1'!$D19)-1/298.15)+LN(Minerals!$C$4)))),"")</f>
        <v/>
      </c>
      <c r="GA19" s="96"/>
      <c r="GB19" s="96"/>
      <c r="GC19" s="101">
        <f>10^(-1825000*(79.755*EXP(-0.0046*($D19-20))*($D19+273.15))^-1.5*$EK19^0.5/(1+'Elements and ions'!$D$12*$EK19^0.5/(2*(79.755*EXP(-0.0046*($D19-20))*($D19+273.15))^0.5)))</f>
        <v>0.98251531014619886</v>
      </c>
      <c r="GD19" s="94">
        <f>10^(-1825000*(79.755*EXP(-0.0046*($D19-20))*($D19+273.15))^-1.5*$EK19^0.5/(1+'Elements and ions'!$D$20*$EK19^0.5/(2*(79.755*EXP(-0.0046*($D19-20))*($D19+273.15))^0.5)))</f>
        <v>0.98242799823044868</v>
      </c>
      <c r="GE19" s="94">
        <f>10^(-1825000*(79.755*EXP(-0.0046*($D19-20))*($D19+273.15))^-1.5*4*$EK19^0.5/(1+'Elements and ions'!$D$21*$EK19^0.5/(2*(79.755*EXP(-0.0046*($D19-20))*($D19+273.15))^0.5)))</f>
        <v>0.93252712580697872</v>
      </c>
      <c r="GF19" s="94">
        <f>10^(-1825000*(79.755*EXP(-0.0046*($D19-20))*($D19+273.15))^-1.5*4*$EK19^0.5/(1+'Elements and ions'!$D$13*$EK19^0.5/(2*(79.755*EXP(-0.0046*($D19-20))*($D19+273.15))^0.5)))</f>
        <v>0.93316762253964569</v>
      </c>
      <c r="GG19" s="95">
        <f>10^(-1825000*(79.755*EXP(-0.0046*($D19-20))*($D19+273.15))^-1.5*4*$EK19^0.5/(1+'Elements and ions'!$D$27*$EK19^0.5/(2*(79.755*EXP(-0.0046*($D19-20))*($D19+273.15))^0.5)))</f>
        <v>0.93252712580697872</v>
      </c>
      <c r="GH19" s="101">
        <f>10^(-1825000*(79.755*EXP(-0.0046*($D19-20))*($D19+273.15))^-1.5*$EK19^0.5/(1+'Elements and ions'!$G$3*$EK19^0.5/(2*(79.755*EXP(-0.0046*($D19-20))*($D19+273.15))^0.5)))</f>
        <v>0.98221576277837963</v>
      </c>
      <c r="GI19" s="94">
        <f>10^(-1825000*(79.755*EXP(-0.0046*($D19-20))*($D19+273.15))^-1.5*4*$EK19^0.5/(1+'Elements and ions'!$G$4*$EK19^0.5/(2*(79.755*EXP(-0.0046*($D19-20))*($D19+273.15))^0.5)))</f>
        <v>0.93073489256892528</v>
      </c>
      <c r="GJ19" s="94">
        <f>10^(-1825000*(79.755*EXP(-0.0046*($D19-20))*($D19+273.15))^-1.5*$EK19^0.5/(1+'Elements and ions'!$D$18*$EK19^0.5/(2*(79.755*EXP(-0.0046*($D19-20))*($D19+273.15))^0.5)))</f>
        <v>0.98242799823044868</v>
      </c>
      <c r="GK19" s="94">
        <f>10^(-1825000*(79.755*EXP(-0.0046*($D19-20))*($D19+273.15))^-1.5*$EK19^0.5/(1+'Elements and ions'!$I$7*$EK19^0.5/(2*(79.755*EXP(-0.0046*($D19-20))*($D19+273.15))^0.5)))</f>
        <v>0.98242799823044868</v>
      </c>
      <c r="GL19" s="94">
        <f>10^(-1825000*(79.755*EXP(-0.0046*($D19-20))*($D19+273.15))^-1.5*$EK19^0.5/(1+'Elements and ions'!$D$10*$EK19^0.5/(2*(79.755*EXP(-0.0046*($D19-20))*($D19+273.15))^0.5)))</f>
        <v>0.98247176291464466</v>
      </c>
      <c r="GM19" s="95">
        <f>10^(-1825000*(79.755*EXP(-0.0046*($D19-20))*($D19+273.15))^-1.5*4*$EK19^0.5/(1+'Elements and ions'!$I$5*$EK19^0.5/(2*(79.755*EXP(-0.0046*($D19-20))*($D19+273.15))^0.5)))</f>
        <v>0.93187423903735667</v>
      </c>
      <c r="GN19" s="96"/>
      <c r="GO19" s="101">
        <f t="shared" ref="GO19:GO26" si="287">IF($CQ19&lt;&gt;"",GC19*$CQ19,"")</f>
        <v>4.9126258522114901E-4</v>
      </c>
      <c r="GP19" s="94" t="str">
        <f t="shared" ref="GP19:GP26" si="288">IF($CR19&lt;&gt;"",GD19*$CR19,"")</f>
        <v/>
      </c>
      <c r="GQ19" s="94" t="str">
        <f t="shared" ref="GQ19:GQ26" si="289">IF($CS19&lt;&gt;"",GE19*$CS19,"")</f>
        <v/>
      </c>
      <c r="GR19" s="94" t="str">
        <f t="shared" ref="GR19:GR26" si="290">IF($CT19&lt;&gt;"",GF19*$CT19,"")</f>
        <v/>
      </c>
      <c r="GS19" s="95" t="str">
        <f t="shared" ref="GS19:GS26" si="291">IF($DA19&lt;&gt;"",GG19*$DA19,"")</f>
        <v/>
      </c>
      <c r="GT19" s="101" t="str">
        <f t="shared" ref="GT19:GT26" si="292">IF($CU19&lt;&gt;"",GH19*$CU19,"")</f>
        <v/>
      </c>
      <c r="GU19" s="94" t="str">
        <f t="shared" ref="GU19:GU26" si="293">IF($DK19&lt;&gt;"",GI19*$DK19,"")</f>
        <v/>
      </c>
      <c r="GV19" s="94" t="str">
        <f t="shared" ref="GV19:GV26" si="294">IF($CV19&lt;&gt;"",GJ19*$CV19,"")</f>
        <v/>
      </c>
      <c r="GW19" s="94" t="str">
        <f t="shared" ref="GW19:GW26" si="295">IF($CW19&lt;&gt;"",GK19*$CW19,"")</f>
        <v/>
      </c>
      <c r="GX19" s="94" t="str">
        <f t="shared" ref="GX19:GX26" si="296">IF($DL19&lt;&gt;"",GL19*$DL19,"")</f>
        <v/>
      </c>
      <c r="GY19" s="102" t="str">
        <f t="shared" ref="GY19:GY26" si="297">IF($CX19&lt;&gt;"",GM19*$CX19,"")</f>
        <v/>
      </c>
      <c r="GZ19" s="199"/>
      <c r="HA19" s="92" t="str">
        <f>IF(AND(GQ19&lt;&gt;"",GU19&lt;&gt;""),LOG(GQ19*GU19/Minerals!$C$6),"")</f>
        <v/>
      </c>
      <c r="HB19" s="94" t="str">
        <f>IF(AND(GQ19&lt;&gt;"",GU19&lt;&gt;""),LOG(GQ19*GU19/Minerals!$C$5),"")</f>
        <v/>
      </c>
      <c r="HC19" s="94" t="str">
        <f>IF(AND(GQ19&lt;&gt;"",GX19&lt;&gt;""),LOG(GQ19*GX19^2/Minerals!$C$2),"")</f>
        <v/>
      </c>
      <c r="HD19" s="94" t="str">
        <f>IF(AND(GQ19&lt;&gt;"",GY19&lt;&gt;""),LOG($GQ19*$GY19/Minerals!$C$3),"")</f>
        <v/>
      </c>
      <c r="HE19" s="102" t="str">
        <f>IF(AND(GQ19&lt;&gt;"",GY19&lt;&gt;""),LOG($GQ19*$GY19/Minerals!$C$3),"")</f>
        <v/>
      </c>
      <c r="HF19" s="199"/>
      <c r="HG19" s="92" t="str">
        <f>IF(HA19&lt;&gt;"",LOG(GQ19*GU19/(EXP(-1*Minerals!$E$6/'Other Constants'!$B$2*(1/(273.15+'ppm-mgL-1'!$D19)-1/298.15)+LN(Minerals!$C$6)))),"")</f>
        <v/>
      </c>
      <c r="HH19" s="94" t="str">
        <f>IF(HA19&lt;&gt;"",LOG(GQ19*GU19/(EXP(-1*Minerals!$E$5/'Other Constants'!$B$2*(1/(273.15+'ppm-mgL-1'!$D19)-1/298.15)+LN(Minerals!$C$5)))),"")</f>
        <v/>
      </c>
      <c r="HI19" s="94" t="str">
        <f>IF(HC19&lt;&gt;"",LOG(GQ19*GX19^2/(EXP(-1*Minerals!$E$2/'Other Constants'!$B$2*(1/(273.15+'ppm-mgL-1'!$D19)-1/298.15)+LN(Minerals!$C$2)))),"")</f>
        <v/>
      </c>
      <c r="HJ19" s="94" t="str">
        <f>IF(HD19&lt;&gt;"",LOG($FF19*$FN19/(EXP(-1*Minerals!$E$3/'Other Constants'!$B$2*(1/(273.15+'ppm-mgL-1'!$D19)-1/298.15)+LN(Minerals!$C$3)))),"")</f>
        <v/>
      </c>
      <c r="HK19" s="95" t="str">
        <f>IF(HE19&lt;&gt;"",LOG($FF19*$FN19/(EXP(-1*Minerals!$E$4/'Other Constants'!$B$2*(1/(273.15+'ppm-mgL-1'!$D19)-1/298.15)+LN(Minerals!$C$4)))),"")</f>
        <v/>
      </c>
      <c r="HL19" s="199"/>
      <c r="HM19" s="199"/>
    </row>
    <row r="20" spans="1:221" x14ac:dyDescent="0.25">
      <c r="A20" s="3" t="s">
        <v>294</v>
      </c>
      <c r="B20" s="6" t="s">
        <v>295</v>
      </c>
      <c r="C20" s="215">
        <v>1985</v>
      </c>
      <c r="D20" s="3"/>
      <c r="E20" s="6">
        <v>4.5999999999999996</v>
      </c>
      <c r="H20" s="5">
        <v>15.06</v>
      </c>
      <c r="I20" s="3" t="str">
        <f t="shared" si="54"/>
        <v/>
      </c>
      <c r="J20" s="4" t="str">
        <f t="shared" si="55"/>
        <v/>
      </c>
      <c r="K20" s="3" t="str">
        <f t="shared" si="56"/>
        <v/>
      </c>
      <c r="L20" s="4" t="str">
        <f t="shared" si="1"/>
        <v/>
      </c>
      <c r="M20" s="3" t="str">
        <f t="shared" si="0"/>
        <v/>
      </c>
      <c r="N20" s="4" t="str">
        <f t="shared" ref="N20" si="298">IF(M20&lt;&gt;"", IF($D20&lt;&gt;"",M20*2.303*0.0019858*($D20+273.15)/23.06, 0.059*M20),"")</f>
        <v/>
      </c>
      <c r="O20" s="3" t="str">
        <f t="shared" si="2"/>
        <v/>
      </c>
      <c r="P20" s="4" t="str">
        <f t="shared" ref="P20" si="299">IF(O20&lt;&gt;"", IF($D20&lt;&gt;"",O20*2.303*0.0019858*($D20+273.15)/23.06, 0.059*O20),"")</f>
        <v/>
      </c>
      <c r="Q20" s="3" t="str">
        <f t="shared" si="3"/>
        <v/>
      </c>
      <c r="R20" s="4" t="str">
        <f t="shared" ref="R20" si="300">IF(Q20&lt;&gt;"", IF($D20&lt;&gt;"",Q20*2.303*0.0019858*($D20+273.15)/23.06, 0.059*Q20),"")</f>
        <v/>
      </c>
      <c r="S20" s="3" t="str">
        <f t="shared" si="4"/>
        <v/>
      </c>
      <c r="T20" s="4" t="str">
        <f t="shared" ref="T20" si="301">IF(S20&lt;&gt;"", IF($D20&lt;&gt;"",S20*2.303*0.0019858*($D20+273.15)/23.06, 0.059*S20),"")</f>
        <v/>
      </c>
      <c r="U20" s="3" t="str">
        <f>IF(AND($E20&lt;&gt;"",$CX20&lt;&gt;"",$DG20&lt;&gt;""),IF($E20&lt;7,5.12-5/4*$E20+1/8*LOG($CX20/$DG20),4.25-9/8*$E20+1/8*(LOG($CX20)-$E20-LOG($DG20)+pKa!$B$3)),"")</f>
        <v/>
      </c>
      <c r="V20" s="4" t="str">
        <f t="shared" ref="V20" si="302">IF(U20&lt;&gt;"", IF($D20&lt;&gt;"",U20*2.303*0.0019858*($D20+273.15)/23.06, 0.059*U20),"")</f>
        <v/>
      </c>
      <c r="W20" s="3" t="str">
        <f t="shared" si="5"/>
        <v/>
      </c>
      <c r="X20" s="4" t="str">
        <f t="shared" ref="X20" si="303">IF(W20&lt;&gt;"", IF($D20&lt;&gt;"",W20*2.303*0.0019858*($D20+273.15)/23.06, 0.059*W20),"")</f>
        <v/>
      </c>
      <c r="Y20" s="3" t="str">
        <f t="shared" si="6"/>
        <v/>
      </c>
      <c r="Z20" s="4" t="str">
        <f t="shared" ref="Z20" si="304">IF(Y20&lt;&gt;"", IF($D20&lt;&gt;"",Y20*2.303*0.0019858*($D20+273.15)/23.06, 0.059*Y20),"")</f>
        <v/>
      </c>
      <c r="AA20" s="3" t="str">
        <f t="shared" si="7"/>
        <v/>
      </c>
      <c r="AB20" s="4" t="str">
        <f t="shared" ref="AB20" si="305">IF(AA20&lt;&gt;"", IF($D20&lt;&gt;"",AA20*2.303*0.0019858*($D20+273.15)/23.06, 0.059*AA20),"")</f>
        <v/>
      </c>
      <c r="AD20" s="83">
        <f>IF(E20&lt;&gt;"",10^(-2*$E20)/(10^(-2*$E20)+10^(-$E20-pKa!$B$2)+(10^(-pKa!$B$2-pKa!$C$2))),"")</f>
        <v>0.98043765785904868</v>
      </c>
      <c r="AE20" s="84">
        <f>IF(E20&lt;&gt;"",10^(-$E20-pKa!$B$2)/(10^(-2*$E20)+10^(-$E20-pKa!$B$2)+10^(-pKa!$B$2-pKa!$C$2)),"")</f>
        <v>1.9562303109025153E-2</v>
      </c>
      <c r="AF20" s="212">
        <f>IF(E20&lt;&gt;"",10^(-pKa!$B$2-pKa!$C$2)/(10^(-2*$E20)+10^(-$E20-pKa!$B$2)+10^(-pKa!$B$2-pKa!$C$2)),"")</f>
        <v>3.9031926187436206E-8</v>
      </c>
      <c r="AG20" s="152"/>
      <c r="AH20" s="222" t="str">
        <f>IF($AK20&lt;&gt;"",$AK20/'Elements and ions'!$G$3,IF($E20="","",""))</f>
        <v/>
      </c>
      <c r="AI20" s="85" t="str">
        <f>IF($AH20&lt;&gt;"",($AH20-10^(-14+$E20)+10^(-$E20))/1000/(AE20+2*AF20),IF($E20="","",""))</f>
        <v/>
      </c>
      <c r="AJ20" s="84" t="str">
        <f>IF(AI20&lt;&gt;"",AI20*1000*'Elements and ions'!$B$7,"")</f>
        <v/>
      </c>
      <c r="AK20" s="99"/>
      <c r="AL20" s="88" t="str">
        <f>IF($AK20&lt;&gt;"",$AK20/'Elements and ions'!$G$3*Minerals!$B$6/2,IF($E20="","","Enter Alk(HCO3-)"))</f>
        <v>Enter Alk(HCO3-)</v>
      </c>
      <c r="AM20" s="199"/>
      <c r="AN20" s="101" t="str">
        <f t="shared" si="8"/>
        <v/>
      </c>
      <c r="AO20" s="94" t="str">
        <f t="shared" si="9"/>
        <v/>
      </c>
      <c r="AP20" s="95" t="str">
        <f t="shared" si="10"/>
        <v/>
      </c>
      <c r="AQ20" s="199"/>
      <c r="AR20" s="199"/>
      <c r="AS20" s="83" t="str">
        <f t="shared" si="66"/>
        <v/>
      </c>
      <c r="AT20" s="83" t="str">
        <f>IF(AN20&lt;&gt;"",AN20/'Henrys law constants'!$B$7*1000000,"")</f>
        <v/>
      </c>
      <c r="AU20" s="3"/>
      <c r="AV20" s="6">
        <v>7.1999999999999995E-2</v>
      </c>
      <c r="AW20" s="6">
        <v>0.151</v>
      </c>
      <c r="AX20" s="6">
        <v>2.8000000000000001E-2</v>
      </c>
      <c r="AY20" s="226"/>
      <c r="AZ20" s="6">
        <v>1.663</v>
      </c>
      <c r="BA20" s="6"/>
      <c r="BB20" s="5"/>
      <c r="BC20" s="226"/>
      <c r="BD20" s="4">
        <v>7.4899999999999999E-4</v>
      </c>
      <c r="BE20" s="6"/>
      <c r="BF20" s="6"/>
      <c r="BG20" s="5"/>
      <c r="BH20" s="3"/>
      <c r="BJ20" s="92" t="str">
        <f>IF($AN20&lt;&gt;"",$AN20*'Elements and ions'!$G$2*1000,"")</f>
        <v/>
      </c>
      <c r="BK20" s="229"/>
      <c r="BL20" s="230"/>
      <c r="BM20" s="101"/>
      <c r="BO20" s="102"/>
      <c r="BP20" s="6">
        <v>1.21E-2</v>
      </c>
      <c r="BQ20" s="5"/>
      <c r="BR20" s="195"/>
      <c r="BS20" s="238" t="str">
        <f>IF($AU20&lt;&gt;"",$AU20/'Elements and ions'!$B$12,"")</f>
        <v/>
      </c>
      <c r="BT20" s="239">
        <f>IF($AV20&lt;&gt;"",$AV20/'Elements and ions'!$B$20,"")</f>
        <v>1.8415122908157129E-3</v>
      </c>
      <c r="BU20" s="239">
        <f>IF($AW20&lt;&gt;"",$AW20/'Elements and ions'!$B$21, "")</f>
        <v>3.7676530765008232E-3</v>
      </c>
      <c r="BV20" s="240">
        <f>IF($AX20&lt;&gt;"",$AX20/'Elements and ions'!$B$13, "")</f>
        <v>1.1520263320304465E-3</v>
      </c>
      <c r="BW20" s="238" t="str">
        <f>IF($AY20&lt;&gt;"",$AY20/'Elements and ions'!$G$3,"")</f>
        <v/>
      </c>
      <c r="BX20" s="239">
        <f>IF($AZ20&lt;&gt;"",$AZ20/'Elements and ions'!$B$18,"")</f>
        <v>4.690717287676642E-2</v>
      </c>
      <c r="BY20" s="239" t="str">
        <f>IF($BA20&lt;&gt;"",$BA20/'Elements and ions'!$G$7,"")</f>
        <v/>
      </c>
      <c r="BZ20" s="241" t="str">
        <f>IF($BB20&lt;&gt;"",$BB20/'Elements and ions'!$G$5,"")</f>
        <v/>
      </c>
      <c r="CA20" s="91">
        <f t="shared" si="67"/>
        <v>2.5118864315095791E-2</v>
      </c>
      <c r="CB20" s="163">
        <f>IF($BD20&lt;&gt;"",$BD20/'Elements and ions'!$B$14,"")</f>
        <v>2.7759721604608566E-5</v>
      </c>
      <c r="CC20" s="89" t="str">
        <f>IF($BE20&lt;&gt;"",$BE20/'Elements and ions'!$B$27, "")</f>
        <v/>
      </c>
      <c r="CD20" s="249" t="str">
        <f>IF($BF20&lt;&gt;"",$BF20/'Elements and ions'!$B$26,"")</f>
        <v/>
      </c>
      <c r="CE20" s="250" t="str">
        <f>IF($BG20&lt;&gt;"",$BG20/'Elements and ions'!$G$6,"")</f>
        <v/>
      </c>
      <c r="CF20" s="91" t="str">
        <f>IF($BH20&lt;&gt;"",$BH20/'Elements and ions'!$G$15,"")</f>
        <v/>
      </c>
      <c r="CG20" s="89" t="str">
        <f>IF($BI20&lt;&gt;"",$BI20/'Elements and ions'!$G$16,"")</f>
        <v/>
      </c>
      <c r="CH20" s="90" t="str">
        <f>IF($BJ20&lt;&gt;"",$BJ20/'Elements and ions'!$G$2,"")</f>
        <v/>
      </c>
      <c r="CI20" s="91" t="str">
        <f>IF($BK20&lt;&gt;"",$BK20/'Elements and ions'!$B$15, "")</f>
        <v/>
      </c>
      <c r="CJ20" s="88" t="str">
        <f>IF($BL20&lt;&gt;"", $BL20/'Elements and ions'!$G$17,"")</f>
        <v/>
      </c>
      <c r="CK20" s="89">
        <f t="shared" si="68"/>
        <v>3.9810717055349623E-7</v>
      </c>
      <c r="CL20" s="163" t="str">
        <f>IF($BN20&lt;&gt;"", $BN20/'Elements and ions'!$G$19,"")</f>
        <v/>
      </c>
      <c r="CM20" s="89" t="str">
        <f>IF($BO20&lt;&gt;"",$BO20/'Elements and ions'!$G$4,"")</f>
        <v/>
      </c>
      <c r="CN20" s="89">
        <f>IF($BP20&lt;&gt;"",$BP20/'Elements and ions'!$B$10,"")</f>
        <v>6.3689563131284635E-4</v>
      </c>
      <c r="CO20" s="104" t="str">
        <f>IF($BQ20&lt;&gt;"",$BQ20/'Elements and ions'!$G$18,"")</f>
        <v/>
      </c>
      <c r="CP20" s="242"/>
      <c r="CQ20" s="238" t="str">
        <f t="shared" si="239"/>
        <v/>
      </c>
      <c r="CR20" s="239">
        <f t="shared" si="240"/>
        <v>1.8415122908157128E-6</v>
      </c>
      <c r="CS20" s="239">
        <f t="shared" si="241"/>
        <v>3.767653076500823E-6</v>
      </c>
      <c r="CT20" s="241">
        <f t="shared" si="242"/>
        <v>1.1520263320304466E-6</v>
      </c>
      <c r="CU20" s="238" t="str">
        <f t="shared" si="243"/>
        <v/>
      </c>
      <c r="CV20" s="239">
        <f t="shared" si="244"/>
        <v>4.690717287676642E-5</v>
      </c>
      <c r="CW20" s="239" t="str">
        <f t="shared" si="245"/>
        <v/>
      </c>
      <c r="CX20" s="241" t="str">
        <f t="shared" si="246"/>
        <v/>
      </c>
      <c r="CY20" s="258">
        <f t="shared" si="98"/>
        <v>2.5118864315095791E-5</v>
      </c>
      <c r="CZ20" s="259">
        <f t="shared" si="247"/>
        <v>2.7759721604608566E-8</v>
      </c>
      <c r="DA20" s="260" t="str">
        <f t="shared" si="248"/>
        <v/>
      </c>
      <c r="DB20" s="261" t="str">
        <f t="shared" si="249"/>
        <v/>
      </c>
      <c r="DC20" s="262" t="str">
        <f t="shared" si="250"/>
        <v/>
      </c>
      <c r="DD20" s="263" t="str">
        <f t="shared" si="251"/>
        <v/>
      </c>
      <c r="DE20" s="259" t="str">
        <f t="shared" si="252"/>
        <v/>
      </c>
      <c r="DF20" s="260" t="str">
        <f t="shared" si="253"/>
        <v/>
      </c>
      <c r="DG20" s="260" t="str">
        <f t="shared" si="254"/>
        <v/>
      </c>
      <c r="DH20" s="264" t="str">
        <f t="shared" si="255"/>
        <v/>
      </c>
      <c r="DI20" s="258">
        <f t="shared" si="108"/>
        <v>3.9810717055349621E-10</v>
      </c>
      <c r="DJ20" s="260" t="str">
        <f t="shared" si="256"/>
        <v/>
      </c>
      <c r="DK20" s="260" t="str">
        <f t="shared" si="257"/>
        <v/>
      </c>
      <c r="DL20" s="260">
        <f t="shared" si="258"/>
        <v>6.3689563131284635E-7</v>
      </c>
      <c r="DM20" s="265" t="str">
        <f t="shared" si="259"/>
        <v/>
      </c>
      <c r="DN20" s="242"/>
      <c r="DO20" s="238">
        <f t="shared" si="260"/>
        <v>0</v>
      </c>
      <c r="DP20" s="239">
        <f t="shared" si="261"/>
        <v>1.8415122908157129E-3</v>
      </c>
      <c r="DQ20" s="239">
        <f t="shared" si="262"/>
        <v>7.5353061530016464E-3</v>
      </c>
      <c r="DR20" s="241">
        <f t="shared" si="263"/>
        <v>2.3040526640608931E-3</v>
      </c>
      <c r="DS20" s="238">
        <f t="shared" si="264"/>
        <v>0</v>
      </c>
      <c r="DT20" s="239"/>
      <c r="DU20" s="239"/>
      <c r="DV20" s="241"/>
      <c r="DW20" s="91">
        <f t="shared" si="113"/>
        <v>2.5118864315095791E-2</v>
      </c>
      <c r="DX20" s="89">
        <f t="shared" si="265"/>
        <v>8.32791648138257E-5</v>
      </c>
      <c r="DY20" s="89">
        <f t="shared" si="266"/>
        <v>0</v>
      </c>
      <c r="DZ20" s="89">
        <f t="shared" si="267"/>
        <v>0</v>
      </c>
      <c r="EA20" s="90">
        <f t="shared" si="268"/>
        <v>0</v>
      </c>
      <c r="EB20" s="91">
        <f t="shared" si="118"/>
        <v>-3.9810717055349623E-7</v>
      </c>
      <c r="EC20" s="89">
        <f t="shared" si="269"/>
        <v>0</v>
      </c>
      <c r="ED20" s="89">
        <f t="shared" si="270"/>
        <v>0</v>
      </c>
      <c r="EE20" s="89">
        <f t="shared" si="271"/>
        <v>-6.3689563131284635E-4</v>
      </c>
      <c r="EF20" s="90">
        <f t="shared" si="272"/>
        <v>0</v>
      </c>
      <c r="EG20" s="242"/>
      <c r="EH20" s="245">
        <f t="shared" si="273"/>
        <v>3.6883014587787873E-2</v>
      </c>
      <c r="EI20" s="246">
        <f t="shared" si="274"/>
        <v>-6.372937384833998E-4</v>
      </c>
      <c r="EJ20" s="198">
        <f t="shared" si="275"/>
        <v>96.60293975762896</v>
      </c>
      <c r="EK20" s="198">
        <f t="shared" si="27"/>
        <v>2.0917921595189363E-5</v>
      </c>
      <c r="EL20" s="101"/>
      <c r="EM20" s="94" t="str">
        <f>IF(AND(CS20&lt;&gt;"",DK20&lt;&gt;""),LOG(CS20*DK20/Minerals!$C$5),"")</f>
        <v/>
      </c>
      <c r="EN20" s="94">
        <f>IF(AND(CS20&lt;&gt;"",DL20&lt;&gt;""),LOG(CS20*DL20^2/Minerals!$C$2),"")</f>
        <v>-7.2458676093559102</v>
      </c>
      <c r="EO20" s="94" t="str">
        <f>IF(AND(CS20&lt;&gt;"",CX20&lt;&gt;""),LOG($CS20*$CX20/Minerals!$C$3),"")</f>
        <v/>
      </c>
      <c r="EP20" s="95" t="str">
        <f>IF(AND(CS20&lt;&gt;"",CX20&lt;&gt;""),LOG($CS20*$CX20/Minerals!$C$4),"")</f>
        <v/>
      </c>
      <c r="EQ20" s="199"/>
      <c r="ER20" s="101">
        <f t="shared" si="28"/>
        <v>0.99477212141568272</v>
      </c>
      <c r="ES20" s="94">
        <f t="shared" si="28"/>
        <v>0.99477212141568272</v>
      </c>
      <c r="ET20" s="94">
        <f t="shared" si="29"/>
        <v>0.97925189917002531</v>
      </c>
      <c r="EU20" s="94">
        <f t="shared" si="29"/>
        <v>0.97925189917002531</v>
      </c>
      <c r="EV20" s="95">
        <f t="shared" si="29"/>
        <v>0.97925189917002531</v>
      </c>
      <c r="EW20" s="101">
        <f t="shared" si="30"/>
        <v>0.99477212141568272</v>
      </c>
      <c r="EX20" s="94">
        <f t="shared" si="31"/>
        <v>0.97925189917002531</v>
      </c>
      <c r="EY20" s="94">
        <f t="shared" si="30"/>
        <v>0.99477212141568272</v>
      </c>
      <c r="EZ20" s="94">
        <f t="shared" si="30"/>
        <v>0.99477212141568272</v>
      </c>
      <c r="FA20" s="94">
        <f t="shared" si="165"/>
        <v>0.99477212141568272</v>
      </c>
      <c r="FB20" s="95">
        <f t="shared" si="32"/>
        <v>0.97925189917002531</v>
      </c>
      <c r="FC20" s="199"/>
      <c r="FD20" s="101" t="str">
        <f t="shared" si="276"/>
        <v/>
      </c>
      <c r="FE20" s="94">
        <f t="shared" si="277"/>
        <v>1.8318850881478004E-6</v>
      </c>
      <c r="FF20" s="94">
        <f t="shared" si="278"/>
        <v>3.6894814305772197E-6</v>
      </c>
      <c r="FG20" s="94">
        <f t="shared" si="279"/>
        <v>1.128123973534693E-6</v>
      </c>
      <c r="FH20" s="95" t="str">
        <f t="shared" si="280"/>
        <v/>
      </c>
      <c r="FI20" s="101" t="str">
        <f t="shared" si="281"/>
        <v/>
      </c>
      <c r="FJ20" s="94" t="str">
        <f t="shared" si="282"/>
        <v/>
      </c>
      <c r="FK20" s="94">
        <f t="shared" si="283"/>
        <v>4.6661947872233102E-5</v>
      </c>
      <c r="FL20" s="94" t="str">
        <f t="shared" si="284"/>
        <v/>
      </c>
      <c r="FM20" s="94">
        <f t="shared" si="285"/>
        <v>6.3356601828146072E-7</v>
      </c>
      <c r="FN20" s="95" t="str">
        <f t="shared" si="286"/>
        <v/>
      </c>
      <c r="FO20" s="199"/>
      <c r="FP20" s="101" t="str">
        <f>IF(EL20&lt;&gt;"",LOG(FF20*FJ20/Minerals!$C$6),"")</f>
        <v/>
      </c>
      <c r="FQ20" s="94" t="str">
        <f>IF(EL20&lt;&gt;"",LOG(FF20*FJ20/Minerals!$C$5),"")</f>
        <v/>
      </c>
      <c r="FR20" s="94">
        <f>IF(EN20&lt;&gt;"",LOG(FF20*FM20^2/Minerals!$C$2),"")</f>
        <v>-7.2595259756128367</v>
      </c>
      <c r="FS20" s="94" t="str">
        <f>IF(EO20&lt;&gt;"",LOG($FF20*$FN20/Minerals!$C$3),"")</f>
        <v/>
      </c>
      <c r="FT20" s="95" t="str">
        <f>IF(EP20&lt;&gt;"",LOG($FF20*$FN20/Minerals!$C$4),"")</f>
        <v/>
      </c>
      <c r="FU20" s="96"/>
      <c r="FV20" s="101" t="str">
        <f>IF(FP20&lt;&gt;"",LOG(FF20*FJ20/(EXP(-1*Minerals!$E$6/'Other Constants'!$B$2*(1/(273.15+'ppm-mgL-1'!$D20)-1/298.15)+LN(Minerals!$C$6)))),"")</f>
        <v/>
      </c>
      <c r="FW20" s="94" t="str">
        <f>IF(FP20&lt;&gt;"",LOG(FF20*FJ20/(EXP(-1*Minerals!$E$5/'Other Constants'!$B$2*(1/(273.15+'ppm-mgL-1'!$D20)-1/298.15)+LN(Minerals!$C$5)))),"")</f>
        <v/>
      </c>
      <c r="FX20" s="94">
        <f>IF(FR20&lt;&gt;"",LOG(FF20*FM20^2/(EXP(-1*Minerals!$E$2/'Other Constants'!$B$2*(1/(273.15+'ppm-mgL-1'!$D20)-1/298.15)+LN(Minerals!$C$2)))),"")</f>
        <v>-6.8095742228122838</v>
      </c>
      <c r="FY20" s="94" t="str">
        <f>IF(FS20&lt;&gt;"",LOG($FF20*$FN20/(EXP(-1*Minerals!$E$3/'Other Constants'!$B$2*(1/(273.15+'ppm-mgL-1'!$D20)-1/298.15)+LN(Minerals!$C$3)))),"")</f>
        <v/>
      </c>
      <c r="FZ20" s="95" t="str">
        <f>IF(FT20&lt;&gt;"",LOG($FF20*$FN20/(EXP(-1*Minerals!$E$4/'Other Constants'!$B$2*(1/(273.15+'ppm-mgL-1'!$D20)-1/298.15)+LN(Minerals!$C$4)))),"")</f>
        <v/>
      </c>
      <c r="GA20" s="96"/>
      <c r="GB20" s="96"/>
      <c r="GC20" s="101">
        <f>10^(-1825000*(79.755*EXP(-0.0046*($D20-20))*($D20+273.15))^-1.5*$EK20^0.5/(1+'Elements and ions'!$D$12*$EK20^0.5/(2*(79.755*EXP(-0.0046*($D20-20))*($D20+273.15))^0.5)))</f>
        <v>0.99483726196747835</v>
      </c>
      <c r="GD20" s="94">
        <f>10^(-1825000*(79.755*EXP(-0.0046*($D20-20))*($D20+273.15))^-1.5*$EK20^0.5/(1+'Elements and ions'!$D$20*$EK20^0.5/(2*(79.755*EXP(-0.0046*($D20-20))*($D20+273.15))^0.5)))</f>
        <v>0.99482967614757611</v>
      </c>
      <c r="GE20" s="94">
        <f>10^(-1825000*(79.755*EXP(-0.0046*($D20-20))*($D20+273.15))^-1.5*4*$EK20^0.5/(1+'Elements and ions'!$D$21*$EK20^0.5/(2*(79.755*EXP(-0.0046*($D20-20))*($D20+273.15))^0.5)))</f>
        <v>0.97956791193926562</v>
      </c>
      <c r="GF20" s="94">
        <f>10^(-1825000*(79.755*EXP(-0.0046*($D20-20))*($D20+273.15))^-1.5*4*$EK20^0.5/(1+'Elements and ions'!$D$13*$EK20^0.5/(2*(79.755*EXP(-0.0046*($D20-20))*($D20+273.15))^0.5)))</f>
        <v>0.9796270581310611</v>
      </c>
      <c r="GG20" s="95">
        <f>10^(-1825000*(79.755*EXP(-0.0046*($D20-20))*($D20+273.15))^-1.5*4*$EK20^0.5/(1+'Elements and ions'!$D$27*$EK20^0.5/(2*(79.755*EXP(-0.0046*($D20-20))*($D20+273.15))^0.5)))</f>
        <v>0.97956791193926562</v>
      </c>
      <c r="GH20" s="101">
        <f>10^(-1825000*(79.755*EXP(-0.0046*($D20-20))*($D20+273.15))^-1.5*$EK20^0.5/(1+'Elements and ions'!$G$3*$EK20^0.5/(2*(79.755*EXP(-0.0046*($D20-20))*($D20+273.15))^0.5)))</f>
        <v>0.99481145670108562</v>
      </c>
      <c r="GI20" s="94">
        <f>10^(-1825000*(79.755*EXP(-0.0046*($D20-20))*($D20+273.15))^-1.5*4*$EK20^0.5/(1+'Elements and ions'!$G$4*$EK20^0.5/(2*(79.755*EXP(-0.0046*($D20-20))*($D20+273.15))^0.5)))</f>
        <v>0.97940649101380273</v>
      </c>
      <c r="GJ20" s="94">
        <f>10^(-1825000*(79.755*EXP(-0.0046*($D20-20))*($D20+273.15))^-1.5*$EK20^0.5/(1+'Elements and ions'!$D$18*$EK20^0.5/(2*(79.755*EXP(-0.0046*($D20-20))*($D20+273.15))^0.5)))</f>
        <v>0.99482967614757611</v>
      </c>
      <c r="GK20" s="94">
        <f>10^(-1825000*(79.755*EXP(-0.0046*($D20-20))*($D20+273.15))^-1.5*$EK20^0.5/(1+'Elements and ions'!$I$7*$EK20^0.5/(2*(79.755*EXP(-0.0046*($D20-20))*($D20+273.15))^0.5)))</f>
        <v>0.99482967614757611</v>
      </c>
      <c r="GL20" s="94">
        <f>10^(-1825000*(79.755*EXP(-0.0046*($D20-20))*($D20+273.15))^-1.5*$EK20^0.5/(1+'Elements and ions'!$D$10*$EK20^0.5/(2*(79.755*EXP(-0.0046*($D20-20))*($D20+273.15))^0.5)))</f>
        <v>0.99483347184201343</v>
      </c>
      <c r="GM20" s="95">
        <f>10^(-1825000*(79.755*EXP(-0.0046*($D20-20))*($D20+273.15))^-1.5*4*$EK20^0.5/(1+'Elements and ions'!$I$5*$EK20^0.5/(2*(79.755*EXP(-0.0046*($D20-20))*($D20+273.15))^0.5)))</f>
        <v>0.9795084213366273</v>
      </c>
      <c r="GN20" s="96"/>
      <c r="GO20" s="101" t="str">
        <f t="shared" si="287"/>
        <v/>
      </c>
      <c r="GP20" s="94">
        <f t="shared" si="288"/>
        <v>1.8319910758939765E-6</v>
      </c>
      <c r="GQ20" s="94">
        <f t="shared" si="289"/>
        <v>3.6906720570594616E-6</v>
      </c>
      <c r="GR20" s="94">
        <f t="shared" si="290"/>
        <v>1.1285561665365034E-6</v>
      </c>
      <c r="GS20" s="95" t="str">
        <f t="shared" si="291"/>
        <v/>
      </c>
      <c r="GT20" s="101" t="str">
        <f t="shared" si="292"/>
        <v/>
      </c>
      <c r="GU20" s="94" t="str">
        <f t="shared" si="293"/>
        <v/>
      </c>
      <c r="GV20" s="94">
        <f t="shared" si="294"/>
        <v>4.6664647601991902E-5</v>
      </c>
      <c r="GW20" s="94" t="str">
        <f t="shared" si="295"/>
        <v/>
      </c>
      <c r="GX20" s="94">
        <f t="shared" si="296"/>
        <v>6.336050920999699E-7</v>
      </c>
      <c r="GY20" s="102" t="str">
        <f t="shared" si="297"/>
        <v/>
      </c>
      <c r="GZ20" s="199"/>
      <c r="HA20" s="92" t="str">
        <f>IF(AND(GQ20&lt;&gt;"",GU20&lt;&gt;""),LOG(GQ20*GU20/Minerals!$C$6),"")</f>
        <v/>
      </c>
      <c r="HB20" s="94" t="str">
        <f>IF(AND(GQ20&lt;&gt;"",GU20&lt;&gt;""),LOG(GQ20*GU20/Minerals!$C$5),"")</f>
        <v/>
      </c>
      <c r="HC20" s="94">
        <f>IF(AND(GQ20&lt;&gt;"",GX20&lt;&gt;""),LOG(GQ20*GX20^2/Minerals!$C$2),"")</f>
        <v>-7.259332281063827</v>
      </c>
      <c r="HD20" s="94" t="str">
        <f>IF(AND(GQ20&lt;&gt;"",GY20&lt;&gt;""),LOG($GQ20*$GY20/Minerals!$C$3),"")</f>
        <v/>
      </c>
      <c r="HE20" s="102" t="str">
        <f>IF(AND(GQ20&lt;&gt;"",GY20&lt;&gt;""),LOG($GQ20*$GY20/Minerals!$C$3),"")</f>
        <v/>
      </c>
      <c r="HF20" s="199"/>
      <c r="HG20" s="92" t="str">
        <f>IF(HA20&lt;&gt;"",LOG(GQ20*GU20/(EXP(-1*Minerals!$E$6/'Other Constants'!$B$2*(1/(273.15+'ppm-mgL-1'!$D20)-1/298.15)+LN(Minerals!$C$6)))),"")</f>
        <v/>
      </c>
      <c r="HH20" s="94" t="str">
        <f>IF(HA20&lt;&gt;"",LOG(GQ20*GU20/(EXP(-1*Minerals!$E$5/'Other Constants'!$B$2*(1/(273.15+'ppm-mgL-1'!$D20)-1/298.15)+LN(Minerals!$C$5)))),"")</f>
        <v/>
      </c>
      <c r="HI20" s="94">
        <f>IF(HC20&lt;&gt;"",LOG(GQ20*GX20^2/(EXP(-1*Minerals!$E$2/'Other Constants'!$B$2*(1/(273.15+'ppm-mgL-1'!$D20)-1/298.15)+LN(Minerals!$C$2)))),"")</f>
        <v>-6.809380528263274</v>
      </c>
      <c r="HJ20" s="94" t="str">
        <f>IF(HD20&lt;&gt;"",LOG($FF20*$FN20/(EXP(-1*Minerals!$E$3/'Other Constants'!$B$2*(1/(273.15+'ppm-mgL-1'!$D20)-1/298.15)+LN(Minerals!$C$3)))),"")</f>
        <v/>
      </c>
      <c r="HK20" s="95" t="str">
        <f>IF(HE20&lt;&gt;"",LOG($FF20*$FN20/(EXP(-1*Minerals!$E$4/'Other Constants'!$B$2*(1/(273.15+'ppm-mgL-1'!$D20)-1/298.15)+LN(Minerals!$C$4)))),"")</f>
        <v/>
      </c>
      <c r="HL20" s="199"/>
      <c r="HM20" s="199"/>
    </row>
    <row r="21" spans="1:221" x14ac:dyDescent="0.25">
      <c r="A21" s="3" t="s">
        <v>294</v>
      </c>
      <c r="B21" s="4">
        <v>10</v>
      </c>
      <c r="C21" s="216">
        <v>32651</v>
      </c>
      <c r="D21" s="3">
        <v>17</v>
      </c>
      <c r="E21" s="6">
        <v>6.91</v>
      </c>
      <c r="F21" s="6">
        <v>7.3</v>
      </c>
      <c r="G21" s="6">
        <v>646</v>
      </c>
      <c r="H21" s="5">
        <v>330</v>
      </c>
      <c r="I21" s="3">
        <f t="shared" si="54"/>
        <v>14.085830715030115</v>
      </c>
      <c r="J21" s="4">
        <f t="shared" si="55"/>
        <v>0.81054136035798852</v>
      </c>
      <c r="K21" s="3">
        <f t="shared" si="56"/>
        <v>8.4216614300602277</v>
      </c>
      <c r="L21" s="4">
        <f t="shared" si="1"/>
        <v>0.48460790492900835</v>
      </c>
      <c r="M21" s="3">
        <f t="shared" si="0"/>
        <v>10.071375795151736</v>
      </c>
      <c r="N21" s="4">
        <f t="shared" ref="N21" si="306">IF(M21&lt;&gt;"", IF($D21&lt;&gt;"",M21*2.303*0.0019858*($D21+273.15)/23.06, 0.059*M21),"")</f>
        <v>0.57953746589956467</v>
      </c>
      <c r="O21" s="3">
        <f t="shared" si="2"/>
        <v>3.3149243039461096</v>
      </c>
      <c r="P21" s="4">
        <f t="shared" ref="P21" si="307">IF(O21&lt;&gt;"", IF($D21&lt;&gt;"",O21*2.303*0.0019858*($D21+273.15)/23.06, 0.059*O21),"")</f>
        <v>0.19075078418607089</v>
      </c>
      <c r="Q21" s="3">
        <f t="shared" si="3"/>
        <v>-2.8150756960538894</v>
      </c>
      <c r="R21" s="4">
        <f t="shared" ref="R21" si="308">IF(Q21&lt;&gt;"", IF($D21&lt;&gt;"",Q21*2.303*0.0019858*($D21+273.15)/23.06, 0.059*Q21),"")</f>
        <v>-0.16198798142274515</v>
      </c>
      <c r="S21" s="3">
        <f t="shared" si="4"/>
        <v>1.914924303946111</v>
      </c>
      <c r="T21" s="4">
        <f t="shared" ref="T21" si="309">IF(S21&lt;&gt;"", IF($D21&lt;&gt;"",S21*2.303*0.0019858*($D21+273.15)/23.06, 0.059*S21),"")</f>
        <v>0.11019054407965294</v>
      </c>
      <c r="U21" s="3">
        <f>IF(AND($E21&lt;&gt;"",$CX21&lt;&gt;"",$DG21&lt;&gt;""),IF($E21&lt;7,5.12-5/4*$E21+1/8*LOG($CX21/$DG21),4.25-9/8*$E21+1/8*(LOG($CX21)-$E21-LOG($DG21)+pKa!$B$3)),"")</f>
        <v>-3.5173048362886568</v>
      </c>
      <c r="V21" s="4">
        <f t="shared" ref="V21" si="310">IF(U21&lt;&gt;"", IF($D21&lt;&gt;"",U21*2.303*0.0019858*($D21+273.15)/23.06, 0.059*U21),"")</f>
        <v>-0.20239637295634252</v>
      </c>
      <c r="W21" s="3" t="str">
        <f t="shared" si="5"/>
        <v/>
      </c>
      <c r="X21" s="4" t="str">
        <f t="shared" ref="X21" si="311">IF(W21&lt;&gt;"", IF($D21&lt;&gt;"",W21*2.303*0.0019858*($D21+273.15)/23.06, 0.059*W21),"")</f>
        <v/>
      </c>
      <c r="Y21" s="3" t="str">
        <f t="shared" si="6"/>
        <v/>
      </c>
      <c r="Z21" s="4" t="str">
        <f t="shared" ref="Z21" si="312">IF(Y21&lt;&gt;"", IF($D21&lt;&gt;"",Y21*2.303*0.0019858*($D21+273.15)/23.06, 0.059*Y21),"")</f>
        <v/>
      </c>
      <c r="AA21" s="3" t="str">
        <f t="shared" si="7"/>
        <v/>
      </c>
      <c r="AB21" s="4" t="str">
        <f t="shared" ref="AB21" si="313">IF(AA21&lt;&gt;"", IF($D21&lt;&gt;"",AA21*2.303*0.0019858*($D21+273.15)/23.06, 0.059*AA21),"")</f>
        <v/>
      </c>
      <c r="AD21" s="83">
        <f>IF(E21&lt;&gt;"",10^(-2*$E21)/(10^(-2*$E21)+10^(-$E21-pKa!$B$2)+(10^(-pKa!$B$2-pKa!$C$2))),"")</f>
        <v>0.19702638461198324</v>
      </c>
      <c r="AE21" s="84">
        <f>IF(E21&lt;&gt;"",10^(-$E21-pKa!$B$2)/(10^(-2*$E21)+10^(-$E21-pKa!$B$2)+10^(-pKa!$B$2-pKa!$C$2)),"")</f>
        <v>0.80264663297969496</v>
      </c>
      <c r="AF21" s="212">
        <f>IF(E21&lt;&gt;"",10^(-pKa!$B$2-pKa!$C$2)/(10^(-2*$E21)+10^(-$E21-pKa!$B$2)+10^(-pKa!$B$2-pKa!$C$2)),"")</f>
        <v>3.2698240832180396E-4</v>
      </c>
      <c r="AG21" s="152"/>
      <c r="AH21" s="222">
        <f>IF($AK21&lt;&gt;"",$AK21/'Elements and ions'!$G$3,IF($E21="","",""))</f>
        <v>4.0644517152969577</v>
      </c>
      <c r="AI21" s="85">
        <f t="shared" ref="AI21:AI26" si="314">IF($AH21&lt;&gt;"",($AH21-10^(-14+$E21)+10^(-$E21))/1000/(AE21+2*AF21),IF($E21="","",""))</f>
        <v>5.0596896954771672E-3</v>
      </c>
      <c r="AJ21" s="84">
        <f>IF(AI21&lt;&gt;"",AI21*1000*'Elements and ions'!$B$7,"")</f>
        <v>60.770415025467614</v>
      </c>
      <c r="AK21" s="99">
        <v>248</v>
      </c>
      <c r="AL21" s="88">
        <f>IF($AK21&lt;&gt;"",$AK21/'Elements and ions'!$G$3*Minerals!$B$6/2,IF($E21="","","Enter Alk(HCO3-)"))</f>
        <v>203.39918619187753</v>
      </c>
      <c r="AM21" s="199"/>
      <c r="AN21" s="101">
        <f t="shared" si="8"/>
        <v>9.9689236795837263E-4</v>
      </c>
      <c r="AO21" s="94">
        <f t="shared" si="9"/>
        <v>4.0611428979968065E-3</v>
      </c>
      <c r="AP21" s="95">
        <f t="shared" si="10"/>
        <v>1.6544295219881389E-6</v>
      </c>
      <c r="AQ21" s="199"/>
      <c r="AR21" s="199"/>
      <c r="AS21" s="83">
        <f t="shared" si="66"/>
        <v>2.9320363763481545</v>
      </c>
      <c r="AT21" s="83">
        <f>IF(AN21&lt;&gt;"",AN21/'Henrys law constants'!$B$7*1000000,"")</f>
        <v>29320.363763481546</v>
      </c>
      <c r="AU21" s="3">
        <v>27</v>
      </c>
      <c r="AV21" s="6"/>
      <c r="AW21" s="6">
        <v>55</v>
      </c>
      <c r="AX21" s="6">
        <v>21</v>
      </c>
      <c r="AY21" s="226">
        <f>AO21*'Elements and ions'!$G$3*1000</f>
        <v>247.79810642420745</v>
      </c>
      <c r="AZ21" s="6">
        <v>18</v>
      </c>
      <c r="BA21" s="6"/>
      <c r="BB21" s="5">
        <v>68</v>
      </c>
      <c r="BC21" s="226"/>
      <c r="BD21" s="4">
        <v>0.5</v>
      </c>
      <c r="BE21" s="6">
        <v>0.04</v>
      </c>
      <c r="BF21" s="6">
        <v>0.03</v>
      </c>
      <c r="BG21" s="5"/>
      <c r="BH21" s="3"/>
      <c r="BJ21" s="92">
        <f>IF($AN21&lt;&gt;"",$AN21*'Elements and ions'!$G$2*1000,"")</f>
        <v>61.832029806297101</v>
      </c>
      <c r="BK21" s="229">
        <f>27*44.08/60.08</f>
        <v>19.809587217043941</v>
      </c>
      <c r="BL21" s="230"/>
      <c r="BM21" s="101"/>
      <c r="BO21" s="102"/>
      <c r="BP21" s="6">
        <v>0.33</v>
      </c>
      <c r="BQ21" s="5"/>
      <c r="BR21" s="195"/>
      <c r="BS21" s="238">
        <f>IF($AU21&lt;&gt;"",$AU21/'Elements and ions'!$B$12,"")</f>
        <v>1.1744354487058166</v>
      </c>
      <c r="BT21" s="239" t="str">
        <f>IF($AV21&lt;&gt;"",$AV21/'Elements and ions'!$B$20,"")</f>
        <v/>
      </c>
      <c r="BU21" s="239">
        <f>IF($AW21&lt;&gt;"",$AW21/'Elements and ions'!$B$21, "")</f>
        <v>1.3723239682618893</v>
      </c>
      <c r="BV21" s="240">
        <f>IF($AX21&lt;&gt;"",$AX21/'Elements and ions'!$B$13, "")</f>
        <v>0.86401974902283485</v>
      </c>
      <c r="BW21" s="238">
        <f>IF($AY21&lt;&gt;"",$AY21/'Elements and ions'!$G$3,"")</f>
        <v>4.0611428979968069</v>
      </c>
      <c r="BX21" s="239">
        <f>IF($AZ21&lt;&gt;"",$AZ21/'Elements and ions'!$B$18,"")</f>
        <v>0.50771443883451328</v>
      </c>
      <c r="BY21" s="239" t="str">
        <f>IF($BA21&lt;&gt;"",$BA21/'Elements and ions'!$G$7,"")</f>
        <v/>
      </c>
      <c r="BZ21" s="241">
        <f>IF($BB21&lt;&gt;"",$BB21/'Elements and ions'!$G$5,"")</f>
        <v>0.70787174196825819</v>
      </c>
      <c r="CA21" s="91">
        <f t="shared" si="67"/>
        <v>1.2302687708123797E-4</v>
      </c>
      <c r="CB21" s="163">
        <f>IF($BD21&lt;&gt;"",$BD21/'Elements and ions'!$B$14,"")</f>
        <v>1.8531189322168604E-2</v>
      </c>
      <c r="CC21" s="89">
        <f>IF($BE21&lt;&gt;"",$BE21/'Elements and ions'!$B$27, "")</f>
        <v>7.1626824245680013E-4</v>
      </c>
      <c r="CD21" s="249">
        <f>IF($BF21&lt;&gt;"",$BF21/'Elements and ions'!$B$26,"")</f>
        <v>5.4607011540281768E-4</v>
      </c>
      <c r="CE21" s="250" t="str">
        <f>IF($BG21&lt;&gt;"",$BG21/'Elements and ions'!$G$6,"")</f>
        <v/>
      </c>
      <c r="CF21" s="91" t="str">
        <f>IF($BH21&lt;&gt;"",$BH21/'Elements and ions'!$G$15,"")</f>
        <v/>
      </c>
      <c r="CG21" s="89" t="str">
        <f>IF($BI21&lt;&gt;"",$BI21/'Elements and ions'!$G$16,"")</f>
        <v/>
      </c>
      <c r="CH21" s="90">
        <f>IF($BJ21&lt;&gt;"",$BJ21/'Elements and ions'!$G$2,"")</f>
        <v>0.99689236795837255</v>
      </c>
      <c r="CI21" s="91">
        <f>IF($BK21&lt;&gt;"",$BK21/'Elements and ions'!$B$15, "")</f>
        <v>0.70533147770358162</v>
      </c>
      <c r="CJ21" s="88" t="str">
        <f>IF($BL21&lt;&gt;"", $BL21/'Elements and ions'!$G$17,"")</f>
        <v/>
      </c>
      <c r="CK21" s="89">
        <f t="shared" si="68"/>
        <v>8.1283051616409945E-5</v>
      </c>
      <c r="CL21" s="163" t="str">
        <f>IF($BN21&lt;&gt;"", $BN21/'Elements and ions'!$G$19,"")</f>
        <v/>
      </c>
      <c r="CM21" s="89" t="str">
        <f>IF($BO21&lt;&gt;"",$BO21/'Elements and ions'!$G$4,"")</f>
        <v/>
      </c>
      <c r="CN21" s="89">
        <f>IF($BP21&lt;&gt;"",$BP21/'Elements and ions'!$B$10,"")</f>
        <v>1.7369880853986719E-2</v>
      </c>
      <c r="CO21" s="104" t="str">
        <f>IF($BQ21&lt;&gt;"",$BQ21/'Elements and ions'!$G$18,"")</f>
        <v/>
      </c>
      <c r="CP21" s="242"/>
      <c r="CQ21" s="238">
        <f t="shared" si="239"/>
        <v>1.1744354487058166E-3</v>
      </c>
      <c r="CR21" s="239" t="str">
        <f t="shared" si="240"/>
        <v/>
      </c>
      <c r="CS21" s="239">
        <f t="shared" si="241"/>
        <v>1.3723239682618892E-3</v>
      </c>
      <c r="CT21" s="241">
        <f t="shared" si="242"/>
        <v>8.640197490228348E-4</v>
      </c>
      <c r="CU21" s="238">
        <f t="shared" si="243"/>
        <v>4.0611428979968073E-3</v>
      </c>
      <c r="CV21" s="239">
        <f t="shared" si="244"/>
        <v>5.0771443883451325E-4</v>
      </c>
      <c r="CW21" s="239" t="str">
        <f t="shared" si="245"/>
        <v/>
      </c>
      <c r="CX21" s="241">
        <f t="shared" si="246"/>
        <v>7.0787174196825821E-4</v>
      </c>
      <c r="CY21" s="258">
        <f t="shared" si="98"/>
        <v>1.2302687708123796E-7</v>
      </c>
      <c r="CZ21" s="259">
        <f t="shared" si="247"/>
        <v>1.8531189322168605E-5</v>
      </c>
      <c r="DA21" s="260">
        <f t="shared" si="248"/>
        <v>7.1626824245680013E-7</v>
      </c>
      <c r="DB21" s="261">
        <f t="shared" si="249"/>
        <v>5.460701154028177E-7</v>
      </c>
      <c r="DC21" s="262" t="str">
        <f t="shared" si="250"/>
        <v/>
      </c>
      <c r="DD21" s="263" t="str">
        <f t="shared" si="251"/>
        <v/>
      </c>
      <c r="DE21" s="259" t="str">
        <f t="shared" si="252"/>
        <v/>
      </c>
      <c r="DF21" s="260">
        <f t="shared" si="253"/>
        <v>9.9689236795837263E-4</v>
      </c>
      <c r="DG21" s="260">
        <f t="shared" si="254"/>
        <v>7.0533147770358167E-4</v>
      </c>
      <c r="DH21" s="264" t="str">
        <f t="shared" si="255"/>
        <v/>
      </c>
      <c r="DI21" s="258">
        <f t="shared" si="108"/>
        <v>8.128305161640995E-8</v>
      </c>
      <c r="DJ21" s="260" t="str">
        <f t="shared" si="256"/>
        <v/>
      </c>
      <c r="DK21" s="260" t="str">
        <f t="shared" si="257"/>
        <v/>
      </c>
      <c r="DL21" s="260">
        <f t="shared" si="258"/>
        <v>1.7369880853986718E-5</v>
      </c>
      <c r="DM21" s="265" t="str">
        <f t="shared" si="259"/>
        <v/>
      </c>
      <c r="DN21" s="242"/>
      <c r="DO21" s="238">
        <f t="shared" si="260"/>
        <v>1.1744354487058166</v>
      </c>
      <c r="DP21" s="239">
        <f t="shared" si="261"/>
        <v>0</v>
      </c>
      <c r="DQ21" s="239">
        <f t="shared" si="262"/>
        <v>2.7446479365237786</v>
      </c>
      <c r="DR21" s="241">
        <f t="shared" si="263"/>
        <v>1.7280394980456697</v>
      </c>
      <c r="DS21" s="238">
        <f t="shared" si="264"/>
        <v>-4.0611428979968069</v>
      </c>
      <c r="DT21" s="239"/>
      <c r="DU21" s="239"/>
      <c r="DV21" s="241"/>
      <c r="DW21" s="91">
        <f t="shared" si="113"/>
        <v>1.2302687708123797E-4</v>
      </c>
      <c r="DX21" s="89">
        <f t="shared" si="265"/>
        <v>5.5593567966505816E-2</v>
      </c>
      <c r="DY21" s="89">
        <f t="shared" si="266"/>
        <v>1.4325364849136003E-3</v>
      </c>
      <c r="DZ21" s="89">
        <f t="shared" si="267"/>
        <v>1.0921402308056354E-3</v>
      </c>
      <c r="EA21" s="90">
        <f t="shared" si="268"/>
        <v>0</v>
      </c>
      <c r="EB21" s="91">
        <f t="shared" si="118"/>
        <v>-8.1283051616409945E-5</v>
      </c>
      <c r="EC21" s="89">
        <f t="shared" si="269"/>
        <v>0</v>
      </c>
      <c r="ED21" s="89">
        <f t="shared" si="270"/>
        <v>0</v>
      </c>
      <c r="EE21" s="89">
        <f t="shared" si="271"/>
        <v>-1.7369880853986719E-2</v>
      </c>
      <c r="EF21" s="90">
        <f t="shared" si="272"/>
        <v>0</v>
      </c>
      <c r="EG21" s="242"/>
      <c r="EH21" s="245">
        <f t="shared" si="273"/>
        <v>5.7053641548345713</v>
      </c>
      <c r="EI21" s="246">
        <f t="shared" si="274"/>
        <v>-4.0785940619024101</v>
      </c>
      <c r="EJ21" s="198">
        <f t="shared" si="275"/>
        <v>16.62691169458715</v>
      </c>
      <c r="EK21" s="198">
        <f t="shared" si="27"/>
        <v>1.1574714055887029E-2</v>
      </c>
      <c r="EL21" s="101"/>
      <c r="EM21" s="94" t="str">
        <f>IF(AND(CS21&lt;&gt;"",DK21&lt;&gt;""),LOG(CS21*DK21/Minerals!$C$5),"")</f>
        <v/>
      </c>
      <c r="EN21" s="94">
        <f>IF(AND(CS21&lt;&gt;"",DL21&lt;&gt;""),LOG(CS21*DL21^2/Minerals!$C$2),"")</f>
        <v>-1.8130247280319609</v>
      </c>
      <c r="EO21" s="94">
        <f>IF(AND(CS21&lt;&gt;"",CX21&lt;&gt;""),LOG($CS21*$CX21/Minerals!$C$3),"")</f>
        <v>-1.4126084107411512</v>
      </c>
      <c r="EP21" s="95">
        <f>IF(AND(CS21&lt;&gt;"",CX21&lt;&gt;""),LOG($CS21*$CX21/Minerals!$C$4),"")</f>
        <v>-1.6525929222070537</v>
      </c>
      <c r="EQ21" s="199"/>
      <c r="ER21" s="101">
        <f t="shared" ref="ER21:ES36" si="315">10^(-0.5*SQRT($EK21)/(1+SQRT($EK21)))</f>
        <v>0.89419508208375298</v>
      </c>
      <c r="ES21" s="94">
        <f t="shared" si="315"/>
        <v>0.89419508208375298</v>
      </c>
      <c r="ET21" s="94">
        <f t="shared" ref="ET21:EV36" si="316">10^(-0.5*4*SQRT($EK21)/(1+SQRT($EK21)))</f>
        <v>0.63933592407025241</v>
      </c>
      <c r="EU21" s="94">
        <f t="shared" si="316"/>
        <v>0.63933592407025241</v>
      </c>
      <c r="EV21" s="95">
        <f t="shared" si="316"/>
        <v>0.63933592407025241</v>
      </c>
      <c r="EW21" s="101">
        <f t="shared" ref="EW21:EZ36" si="317">10^(-0.5*SQRT($EK21)/(1+SQRT($EK21)))</f>
        <v>0.89419508208375298</v>
      </c>
      <c r="EX21" s="94">
        <f t="shared" si="31"/>
        <v>0.63933592407025241</v>
      </c>
      <c r="EY21" s="94">
        <f t="shared" si="317"/>
        <v>0.89419508208375298</v>
      </c>
      <c r="EZ21" s="94">
        <f t="shared" si="317"/>
        <v>0.89419508208375298</v>
      </c>
      <c r="FA21" s="94">
        <f t="shared" si="165"/>
        <v>0.89419508208375298</v>
      </c>
      <c r="FB21" s="95">
        <f t="shared" si="32"/>
        <v>0.63933592407025241</v>
      </c>
      <c r="FC21" s="199"/>
      <c r="FD21" s="101">
        <f t="shared" si="276"/>
        <v>1.0501744024575669E-3</v>
      </c>
      <c r="FE21" s="94" t="str">
        <f t="shared" si="277"/>
        <v/>
      </c>
      <c r="FF21" s="94">
        <f t="shared" si="278"/>
        <v>8.7737601237247069E-4</v>
      </c>
      <c r="FG21" s="94">
        <f t="shared" si="279"/>
        <v>5.5239886465646162E-4</v>
      </c>
      <c r="FH21" s="95">
        <f t="shared" si="280"/>
        <v>4.5793601867329393E-7</v>
      </c>
      <c r="FI21" s="101">
        <f t="shared" si="281"/>
        <v>3.6314540070281056E-3</v>
      </c>
      <c r="FJ21" s="94" t="str">
        <f t="shared" si="282"/>
        <v/>
      </c>
      <c r="FK21" s="94">
        <f t="shared" si="283"/>
        <v>4.5399575430873419E-4</v>
      </c>
      <c r="FL21" s="94" t="str">
        <f t="shared" si="284"/>
        <v/>
      </c>
      <c r="FM21" s="94">
        <f t="shared" si="285"/>
        <v>1.5532062036015664E-5</v>
      </c>
      <c r="FN21" s="95">
        <f t="shared" si="286"/>
        <v>4.5256783427449564E-4</v>
      </c>
      <c r="FO21" s="199"/>
      <c r="FP21" s="101" t="str">
        <f>IF(EL21&lt;&gt;"",LOG(FF21*FJ21/Minerals!$C$6),"")</f>
        <v/>
      </c>
      <c r="FQ21" s="94" t="str">
        <f>IF(EL21&lt;&gt;"",LOG(FF21*FJ21/Minerals!$C$5),"")</f>
        <v/>
      </c>
      <c r="FR21" s="94">
        <f>IF(EN21&lt;&gt;"",LOG(FF21*FM21^2/Minerals!$C$2),"")</f>
        <v>-2.1044310660617249</v>
      </c>
      <c r="FS21" s="94">
        <f>IF(EO21&lt;&gt;"",LOG($FF21*$FN21/Minerals!$C$3),"")</f>
        <v>-1.8011501947808373</v>
      </c>
      <c r="FT21" s="95">
        <f>IF(EP21&lt;&gt;"",LOG($FF21*$FN21/Minerals!$C$4),"")</f>
        <v>-2.0411347062467398</v>
      </c>
      <c r="FU21" s="96"/>
      <c r="FV21" s="101" t="str">
        <f>IF(FP21&lt;&gt;"",LOG(FF21*FJ21/(EXP(-1*Minerals!$E$6/'Other Constants'!$B$2*(1/(273.15+'ppm-mgL-1'!$D21)-1/298.15)+LN(Minerals!$C$6)))),"")</f>
        <v/>
      </c>
      <c r="FW21" s="94" t="str">
        <f>IF(FP21&lt;&gt;"",LOG(FF21*FJ21/(EXP(-1*Minerals!$E$5/'Other Constants'!$B$2*(1/(273.15+'ppm-mgL-1'!$D21)-1/298.15)+LN(Minerals!$C$5)))),"")</f>
        <v/>
      </c>
      <c r="FX21" s="94">
        <f>IF(FR21&lt;&gt;"",LOG(FF21*FM21^2/(EXP(-1*Minerals!$E$2/'Other Constants'!$B$2*(1/(273.15+'ppm-mgL-1'!$D21)-1/298.15)+LN(Minerals!$C$2)))),"")</f>
        <v>-1.9688826159194175</v>
      </c>
      <c r="FY21" s="94">
        <f>IF(FS21&lt;&gt;"",LOG($FF21*$FN21/(EXP(-1*Minerals!$E$3/'Other Constants'!$B$2*(1/(273.15+'ppm-mgL-1'!$D21)-1/298.15)+LN(Minerals!$C$3)))),"")</f>
        <v>0.96260831138517289</v>
      </c>
      <c r="FZ21" s="95">
        <f>IF(FT21&lt;&gt;"",LOG($FF21*$FN21/(EXP(-1*Minerals!$E$4/'Other Constants'!$B$2*(1/(273.15+'ppm-mgL-1'!$D21)-1/298.15)+LN(Minerals!$C$4)))),"")</f>
        <v>-2.1203092998972175</v>
      </c>
      <c r="GA21" s="96"/>
      <c r="GB21" s="96"/>
      <c r="GC21" s="101">
        <f>10^(-1825000*(79.755*EXP(-0.0046*($D21-20))*($D21+273.15))^-1.5*$EK21^0.5/(1+'Elements and ions'!$D$12*$EK21^0.5/(2*(79.755*EXP(-0.0046*($D21-20))*($D21+273.15))^0.5)))</f>
        <v>0.89556272530296277</v>
      </c>
      <c r="GD21" s="94">
        <f>10^(-1825000*(79.755*EXP(-0.0046*($D21-20))*($D21+273.15))^-1.5*$EK21^0.5/(1+'Elements and ions'!$D$20*$EK21^0.5/(2*(79.755*EXP(-0.0046*($D21-20))*($D21+273.15))^0.5)))</f>
        <v>0.89242973759088584</v>
      </c>
      <c r="GE21" s="94">
        <f>10^(-1825000*(79.755*EXP(-0.0046*($D21-20))*($D21+273.15))^-1.5*4*$EK21^0.5/(1+'Elements and ions'!$D$21*$EK21^0.5/(2*(79.755*EXP(-0.0046*($D21-20))*($D21+273.15))^0.5)))</f>
        <v>0.65993369964294768</v>
      </c>
      <c r="GF21" s="94">
        <f>10^(-1825000*(79.755*EXP(-0.0046*($D21-20))*($D21+273.15))^-1.5*4*$EK21^0.5/(1+'Elements and ions'!$D$13*$EK21^0.5/(2*(79.755*EXP(-0.0046*($D21-20))*($D21+273.15))^0.5)))</f>
        <v>0.67514571369015031</v>
      </c>
      <c r="GG21" s="95">
        <f>10^(-1825000*(79.755*EXP(-0.0046*($D21-20))*($D21+273.15))^-1.5*4*$EK21^0.5/(1+'Elements and ions'!$D$27*$EK21^0.5/(2*(79.755*EXP(-0.0046*($D21-20))*($D21+273.15))^0.5)))</f>
        <v>0.65993369964294768</v>
      </c>
      <c r="GH21" s="101">
        <f>10^(-1825000*(79.755*EXP(-0.0046*($D21-20))*($D21+273.15))^-1.5*$EK21^0.5/(1+'Elements and ions'!$G$3*$EK21^0.5/(2*(79.755*EXP(-0.0046*($D21-20))*($D21+273.15))^0.5)))</f>
        <v>0.88412332400909688</v>
      </c>
      <c r="GI21" s="94">
        <f>10^(-1825000*(79.755*EXP(-0.0046*($D21-20))*($D21+273.15))^-1.5*4*$EK21^0.5/(1+'Elements and ions'!$G$4*$EK21^0.5/(2*(79.755*EXP(-0.0046*($D21-20))*($D21+273.15))^0.5)))</f>
        <v>0.61090998264755736</v>
      </c>
      <c r="GJ21" s="94">
        <f>10^(-1825000*(79.755*EXP(-0.0046*($D21-20))*($D21+273.15))^-1.5*$EK21^0.5/(1+'Elements and ions'!$D$18*$EK21^0.5/(2*(79.755*EXP(-0.0046*($D21-20))*($D21+273.15))^0.5)))</f>
        <v>0.89242973759088584</v>
      </c>
      <c r="GK21" s="94">
        <f>10^(-1825000*(79.755*EXP(-0.0046*($D21-20))*($D21+273.15))^-1.5*$EK21^0.5/(1+'Elements and ions'!$I$7*$EK21^0.5/(2*(79.755*EXP(-0.0046*($D21-20))*($D21+273.15))^0.5)))</f>
        <v>0.89242973759088584</v>
      </c>
      <c r="GL21" s="94">
        <f>10^(-1825000*(79.755*EXP(-0.0046*($D21-20))*($D21+273.15))^-1.5*$EK21^0.5/(1+'Elements and ions'!$D$10*$EK21^0.5/(2*(79.755*EXP(-0.0046*($D21-20))*($D21+273.15))^0.5)))</f>
        <v>0.89401935503799868</v>
      </c>
      <c r="GM21" s="95">
        <f>10^(-1825000*(79.755*EXP(-0.0046*($D21-20))*($D21+273.15))^-1.5*4*$EK21^0.5/(1+'Elements and ions'!$I$5*$EK21^0.5/(2*(79.755*EXP(-0.0046*($D21-20))*($D21+273.15))^0.5)))</f>
        <v>0.64325628336555107</v>
      </c>
      <c r="GN21" s="96"/>
      <c r="GO21" s="101">
        <f t="shared" si="287"/>
        <v>1.051780611135389E-3</v>
      </c>
      <c r="GP21" s="94" t="str">
        <f t="shared" si="288"/>
        <v/>
      </c>
      <c r="GQ21" s="94">
        <f t="shared" si="289"/>
        <v>9.0564283348375967E-4</v>
      </c>
      <c r="GR21" s="94">
        <f t="shared" si="290"/>
        <v>5.8333923009640633E-4</v>
      </c>
      <c r="GS21" s="95">
        <f t="shared" si="291"/>
        <v>4.7268955118126795E-7</v>
      </c>
      <c r="GT21" s="101">
        <f t="shared" si="292"/>
        <v>3.5905511582528739E-3</v>
      </c>
      <c r="GU21" s="94" t="str">
        <f t="shared" si="293"/>
        <v/>
      </c>
      <c r="GV21" s="94">
        <f t="shared" si="294"/>
        <v>4.530994634201885E-4</v>
      </c>
      <c r="GW21" s="94" t="str">
        <f t="shared" si="295"/>
        <v/>
      </c>
      <c r="GX21" s="94">
        <f t="shared" si="296"/>
        <v>1.5529009678168087E-5</v>
      </c>
      <c r="GY21" s="102">
        <f t="shared" si="297"/>
        <v>4.5534294583800017E-4</v>
      </c>
      <c r="GZ21" s="199"/>
      <c r="HA21" s="92" t="str">
        <f>IF(AND(GQ21&lt;&gt;"",GU21&lt;&gt;""),LOG(GQ21*GU21/Minerals!$C$6),"")</f>
        <v/>
      </c>
      <c r="HB21" s="94" t="str">
        <f>IF(AND(GQ21&lt;&gt;"",GU21&lt;&gt;""),LOG(GQ21*GU21/Minerals!$C$5),"")</f>
        <v/>
      </c>
      <c r="HC21" s="94">
        <f>IF(AND(GQ21&lt;&gt;"",GX21&lt;&gt;""),LOG(GQ21*GX21^2/Minerals!$C$2),"")</f>
        <v>-2.0908305794921382</v>
      </c>
      <c r="HD21" s="94">
        <f>IF(AND(GQ21&lt;&gt;"",GY21&lt;&gt;""),LOG($GQ21*$GY21/Minerals!$C$3),"")</f>
        <v>-1.7847240673630556</v>
      </c>
      <c r="HE21" s="102">
        <f>IF(AND(GQ21&lt;&gt;"",GY21&lt;&gt;""),LOG($GQ21*$GY21/Minerals!$C$3),"")</f>
        <v>-1.7847240673630556</v>
      </c>
      <c r="HF21" s="199"/>
      <c r="HG21" s="92" t="str">
        <f>IF(HA21&lt;&gt;"",LOG(GQ21*GU21/(EXP(-1*Minerals!$E$6/'Other Constants'!$B$2*(1/(273.15+'ppm-mgL-1'!$D21)-1/298.15)+LN(Minerals!$C$6)))),"")</f>
        <v/>
      </c>
      <c r="HH21" s="94" t="str">
        <f>IF(HA21&lt;&gt;"",LOG(GQ21*GU21/(EXP(-1*Minerals!$E$5/'Other Constants'!$B$2*(1/(273.15+'ppm-mgL-1'!$D21)-1/298.15)+LN(Minerals!$C$5)))),"")</f>
        <v/>
      </c>
      <c r="HI21" s="94">
        <f>IF(HC21&lt;&gt;"",LOG(GQ21*GX21^2/(EXP(-1*Minerals!$E$2/'Other Constants'!$B$2*(1/(273.15+'ppm-mgL-1'!$D21)-1/298.15)+LN(Minerals!$C$2)))),"")</f>
        <v>-1.9552821293498306</v>
      </c>
      <c r="HJ21" s="94">
        <f>IF(HD21&lt;&gt;"",LOG($FF21*$FN21/(EXP(-1*Minerals!$E$3/'Other Constants'!$B$2*(1/(273.15+'ppm-mgL-1'!$D21)-1/298.15)+LN(Minerals!$C$3)))),"")</f>
        <v>0.96260831138517289</v>
      </c>
      <c r="HK21" s="95">
        <f>IF(HE21&lt;&gt;"",LOG($FF21*$FN21/(EXP(-1*Minerals!$E$4/'Other Constants'!$B$2*(1/(273.15+'ppm-mgL-1'!$D21)-1/298.15)+LN(Minerals!$C$4)))),"")</f>
        <v>-2.1203092998972175</v>
      </c>
      <c r="HL21" s="199"/>
      <c r="HM21" s="199"/>
    </row>
    <row r="22" spans="1:221" x14ac:dyDescent="0.25">
      <c r="A22" s="217" t="s">
        <v>294</v>
      </c>
      <c r="B22" s="4">
        <v>51</v>
      </c>
      <c r="C22" s="216">
        <v>31127</v>
      </c>
      <c r="D22" s="3">
        <v>17.5</v>
      </c>
      <c r="E22" s="6">
        <v>3.5</v>
      </c>
      <c r="F22" s="6">
        <v>0.2</v>
      </c>
      <c r="G22" s="6">
        <v>10600</v>
      </c>
      <c r="H22" s="5">
        <v>430</v>
      </c>
      <c r="I22" s="3">
        <f t="shared" si="54"/>
        <v>17.105257498915996</v>
      </c>
      <c r="J22" s="4">
        <f t="shared" si="55"/>
        <v>0.98598449378341957</v>
      </c>
      <c r="K22" s="3">
        <f t="shared" si="56"/>
        <v>11.050514997831991</v>
      </c>
      <c r="L22" s="4">
        <f t="shared" si="1"/>
        <v>0.63697587930926769</v>
      </c>
      <c r="M22" s="3">
        <f t="shared" si="0"/>
        <v>15.207387402504439</v>
      </c>
      <c r="N22" s="4">
        <f t="shared" ref="N22" si="318">IF(M22&lt;&gt;"", IF($D22&lt;&gt;"",M22*2.303*0.0019858*($D22+273.15)/23.06, 0.059*M22),"")</f>
        <v>0.87658710608576995</v>
      </c>
      <c r="O22" s="3">
        <f t="shared" si="2"/>
        <v>8.669863040554409</v>
      </c>
      <c r="P22" s="4">
        <f t="shared" ref="P22" si="319">IF(O22&lt;&gt;"", IF($D22&lt;&gt;"",O22*2.303*0.0019858*($D22+273.15)/23.06, 0.059*O22),"")</f>
        <v>0.49974988811214033</v>
      </c>
      <c r="Q22" s="3">
        <f t="shared" si="3"/>
        <v>2.5398630405544109</v>
      </c>
      <c r="R22" s="4">
        <f t="shared" ref="R22" si="320">IF(Q22&lt;&gt;"", IF($D22&lt;&gt;"",Q22*2.303*0.0019858*($D22+273.15)/23.06, 0.059*Q22),"")</f>
        <v>0.14640326662600428</v>
      </c>
      <c r="S22" s="3">
        <f t="shared" si="4"/>
        <v>7.2698630405544113</v>
      </c>
      <c r="T22" s="4">
        <f t="shared" ref="T22" si="321">IF(S22&lt;&gt;"", IF($D22&lt;&gt;"",S22*2.303*0.0019858*($D22+273.15)/23.06, 0.059*S22),"")</f>
        <v>0.4190508228461387</v>
      </c>
      <c r="U22" s="3">
        <f>IF(AND($E22&lt;&gt;"",$CX22&lt;&gt;"",$DG22&lt;&gt;""),IF($E22&lt;7,5.12-5/4*$E22+1/8*LOG($CX22/$DG22),4.25-9/8*$E22+1/8*(LOG($CX22)-$E22-LOG($DG22)+pKa!$B$3)),"")</f>
        <v>0.93987793449815848</v>
      </c>
      <c r="V22" s="4">
        <f t="shared" ref="V22" si="322">IF(U22&lt;&gt;"", IF($D22&lt;&gt;"",U22*2.303*0.0019858*($D22+273.15)/23.06, 0.059*U22),"")</f>
        <v>5.417662198438699E-2</v>
      </c>
      <c r="W22" s="3" t="str">
        <f t="shared" si="5"/>
        <v/>
      </c>
      <c r="X22" s="4" t="str">
        <f t="shared" ref="X22" si="323">IF(W22&lt;&gt;"", IF($D22&lt;&gt;"",W22*2.303*0.0019858*($D22+273.15)/23.06, 0.059*W22),"")</f>
        <v/>
      </c>
      <c r="Y22" s="3" t="str">
        <f t="shared" si="6"/>
        <v/>
      </c>
      <c r="Z22" s="4" t="str">
        <f t="shared" ref="Z22" si="324">IF(Y22&lt;&gt;"", IF($D22&lt;&gt;"",Y22*2.303*0.0019858*($D22+273.15)/23.06, 0.059*Y22),"")</f>
        <v/>
      </c>
      <c r="AA22" s="3" t="str">
        <f t="shared" si="7"/>
        <v/>
      </c>
      <c r="AB22" s="4" t="str">
        <f t="shared" ref="AB22" si="325">IF(AA22&lt;&gt;"", IF($D22&lt;&gt;"",AA22*2.303*0.0019858*($D22+273.15)/23.06, 0.059*AA22),"")</f>
        <v/>
      </c>
      <c r="AD22" s="83">
        <f>IF(E22&lt;&gt;"",10^(-2*$E22)/(10^(-2*$E22)+10^(-$E22-pKa!$B$2)+(10^(-pKa!$B$2-pKa!$C$2))),"")</f>
        <v>0.99841761446880384</v>
      </c>
      <c r="AE22" s="84">
        <f>IF(E22&lt;&gt;"",10^(-$E22-pKa!$B$2)/(10^(-2*$E22)+10^(-$E22-pKa!$B$2)+10^(-pKa!$B$2-pKa!$C$2)),"")</f>
        <v>1.5823852804048681E-3</v>
      </c>
      <c r="AF22" s="212">
        <f>IF(E22&lt;&gt;"",10^(-pKa!$B$2-pKa!$C$2)/(10^(-2*$E22)+10^(-$E22-pKa!$B$2)+10^(-pKa!$B$2-pKa!$C$2)),"")</f>
        <v>2.5079116587643393E-10</v>
      </c>
      <c r="AG22" s="152"/>
      <c r="AH22" s="222">
        <f>IF($AK22&lt;&gt;"",$AK22/'Elements and ions'!$G$3,IF($E22="","",""))</f>
        <v>0</v>
      </c>
      <c r="AI22" s="85">
        <f t="shared" si="314"/>
        <v>1.9984237598301375E-4</v>
      </c>
      <c r="AJ22" s="84">
        <f>IF(AI22&lt;&gt;"",AI22*1000*'Elements and ions'!$B$7,"")</f>
        <v>2.4002468252191833</v>
      </c>
      <c r="AK22" s="99">
        <v>0</v>
      </c>
      <c r="AL22" s="88">
        <f>IF($AK22&lt;&gt;"",$AK22/'Elements and ions'!$G$3*Minerals!$B$6/2,IF($E22="","","Enter Alk(HCO3-)"))</f>
        <v>0</v>
      </c>
      <c r="AM22" s="199"/>
      <c r="AN22" s="101">
        <f t="shared" si="8"/>
        <v>1.9952614829873836E-4</v>
      </c>
      <c r="AO22" s="94">
        <f t="shared" si="9"/>
        <v>3.1622763415665632E-7</v>
      </c>
      <c r="AP22" s="95">
        <f t="shared" si="10"/>
        <v>5.0118702464296681E-14</v>
      </c>
      <c r="AQ22" s="199"/>
      <c r="AR22" s="199"/>
      <c r="AS22" s="83">
        <f t="shared" si="66"/>
        <v>0.58684161264334811</v>
      </c>
      <c r="AT22" s="83">
        <f>IF(AN22&lt;&gt;"",AN22/'Henrys law constants'!$B$7*1000000,"")</f>
        <v>5868.4161264334807</v>
      </c>
      <c r="AU22" s="3">
        <v>210</v>
      </c>
      <c r="AV22" s="6"/>
      <c r="AW22" s="6">
        <v>460</v>
      </c>
      <c r="AX22" s="6">
        <v>390</v>
      </c>
      <c r="AY22" s="226">
        <f>AO22*'Elements and ions'!$G$3*1000</f>
        <v>1.9295210956915235E-2</v>
      </c>
      <c r="AZ22" s="6">
        <v>340</v>
      </c>
      <c r="BA22" s="6"/>
      <c r="BB22" s="5">
        <v>10000</v>
      </c>
      <c r="BC22" s="226"/>
      <c r="BD22" s="4">
        <v>280</v>
      </c>
      <c r="BE22" s="6">
        <v>3000</v>
      </c>
      <c r="BF22" s="6">
        <v>70</v>
      </c>
      <c r="BG22" s="5"/>
      <c r="BH22" s="3"/>
      <c r="BJ22" s="92">
        <f>IF($AN22&lt;&gt;"",$AN22*'Elements and ions'!$G$2*1000,"")</f>
        <v>12.37556545247662</v>
      </c>
      <c r="BK22" s="229">
        <f>110*44.08/60.08</f>
        <v>80.705725699067912</v>
      </c>
      <c r="BL22" s="230"/>
      <c r="BM22" s="101"/>
      <c r="BO22" s="102"/>
      <c r="BP22" s="6"/>
      <c r="BQ22" s="5"/>
      <c r="BR22" s="195"/>
      <c r="BS22" s="238">
        <f>IF($AU22&lt;&gt;"",$AU22/'Elements and ions'!$B$12,"")</f>
        <v>9.1344979343785742</v>
      </c>
      <c r="BT22" s="239" t="str">
        <f>IF($AV22&lt;&gt;"",$AV22/'Elements and ions'!$B$20,"")</f>
        <v/>
      </c>
      <c r="BU22" s="239">
        <f>IF($AW22&lt;&gt;"",$AW22/'Elements and ions'!$B$21, "")</f>
        <v>11.477618643644892</v>
      </c>
      <c r="BV22" s="240">
        <f>IF($AX22&lt;&gt;"",$AX22/'Elements and ions'!$B$13, "")</f>
        <v>16.046081053281217</v>
      </c>
      <c r="BW22" s="238">
        <f>IF($AY22&lt;&gt;"",$AY22/'Elements and ions'!$G$3,"")</f>
        <v>3.1622763415665637E-4</v>
      </c>
      <c r="BX22" s="239">
        <f>IF($AZ22&lt;&gt;"",$AZ22/'Elements and ions'!$B$18,"")</f>
        <v>9.5901616224296955</v>
      </c>
      <c r="BY22" s="239" t="str">
        <f>IF($BA22&lt;&gt;"",$BA22/'Elements and ions'!$G$7,"")</f>
        <v/>
      </c>
      <c r="BZ22" s="241">
        <f>IF($BB22&lt;&gt;"",$BB22/'Elements and ions'!$G$5,"")</f>
        <v>104.09878558356738</v>
      </c>
      <c r="CA22" s="91">
        <f t="shared" si="67"/>
        <v>0.31622776601683783</v>
      </c>
      <c r="CB22" s="163">
        <f>IF($BD22&lt;&gt;"",$BD22/'Elements and ions'!$B$14,"")</f>
        <v>10.377466020414417</v>
      </c>
      <c r="CC22" s="89">
        <f>IF($BE22&lt;&gt;"",$BE22/'Elements and ions'!$B$27, "")</f>
        <v>53.720118184260009</v>
      </c>
      <c r="CD22" s="249">
        <f>IF($BF22&lt;&gt;"",$BF22/'Elements and ions'!$B$26,"")</f>
        <v>1.2741636026065746</v>
      </c>
      <c r="CE22" s="250" t="str">
        <f>IF($BG22&lt;&gt;"",$BG22/'Elements and ions'!$G$6,"")</f>
        <v/>
      </c>
      <c r="CF22" s="91" t="str">
        <f>IF($BH22&lt;&gt;"",$BH22/'Elements and ions'!$G$15,"")</f>
        <v/>
      </c>
      <c r="CG22" s="89" t="str">
        <f>IF($BI22&lt;&gt;"",$BI22/'Elements and ions'!$G$16,"")</f>
        <v/>
      </c>
      <c r="CH22" s="90">
        <f>IF($BJ22&lt;&gt;"",$BJ22/'Elements and ions'!$G$2,"")</f>
        <v>0.19952614829873835</v>
      </c>
      <c r="CI22" s="91">
        <f>IF($BK22&lt;&gt;"",$BK22/'Elements and ions'!$B$15, "")</f>
        <v>2.8735726869405176</v>
      </c>
      <c r="CJ22" s="88" t="str">
        <f>IF($BL22&lt;&gt;"", $BL22/'Elements and ions'!$G$17,"")</f>
        <v/>
      </c>
      <c r="CK22" s="89">
        <f t="shared" si="68"/>
        <v>3.1622776601683713E-8</v>
      </c>
      <c r="CL22" s="163" t="str">
        <f>IF($BN22&lt;&gt;"", $BN22/'Elements and ions'!$G$19,"")</f>
        <v/>
      </c>
      <c r="CM22" s="89" t="str">
        <f>IF($BO22&lt;&gt;"",$BO22/'Elements and ions'!$G$4,"")</f>
        <v/>
      </c>
      <c r="CN22" s="89" t="str">
        <f>IF($BP22&lt;&gt;"",$BP22/'Elements and ions'!$B$10,"")</f>
        <v/>
      </c>
      <c r="CO22" s="104" t="str">
        <f>IF($BQ22&lt;&gt;"",$BQ22/'Elements and ions'!$G$18,"")</f>
        <v/>
      </c>
      <c r="CP22" s="242"/>
      <c r="CQ22" s="238">
        <f t="shared" si="239"/>
        <v>9.1344979343785746E-3</v>
      </c>
      <c r="CR22" s="239" t="str">
        <f t="shared" si="240"/>
        <v/>
      </c>
      <c r="CS22" s="239">
        <f t="shared" si="241"/>
        <v>1.1477618643644891E-2</v>
      </c>
      <c r="CT22" s="241">
        <f t="shared" si="242"/>
        <v>1.6046081053281216E-2</v>
      </c>
      <c r="CU22" s="238">
        <f t="shared" si="243"/>
        <v>3.1622763415665637E-7</v>
      </c>
      <c r="CV22" s="239">
        <f t="shared" si="244"/>
        <v>9.5901616224296962E-3</v>
      </c>
      <c r="CW22" s="239" t="str">
        <f t="shared" si="245"/>
        <v/>
      </c>
      <c r="CX22" s="241">
        <f t="shared" si="246"/>
        <v>0.10409878558356737</v>
      </c>
      <c r="CY22" s="258">
        <f t="shared" si="98"/>
        <v>3.1622776601683783E-4</v>
      </c>
      <c r="CZ22" s="259">
        <f t="shared" si="247"/>
        <v>1.0377466020414417E-2</v>
      </c>
      <c r="DA22" s="260">
        <f t="shared" si="248"/>
        <v>5.3720118184260007E-2</v>
      </c>
      <c r="DB22" s="261">
        <f t="shared" si="249"/>
        <v>1.2741636026065745E-3</v>
      </c>
      <c r="DC22" s="262" t="str">
        <f t="shared" si="250"/>
        <v/>
      </c>
      <c r="DD22" s="263" t="str">
        <f t="shared" si="251"/>
        <v/>
      </c>
      <c r="DE22" s="259" t="str">
        <f t="shared" si="252"/>
        <v/>
      </c>
      <c r="DF22" s="260">
        <f t="shared" si="253"/>
        <v>1.9952614829873836E-4</v>
      </c>
      <c r="DG22" s="260">
        <f t="shared" si="254"/>
        <v>2.8735726869405175E-3</v>
      </c>
      <c r="DH22" s="264" t="str">
        <f t="shared" si="255"/>
        <v/>
      </c>
      <c r="DI22" s="258">
        <f t="shared" si="108"/>
        <v>3.162277660168371E-11</v>
      </c>
      <c r="DJ22" s="260" t="str">
        <f t="shared" si="256"/>
        <v/>
      </c>
      <c r="DK22" s="260" t="str">
        <f t="shared" si="257"/>
        <v/>
      </c>
      <c r="DL22" s="260" t="str">
        <f t="shared" si="258"/>
        <v/>
      </c>
      <c r="DM22" s="265" t="str">
        <f t="shared" si="259"/>
        <v/>
      </c>
      <c r="DN22" s="242"/>
      <c r="DO22" s="238">
        <f t="shared" si="260"/>
        <v>9.1344979343785742</v>
      </c>
      <c r="DP22" s="239">
        <f t="shared" si="261"/>
        <v>0</v>
      </c>
      <c r="DQ22" s="239">
        <f t="shared" si="262"/>
        <v>22.955237287289783</v>
      </c>
      <c r="DR22" s="241">
        <f t="shared" si="263"/>
        <v>32.092162106562434</v>
      </c>
      <c r="DS22" s="238">
        <f t="shared" si="264"/>
        <v>-3.1622763415665637E-4</v>
      </c>
      <c r="DT22" s="239"/>
      <c r="DU22" s="239"/>
      <c r="DV22" s="241"/>
      <c r="DW22" s="91">
        <f t="shared" si="113"/>
        <v>0.31622776601683783</v>
      </c>
      <c r="DX22" s="89">
        <f t="shared" si="265"/>
        <v>31.132398061243251</v>
      </c>
      <c r="DY22" s="89">
        <f t="shared" si="266"/>
        <v>107.44023636852002</v>
      </c>
      <c r="DZ22" s="89">
        <f t="shared" si="267"/>
        <v>2.5483272052131491</v>
      </c>
      <c r="EA22" s="90">
        <f t="shared" si="268"/>
        <v>0</v>
      </c>
      <c r="EB22" s="91">
        <f t="shared" si="118"/>
        <v>-3.1622776601683713E-8</v>
      </c>
      <c r="EC22" s="89">
        <f t="shared" si="269"/>
        <v>0</v>
      </c>
      <c r="ED22" s="89">
        <f t="shared" si="270"/>
        <v>0</v>
      </c>
      <c r="EE22" s="89">
        <f t="shared" si="271"/>
        <v>0</v>
      </c>
      <c r="EF22" s="90">
        <f t="shared" si="272"/>
        <v>0</v>
      </c>
      <c r="EG22" s="242"/>
      <c r="EH22" s="245">
        <f t="shared" si="273"/>
        <v>205.61908672922405</v>
      </c>
      <c r="EI22" s="246">
        <f t="shared" si="274"/>
        <v>-3.1625925693325803E-4</v>
      </c>
      <c r="EJ22" s="198">
        <f t="shared" si="275"/>
        <v>99.999692383838962</v>
      </c>
      <c r="EK22" s="198">
        <f t="shared" si="27"/>
        <v>0.32954267860575082</v>
      </c>
      <c r="EL22" s="101"/>
      <c r="EM22" s="94" t="str">
        <f>IF(AND(CS22&lt;&gt;"",DK22&lt;&gt;""),LOG(CS22*DK22/Minerals!$C$5),"")</f>
        <v/>
      </c>
      <c r="EN22" s="94" t="str">
        <f>IF(AND(CS22&lt;&gt;"",DL22&lt;&gt;""),LOG(CS22*DL22^2/Minerals!$C$2),"")</f>
        <v/>
      </c>
      <c r="EO22" s="94">
        <f>IF(AND(CS22&lt;&gt;"",CX22&lt;&gt;""),LOG($CS22*$CX22/Minerals!$C$3),"")</f>
        <v>1.6772778187399426</v>
      </c>
      <c r="EP22" s="95">
        <f>IF(AND(CS22&lt;&gt;"",CX22&lt;&gt;""),LOG($CS22*$CX22/Minerals!$C$4),"")</f>
        <v>1.4372933072740401</v>
      </c>
      <c r="EQ22" s="199"/>
      <c r="ER22" s="101">
        <f t="shared" si="315"/>
        <v>0.65712847485666537</v>
      </c>
      <c r="ES22" s="94">
        <f t="shared" si="315"/>
        <v>0.65712847485666537</v>
      </c>
      <c r="ET22" s="94">
        <f t="shared" si="316"/>
        <v>0.18646664043688416</v>
      </c>
      <c r="EU22" s="94">
        <f t="shared" si="316"/>
        <v>0.18646664043688416</v>
      </c>
      <c r="EV22" s="95">
        <f t="shared" si="316"/>
        <v>0.18646664043688416</v>
      </c>
      <c r="EW22" s="101">
        <f t="shared" si="317"/>
        <v>0.65712847485666537</v>
      </c>
      <c r="EX22" s="94">
        <f t="shared" si="31"/>
        <v>0.18646664043688416</v>
      </c>
      <c r="EY22" s="94">
        <f t="shared" si="317"/>
        <v>0.65712847485666537</v>
      </c>
      <c r="EZ22" s="94">
        <f t="shared" si="317"/>
        <v>0.65712847485666537</v>
      </c>
      <c r="FA22" s="94">
        <f t="shared" si="165"/>
        <v>0.65712847485666537</v>
      </c>
      <c r="FB22" s="95">
        <f t="shared" si="32"/>
        <v>0.18646664043688416</v>
      </c>
      <c r="FC22" s="199"/>
      <c r="FD22" s="101">
        <f t="shared" si="276"/>
        <v>6.0025386961995528E-3</v>
      </c>
      <c r="FE22" s="94" t="str">
        <f t="shared" si="277"/>
        <v/>
      </c>
      <c r="FF22" s="94">
        <f t="shared" si="278"/>
        <v>2.1401929886962099E-3</v>
      </c>
      <c r="FG22" s="94">
        <f t="shared" si="279"/>
        <v>2.9920588261832881E-3</v>
      </c>
      <c r="FH22" s="95">
        <f t="shared" si="280"/>
        <v>1.0017009961691333E-2</v>
      </c>
      <c r="FI22" s="101">
        <f t="shared" si="281"/>
        <v>2.0780218294089515E-7</v>
      </c>
      <c r="FJ22" s="94" t="str">
        <f t="shared" si="282"/>
        <v/>
      </c>
      <c r="FK22" s="94">
        <f t="shared" si="283"/>
        <v>6.3019682805761498E-3</v>
      </c>
      <c r="FL22" s="94" t="str">
        <f t="shared" si="284"/>
        <v/>
      </c>
      <c r="FM22" s="94" t="str">
        <f t="shared" si="285"/>
        <v/>
      </c>
      <c r="FN22" s="95">
        <f t="shared" si="286"/>
        <v>1.9410950821327357E-2</v>
      </c>
      <c r="FO22" s="199"/>
      <c r="FP22" s="101" t="str">
        <f>IF(EL22&lt;&gt;"",LOG(FF22*FJ22/Minerals!$C$6),"")</f>
        <v/>
      </c>
      <c r="FQ22" s="94" t="str">
        <f>IF(EL22&lt;&gt;"",LOG(FF22*FJ22/Minerals!$C$5),"")</f>
        <v/>
      </c>
      <c r="FR22" s="94" t="str">
        <f>IF(EN22&lt;&gt;"",LOG(FF22*FM22^2/Minerals!$C$2),"")</f>
        <v/>
      </c>
      <c r="FS22" s="94">
        <f>IF(EO22&lt;&gt;"",LOG($FF22*$FN22/Minerals!$C$3),"")</f>
        <v>0.21848011118946864</v>
      </c>
      <c r="FT22" s="95">
        <f>IF(EP22&lt;&gt;"",LOG($FF22*$FN22/Minerals!$C$4),"")</f>
        <v>-2.1504400276433785E-2</v>
      </c>
      <c r="FU22" s="96"/>
      <c r="FV22" s="101" t="str">
        <f>IF(FP22&lt;&gt;"",LOG(FF22*FJ22/(EXP(-1*Minerals!$E$6/'Other Constants'!$B$2*(1/(273.15+'ppm-mgL-1'!$D22)-1/298.15)+LN(Minerals!$C$6)))),"")</f>
        <v/>
      </c>
      <c r="FW22" s="94" t="str">
        <f>IF(FP22&lt;&gt;"",LOG(FF22*FJ22/(EXP(-1*Minerals!$E$5/'Other Constants'!$B$2*(1/(273.15+'ppm-mgL-1'!$D22)-1/298.15)+LN(Minerals!$C$5)))),"")</f>
        <v/>
      </c>
      <c r="FX22" s="94" t="str">
        <f>IF(FR22&lt;&gt;"",LOG(FF22*FM22^2/(EXP(-1*Minerals!$E$2/'Other Constants'!$B$2*(1/(273.15+'ppm-mgL-1'!$D22)-1/298.15)+LN(Minerals!$C$2)))),"")</f>
        <v/>
      </c>
      <c r="FY22" s="94">
        <f>IF(FS22&lt;&gt;"",LOG($FF22*$FN22/(EXP(-1*Minerals!$E$3/'Other Constants'!$B$2*(1/(273.15+'ppm-mgL-1'!$D22)-1/298.15)+LN(Minerals!$C$3)))),"")</f>
        <v>2.805046419133093</v>
      </c>
      <c r="FZ22" s="95">
        <f>IF(FT22&lt;&gt;"",LOG($FF22*$FN22/(EXP(-1*Minerals!$E$4/'Other Constants'!$B$2*(1/(273.15+'ppm-mgL-1'!$D22)-1/298.15)+LN(Minerals!$C$4)))),"")</f>
        <v>-9.5602891850340266E-2</v>
      </c>
      <c r="GA22" s="96"/>
      <c r="GB22" s="96"/>
      <c r="GC22" s="101">
        <f>10^(-1825000*(79.755*EXP(-0.0046*($D22-20))*($D22+273.15))^-1.5*$EK22^0.5/(1+'Elements and ions'!$D$12*$EK22^0.5/(2*(79.755*EXP(-0.0046*($D22-20))*($D22+273.15))^0.5)))</f>
        <v>0.68116769894261964</v>
      </c>
      <c r="GD22" s="94">
        <f>10^(-1825000*(79.755*EXP(-0.0046*($D22-20))*($D22+273.15))^-1.5*$EK22^0.5/(1+'Elements and ions'!$D$20*$EK22^0.5/(2*(79.755*EXP(-0.0046*($D22-20))*($D22+273.15))^0.5)))</f>
        <v>0.65050189063001262</v>
      </c>
      <c r="GE22" s="94">
        <f>10^(-1825000*(79.755*EXP(-0.0046*($D22-20))*($D22+273.15))^-1.5*4*$EK22^0.5/(1+'Elements and ions'!$D$21*$EK22^0.5/(2*(79.755*EXP(-0.0046*($D22-20))*($D22+273.15))^0.5)))</f>
        <v>0.28229407788858274</v>
      </c>
      <c r="GF22" s="94">
        <f>10^(-1825000*(79.755*EXP(-0.0046*($D22-20))*($D22+273.15))^-1.5*4*$EK22^0.5/(1+'Elements and ions'!$D$13*$EK22^0.5/(2*(79.755*EXP(-0.0046*($D22-20))*($D22+273.15))^0.5)))</f>
        <v>0.34126057969676316</v>
      </c>
      <c r="GG22" s="95">
        <f>10^(-1825000*(79.755*EXP(-0.0046*($D22-20))*($D22+273.15))^-1.5*4*$EK22^0.5/(1+'Elements and ions'!$D$27*$EK22^0.5/(2*(79.755*EXP(-0.0046*($D22-20))*($D22+273.15))^0.5)))</f>
        <v>0.28229407788858274</v>
      </c>
      <c r="GH22" s="101">
        <f>10^(-1825000*(79.755*EXP(-0.0046*($D22-20))*($D22+273.15))^-1.5*$EK22^0.5/(1+'Elements and ions'!$G$3*$EK22^0.5/(2*(79.755*EXP(-0.0046*($D22-20))*($D22+273.15))^0.5)))</f>
        <v>0.54724097768969648</v>
      </c>
      <c r="GI22" s="94">
        <f>10^(-1825000*(79.755*EXP(-0.0046*($D22-20))*($D22+273.15))^-1.5*4*$EK22^0.5/(1+'Elements and ions'!$G$4*$EK22^0.5/(2*(79.755*EXP(-0.0046*($D22-20))*($D22+273.15))^0.5)))</f>
        <v>8.9317357928834842E-2</v>
      </c>
      <c r="GJ22" s="94">
        <f>10^(-1825000*(79.755*EXP(-0.0046*($D22-20))*($D22+273.15))^-1.5*$EK22^0.5/(1+'Elements and ions'!$D$18*$EK22^0.5/(2*(79.755*EXP(-0.0046*($D22-20))*($D22+273.15))^0.5)))</f>
        <v>0.65050189063001262</v>
      </c>
      <c r="GK22" s="94">
        <f>10^(-1825000*(79.755*EXP(-0.0046*($D22-20))*($D22+273.15))^-1.5*$EK22^0.5/(1+'Elements and ions'!$I$7*$EK22^0.5/(2*(79.755*EXP(-0.0046*($D22-20))*($D22+273.15))^0.5)))</f>
        <v>0.65050189063001262</v>
      </c>
      <c r="GL22" s="94">
        <f>10^(-1825000*(79.755*EXP(-0.0046*($D22-20))*($D22+273.15))^-1.5*$EK22^0.5/(1+'Elements and ions'!$D$10*$EK22^0.5/(2*(79.755*EXP(-0.0046*($D22-20))*($D22+273.15))^0.5)))</f>
        <v>0.66652645186877491</v>
      </c>
      <c r="GM22" s="95">
        <f>10^(-1825000*(79.755*EXP(-0.0046*($D22-20))*($D22+273.15))^-1.5*4*$EK22^0.5/(1+'Elements and ions'!$I$5*$EK22^0.5/(2*(79.755*EXP(-0.0046*($D22-20))*($D22+273.15))^0.5)))</f>
        <v>0.21528619494046158</v>
      </c>
      <c r="GN22" s="96"/>
      <c r="GO22" s="101">
        <f t="shared" si="287"/>
        <v>6.2221249389567655E-3</v>
      </c>
      <c r="GP22" s="94" t="str">
        <f t="shared" si="288"/>
        <v/>
      </c>
      <c r="GQ22" s="94">
        <f t="shared" si="289"/>
        <v>3.2400637713645404E-3</v>
      </c>
      <c r="GR22" s="94">
        <f t="shared" si="290"/>
        <v>5.4758949221039958E-3</v>
      </c>
      <c r="GS22" s="95">
        <f t="shared" si="291"/>
        <v>1.5164871226891365E-2</v>
      </c>
      <c r="GT22" s="101">
        <f t="shared" si="292"/>
        <v>1.730527196883883E-7</v>
      </c>
      <c r="GU22" s="94" t="str">
        <f t="shared" si="293"/>
        <v/>
      </c>
      <c r="GV22" s="94">
        <f t="shared" si="294"/>
        <v>6.2384182668379067E-3</v>
      </c>
      <c r="GW22" s="94" t="str">
        <f t="shared" si="295"/>
        <v/>
      </c>
      <c r="GX22" s="94" t="str">
        <f t="shared" si="296"/>
        <v/>
      </c>
      <c r="GY22" s="102">
        <f t="shared" si="297"/>
        <v>2.2411031446209196E-2</v>
      </c>
      <c r="GZ22" s="199"/>
      <c r="HA22" s="92" t="str">
        <f>IF(AND(GQ22&lt;&gt;"",GU22&lt;&gt;""),LOG(GQ22*GU22/Minerals!$C$6),"")</f>
        <v/>
      </c>
      <c r="HB22" s="94" t="str">
        <f>IF(AND(GQ22&lt;&gt;"",GU22&lt;&gt;""),LOG(GQ22*GU22/Minerals!$C$5),"")</f>
        <v/>
      </c>
      <c r="HC22" s="94" t="str">
        <f>IF(AND(GQ22&lt;&gt;"",GX22&lt;&gt;""),LOG(GQ22*GX22^2/Minerals!$C$2),"")</f>
        <v/>
      </c>
      <c r="HD22" s="94">
        <f>IF(AND(GQ22&lt;&gt;"",GY22&lt;&gt;""),LOG($GQ22*$GY22/Minerals!$C$3),"")</f>
        <v>0.46099576804879744</v>
      </c>
      <c r="HE22" s="102">
        <f>IF(AND(GQ22&lt;&gt;"",GY22&lt;&gt;""),LOG($GQ22*$GY22/Minerals!$C$3),"")</f>
        <v>0.46099576804879744</v>
      </c>
      <c r="HF22" s="199"/>
      <c r="HG22" s="92" t="str">
        <f>IF(HA22&lt;&gt;"",LOG(GQ22*GU22/(EXP(-1*Minerals!$E$6/'Other Constants'!$B$2*(1/(273.15+'ppm-mgL-1'!$D22)-1/298.15)+LN(Minerals!$C$6)))),"")</f>
        <v/>
      </c>
      <c r="HH22" s="94" t="str">
        <f>IF(HA22&lt;&gt;"",LOG(GQ22*GU22/(EXP(-1*Minerals!$E$5/'Other Constants'!$B$2*(1/(273.15+'ppm-mgL-1'!$D22)-1/298.15)+LN(Minerals!$C$5)))),"")</f>
        <v/>
      </c>
      <c r="HI22" s="94" t="str">
        <f>IF(HC22&lt;&gt;"",LOG(GQ22*GX22^2/(EXP(-1*Minerals!$E$2/'Other Constants'!$B$2*(1/(273.15+'ppm-mgL-1'!$D22)-1/298.15)+LN(Minerals!$C$2)))),"")</f>
        <v/>
      </c>
      <c r="HJ22" s="94">
        <f>IF(HD22&lt;&gt;"",LOG($FF22*$FN22/(EXP(-1*Minerals!$E$3/'Other Constants'!$B$2*(1/(273.15+'ppm-mgL-1'!$D22)-1/298.15)+LN(Minerals!$C$3)))),"")</f>
        <v>2.805046419133093</v>
      </c>
      <c r="HK22" s="95">
        <f>IF(HE22&lt;&gt;"",LOG($FF22*$FN22/(EXP(-1*Minerals!$E$4/'Other Constants'!$B$2*(1/(273.15+'ppm-mgL-1'!$D22)-1/298.15)+LN(Minerals!$C$4)))),"")</f>
        <v>-9.5602891850340266E-2</v>
      </c>
      <c r="HL22" s="199"/>
      <c r="HM22" s="199"/>
    </row>
    <row r="23" spans="1:221" x14ac:dyDescent="0.25">
      <c r="A23" s="217" t="s">
        <v>294</v>
      </c>
      <c r="B23" s="4">
        <v>101</v>
      </c>
      <c r="C23" s="216">
        <v>31370</v>
      </c>
      <c r="D23" s="3">
        <v>17</v>
      </c>
      <c r="E23" s="6">
        <v>3.7</v>
      </c>
      <c r="F23" s="6">
        <v>0.1</v>
      </c>
      <c r="G23" s="6">
        <v>8300</v>
      </c>
      <c r="H23" s="5"/>
      <c r="I23" s="3">
        <f t="shared" si="54"/>
        <v>16.830000000000002</v>
      </c>
      <c r="J23" s="4">
        <f t="shared" si="55"/>
        <v>0.96844917213643977</v>
      </c>
      <c r="K23" s="3">
        <f t="shared" si="56"/>
        <v>10.7</v>
      </c>
      <c r="L23" s="4">
        <f t="shared" si="1"/>
        <v>0.61571040652762354</v>
      </c>
      <c r="M23" s="3">
        <f t="shared" si="0"/>
        <v>14.851998994675322</v>
      </c>
      <c r="N23" s="4">
        <f t="shared" ref="N23" si="326">IF(M23&lt;&gt;"", IF($D23&lt;&gt;"",M23*2.303*0.0019858*($D23+273.15)/23.06, 0.059*M23),"")</f>
        <v>0.85462900362237348</v>
      </c>
      <c r="O23" s="3">
        <f t="shared" si="2"/>
        <v>8.1667730535624656</v>
      </c>
      <c r="P23" s="4">
        <f t="shared" ref="P23" si="327">IF(O23&lt;&gt;"", IF($D23&lt;&gt;"",O23*2.303*0.0019858*($D23+273.15)/23.06, 0.059*O23),"")</f>
        <v>0.46994085577829781</v>
      </c>
      <c r="Q23" s="3">
        <f t="shared" si="3"/>
        <v>2.0367730535624657</v>
      </c>
      <c r="R23" s="4">
        <f t="shared" ref="R23" si="328">IF(Q23&lt;&gt;"", IF($D23&lt;&gt;"",Q23*2.303*0.0019858*($D23+273.15)/23.06, 0.059*Q23),"")</f>
        <v>0.11720209016948177</v>
      </c>
      <c r="S23" s="3">
        <f t="shared" si="4"/>
        <v>6.7667730535624662</v>
      </c>
      <c r="T23" s="4">
        <f t="shared" ref="T23" si="329">IF(S23&lt;&gt;"", IF($D23&lt;&gt;"",S23*2.303*0.0019858*($D23+273.15)/23.06, 0.059*S23),"")</f>
        <v>0.38938061567187982</v>
      </c>
      <c r="U23" s="3">
        <f>IF(AND($E23&lt;&gt;"",$CX23&lt;&gt;"",$DG23&lt;&gt;""),IF($E23&lt;7,5.12-5/4*$E23+1/8*LOG($CX23/$DG23),4.25-9/8*$E23+1/8*(LOG($CX23)-$E23-LOG($DG23)+pKa!$B$3)),"")</f>
        <v>0.69139361998029059</v>
      </c>
      <c r="V23" s="4">
        <f t="shared" ref="V23" si="330">IF(U23&lt;&gt;"", IF($D23&lt;&gt;"",U23*2.303*0.0019858*($D23+273.15)/23.06, 0.059*U23),"")</f>
        <v>3.9784882881184112E-2</v>
      </c>
      <c r="W23" s="3" t="str">
        <f t="shared" si="5"/>
        <v/>
      </c>
      <c r="X23" s="4" t="str">
        <f t="shared" ref="X23" si="331">IF(W23&lt;&gt;"", IF($D23&lt;&gt;"",W23*2.303*0.0019858*($D23+273.15)/23.06, 0.059*W23),"")</f>
        <v/>
      </c>
      <c r="Y23" s="3" t="str">
        <f t="shared" si="6"/>
        <v/>
      </c>
      <c r="Z23" s="4" t="str">
        <f t="shared" ref="Z23" si="332">IF(Y23&lt;&gt;"", IF($D23&lt;&gt;"",Y23*2.303*0.0019858*($D23+273.15)/23.06, 0.059*Y23),"")</f>
        <v/>
      </c>
      <c r="AA23" s="3" t="str">
        <f t="shared" si="7"/>
        <v/>
      </c>
      <c r="AB23" s="4" t="str">
        <f t="shared" ref="AB23" si="333">IF(AA23&lt;&gt;"", IF($D23&lt;&gt;"",AA23*2.303*0.0019858*($D23+273.15)/23.06, 0.059*AA23),"")</f>
        <v/>
      </c>
      <c r="AD23" s="83">
        <f>IF(E23&lt;&gt;"",10^(-2*$E23)/(10^(-2*$E23)+10^(-$E23-pKa!$B$2)+(10^(-pKa!$B$2-pKa!$C$2))),"")</f>
        <v>0.99749440670491485</v>
      </c>
      <c r="AE23" s="84">
        <f>IF(E23&lt;&gt;"",10^(-$E23-pKa!$B$2)/(10^(-2*$E23)+10^(-$E23-pKa!$B$2)+10^(-pKa!$B$2-pKa!$C$2)),"")</f>
        <v>2.5055926657087842E-3</v>
      </c>
      <c r="AF23" s="212">
        <f>IF(E23&lt;&gt;"",10^(-pKa!$B$2-pKa!$C$2)/(10^(-2*$E23)+10^(-$E23-pKa!$B$2)+10^(-pKa!$B$2-pKa!$C$2)),"")</f>
        <v>6.2937642198837834E-10</v>
      </c>
      <c r="AG23" s="152"/>
      <c r="AH23" s="222">
        <f>IF($AK23&lt;&gt;"",$AK23/'Elements and ions'!$G$3,IF($E23="","",""))</f>
        <v>0</v>
      </c>
      <c r="AI23" s="85">
        <f t="shared" si="314"/>
        <v>7.9632289745847784E-5</v>
      </c>
      <c r="AJ23" s="84">
        <f>IF(AI23&lt;&gt;"",AI23*1000*'Elements and ions'!$B$7,"")</f>
        <v>0.95643954245045393</v>
      </c>
      <c r="AK23" s="99">
        <v>0</v>
      </c>
      <c r="AL23" s="88">
        <f>IF($AK23&lt;&gt;"",$AK23/'Elements and ions'!$G$3*Minerals!$B$6/2,IF($E23="","","Enter Alk(HCO3-)"))</f>
        <v>0</v>
      </c>
      <c r="AM23" s="199"/>
      <c r="AN23" s="101">
        <f t="shared" si="8"/>
        <v>7.9432763614588304E-5</v>
      </c>
      <c r="AO23" s="94">
        <f t="shared" si="9"/>
        <v>1.9952608114079303E-7</v>
      </c>
      <c r="AP23" s="95">
        <f t="shared" si="10"/>
        <v>5.0118685594983509E-14</v>
      </c>
      <c r="AQ23" s="199"/>
      <c r="AR23" s="199"/>
      <c r="AS23" s="83">
        <f t="shared" si="66"/>
        <v>0.23362577533702442</v>
      </c>
      <c r="AT23" s="83">
        <f>IF(AN23&lt;&gt;"",AN23/'Henrys law constants'!$B$7*1000000,"")</f>
        <v>2336.2577533702442</v>
      </c>
      <c r="AU23" s="3">
        <v>200</v>
      </c>
      <c r="AV23" s="6"/>
      <c r="AW23" s="6">
        <v>500</v>
      </c>
      <c r="AX23" s="6">
        <v>350</v>
      </c>
      <c r="AY23" s="226">
        <f>AO23*'Elements and ions'!$G$3*1000</f>
        <v>1.2174450968794786E-2</v>
      </c>
      <c r="AZ23" s="6">
        <v>240</v>
      </c>
      <c r="BA23" s="6"/>
      <c r="BB23" s="5">
        <v>8500</v>
      </c>
      <c r="BC23" s="226"/>
      <c r="BD23" s="6">
        <v>190</v>
      </c>
      <c r="BE23" s="6">
        <v>2400</v>
      </c>
      <c r="BF23" s="6">
        <v>57</v>
      </c>
      <c r="BG23" s="5"/>
      <c r="BH23" s="3"/>
      <c r="BJ23" s="92">
        <f>IF($AN23&lt;&gt;"",$AN23*'Elements and ions'!$G$2*1000,"")</f>
        <v>4.9267996879868434</v>
      </c>
      <c r="BK23" s="229">
        <f>100*40.08/60.08</f>
        <v>66.711051930758984</v>
      </c>
      <c r="BL23" s="230"/>
      <c r="BM23" s="101"/>
      <c r="BO23" s="102"/>
      <c r="BP23" s="6">
        <v>26</v>
      </c>
      <c r="BQ23" s="5"/>
      <c r="BR23" s="195"/>
      <c r="BS23" s="238">
        <f>IF($AU23&lt;&gt;"",$AU23/'Elements and ions'!$B$12,"")</f>
        <v>8.6995218422653089</v>
      </c>
      <c r="BT23" s="239" t="str">
        <f>IF($AV23&lt;&gt;"",$AV23/'Elements and ions'!$B$20,"")</f>
        <v/>
      </c>
      <c r="BU23" s="239">
        <f>IF($AW23&lt;&gt;"",$AW23/'Elements and ions'!$B$21, "")</f>
        <v>12.475672438744448</v>
      </c>
      <c r="BV23" s="240">
        <f>IF($AX23&lt;&gt;"",$AX23/'Elements and ions'!$B$13, "")</f>
        <v>14.40032915038058</v>
      </c>
      <c r="BW23" s="238">
        <f>IF($AY23&lt;&gt;"",$AY23/'Elements and ions'!$G$3,"")</f>
        <v>1.9952608114079303E-4</v>
      </c>
      <c r="BX23" s="239">
        <f>IF($AZ23&lt;&gt;"",$AZ23/'Elements and ions'!$B$18,"")</f>
        <v>6.7695258511268435</v>
      </c>
      <c r="BY23" s="239" t="str">
        <f>IF($BA23&lt;&gt;"",$BA23/'Elements and ions'!$G$7,"")</f>
        <v/>
      </c>
      <c r="BZ23" s="241">
        <f>IF($BB23&lt;&gt;"",$BB23/'Elements and ions'!$G$5,"")</f>
        <v>88.483967746032278</v>
      </c>
      <c r="CA23" s="91">
        <f t="shared" si="67"/>
        <v>0.19952623149688758</v>
      </c>
      <c r="CB23" s="163">
        <f>IF($BD23&lt;&gt;"",$BD23/'Elements and ions'!$B$14,"")</f>
        <v>7.0418519424240689</v>
      </c>
      <c r="CC23" s="89">
        <f>IF($BE23&lt;&gt;"",$BE23/'Elements and ions'!$B$27, "")</f>
        <v>42.976094547408003</v>
      </c>
      <c r="CD23" s="249">
        <f>IF($BF23&lt;&gt;"",$BF23/'Elements and ions'!$B$26,"")</f>
        <v>1.0375332192653537</v>
      </c>
      <c r="CE23" s="250" t="str">
        <f>IF($BG23&lt;&gt;"",$BG23/'Elements and ions'!$G$6,"")</f>
        <v/>
      </c>
      <c r="CF23" s="91" t="str">
        <f>IF($BH23&lt;&gt;"",$BH23/'Elements and ions'!$G$15,"")</f>
        <v/>
      </c>
      <c r="CG23" s="89" t="str">
        <f>IF($BI23&lt;&gt;"",$BI23/'Elements and ions'!$G$16,"")</f>
        <v/>
      </c>
      <c r="CH23" s="90">
        <f>IF($BJ23&lt;&gt;"",$BJ23/'Elements and ions'!$G$2,"")</f>
        <v>7.94327636145883E-2</v>
      </c>
      <c r="CI23" s="91">
        <f>IF($BK23&lt;&gt;"",$BK23/'Elements and ions'!$B$15, "")</f>
        <v>2.3752844681689478</v>
      </c>
      <c r="CJ23" s="88" t="str">
        <f>IF($BL23&lt;&gt;"", $BL23/'Elements and ions'!$G$17,"")</f>
        <v/>
      </c>
      <c r="CK23" s="89">
        <f t="shared" si="68"/>
        <v>5.0118723362726992E-8</v>
      </c>
      <c r="CL23" s="163" t="str">
        <f>IF($BN23&lt;&gt;"", $BN23/'Elements and ions'!$G$19,"")</f>
        <v/>
      </c>
      <c r="CM23" s="89" t="str">
        <f>IF($BO23&lt;&gt;"",$BO23/'Elements and ions'!$G$4,"")</f>
        <v/>
      </c>
      <c r="CN23" s="89">
        <f>IF($BP23&lt;&gt;"",$BP23/'Elements and ions'!$B$10,"")</f>
        <v>1.3685360672838021</v>
      </c>
      <c r="CO23" s="104" t="str">
        <f>IF($BQ23&lt;&gt;"",$BQ23/'Elements and ions'!$G$18,"")</f>
        <v/>
      </c>
      <c r="CP23" s="242"/>
      <c r="CQ23" s="238">
        <f t="shared" si="239"/>
        <v>8.6995218422653096E-3</v>
      </c>
      <c r="CR23" s="239" t="str">
        <f t="shared" si="240"/>
        <v/>
      </c>
      <c r="CS23" s="239">
        <f t="shared" si="241"/>
        <v>1.2475672438744449E-2</v>
      </c>
      <c r="CT23" s="241">
        <f t="shared" si="242"/>
        <v>1.4400329150380579E-2</v>
      </c>
      <c r="CU23" s="238">
        <f t="shared" si="243"/>
        <v>1.9952608114079303E-7</v>
      </c>
      <c r="CV23" s="239">
        <f t="shared" si="244"/>
        <v>6.7695258511268437E-3</v>
      </c>
      <c r="CW23" s="239" t="str">
        <f t="shared" si="245"/>
        <v/>
      </c>
      <c r="CX23" s="241">
        <f t="shared" si="246"/>
        <v>8.8483967746032274E-2</v>
      </c>
      <c r="CY23" s="258">
        <f t="shared" si="98"/>
        <v>1.9952623149688758E-4</v>
      </c>
      <c r="CZ23" s="259">
        <f t="shared" si="247"/>
        <v>7.0418519424240685E-3</v>
      </c>
      <c r="DA23" s="260">
        <f t="shared" si="248"/>
        <v>4.2976094547408E-2</v>
      </c>
      <c r="DB23" s="261">
        <f t="shared" si="249"/>
        <v>1.0375332192653537E-3</v>
      </c>
      <c r="DC23" s="262" t="str">
        <f t="shared" si="250"/>
        <v/>
      </c>
      <c r="DD23" s="263" t="str">
        <f t="shared" si="251"/>
        <v/>
      </c>
      <c r="DE23" s="259" t="str">
        <f t="shared" si="252"/>
        <v/>
      </c>
      <c r="DF23" s="260">
        <f t="shared" si="253"/>
        <v>7.9432763614588304E-5</v>
      </c>
      <c r="DG23" s="260">
        <f t="shared" si="254"/>
        <v>2.3752844681689477E-3</v>
      </c>
      <c r="DH23" s="264" t="str">
        <f t="shared" si="255"/>
        <v/>
      </c>
      <c r="DI23" s="258">
        <f t="shared" si="108"/>
        <v>5.0118723362726993E-11</v>
      </c>
      <c r="DJ23" s="260" t="str">
        <f t="shared" si="256"/>
        <v/>
      </c>
      <c r="DK23" s="260" t="str">
        <f t="shared" si="257"/>
        <v/>
      </c>
      <c r="DL23" s="260">
        <f t="shared" si="258"/>
        <v>1.3685360672838021E-3</v>
      </c>
      <c r="DM23" s="265" t="str">
        <f t="shared" si="259"/>
        <v/>
      </c>
      <c r="DN23" s="242"/>
      <c r="DO23" s="238">
        <f t="shared" si="260"/>
        <v>8.6995218422653089</v>
      </c>
      <c r="DP23" s="239">
        <f t="shared" si="261"/>
        <v>0</v>
      </c>
      <c r="DQ23" s="239">
        <f t="shared" si="262"/>
        <v>24.951344877488896</v>
      </c>
      <c r="DR23" s="241">
        <f t="shared" si="263"/>
        <v>28.80065830076116</v>
      </c>
      <c r="DS23" s="238">
        <f t="shared" si="264"/>
        <v>-1.9952608114079303E-4</v>
      </c>
      <c r="DT23" s="239"/>
      <c r="DU23" s="239"/>
      <c r="DV23" s="241"/>
      <c r="DW23" s="91">
        <f t="shared" si="113"/>
        <v>0.19952623149688758</v>
      </c>
      <c r="DX23" s="89">
        <f t="shared" si="265"/>
        <v>21.125555827272208</v>
      </c>
      <c r="DY23" s="89">
        <f t="shared" si="266"/>
        <v>85.952189094816006</v>
      </c>
      <c r="DZ23" s="89">
        <f t="shared" si="267"/>
        <v>2.0750664385307074</v>
      </c>
      <c r="EA23" s="90">
        <f t="shared" si="268"/>
        <v>0</v>
      </c>
      <c r="EB23" s="91">
        <f t="shared" si="118"/>
        <v>-5.0118723362726992E-8</v>
      </c>
      <c r="EC23" s="89">
        <f t="shared" si="269"/>
        <v>0</v>
      </c>
      <c r="ED23" s="89">
        <f t="shared" si="270"/>
        <v>0</v>
      </c>
      <c r="EE23" s="89">
        <f t="shared" si="271"/>
        <v>-1.3685360672838021</v>
      </c>
      <c r="EF23" s="90">
        <f t="shared" si="272"/>
        <v>0</v>
      </c>
      <c r="EG23" s="242"/>
      <c r="EH23" s="245">
        <f t="shared" si="273"/>
        <v>171.80386261263118</v>
      </c>
      <c r="EI23" s="246">
        <f t="shared" si="274"/>
        <v>-1.3687356434836662</v>
      </c>
      <c r="EJ23" s="198">
        <f t="shared" si="275"/>
        <v>98.419223760263321</v>
      </c>
      <c r="EK23" s="198">
        <f t="shared" si="27"/>
        <v>0.28444251326394726</v>
      </c>
      <c r="EL23" s="101"/>
      <c r="EM23" s="94" t="str">
        <f>IF(AND(CS23&lt;&gt;"",DK23&lt;&gt;""),LOG(CS23*DK23/Minerals!$C$5),"")</f>
        <v/>
      </c>
      <c r="EN23" s="94">
        <f>IF(AND(CS23&lt;&gt;"",DL23&lt;&gt;""),LOG(CS23*DL23^2/Minerals!$C$2),"")</f>
        <v>2.9385014029956751</v>
      </c>
      <c r="EO23" s="94">
        <f>IF(AND(CS23&lt;&gt;"",CX23&lt;&gt;""),LOG($CS23*$CX23/Minerals!$C$3),"")</f>
        <v>1.6429089171086801</v>
      </c>
      <c r="EP23" s="95">
        <f>IF(AND(CS23&lt;&gt;"",CX23&lt;&gt;""),LOG($CS23*$CX23/Minerals!$C$4),"")</f>
        <v>1.4029244056427779</v>
      </c>
      <c r="EQ23" s="199"/>
      <c r="ER23" s="101">
        <f t="shared" si="315"/>
        <v>0.67001934436277122</v>
      </c>
      <c r="ES23" s="94">
        <f t="shared" si="315"/>
        <v>0.67001934436277122</v>
      </c>
      <c r="ET23" s="94">
        <f t="shared" si="316"/>
        <v>0.20153448328222212</v>
      </c>
      <c r="EU23" s="94">
        <f t="shared" si="316"/>
        <v>0.20153448328222212</v>
      </c>
      <c r="EV23" s="95">
        <f t="shared" si="316"/>
        <v>0.20153448328222212</v>
      </c>
      <c r="EW23" s="101">
        <f t="shared" si="317"/>
        <v>0.67001934436277122</v>
      </c>
      <c r="EX23" s="94">
        <f t="shared" si="31"/>
        <v>0.20153448328222212</v>
      </c>
      <c r="EY23" s="94">
        <f t="shared" si="317"/>
        <v>0.67001934436277122</v>
      </c>
      <c r="EZ23" s="94">
        <f t="shared" si="317"/>
        <v>0.67001934436277122</v>
      </c>
      <c r="FA23" s="94">
        <f t="shared" si="165"/>
        <v>0.67001934436277122</v>
      </c>
      <c r="FB23" s="95">
        <f t="shared" si="32"/>
        <v>0.20153448328222212</v>
      </c>
      <c r="FC23" s="199"/>
      <c r="FD23" s="101">
        <f t="shared" si="276"/>
        <v>5.8288479210242107E-3</v>
      </c>
      <c r="FE23" s="94" t="str">
        <f t="shared" si="277"/>
        <v/>
      </c>
      <c r="FF23" s="94">
        <f t="shared" si="278"/>
        <v>2.5142781985406223E-3</v>
      </c>
      <c r="FG23" s="94">
        <f t="shared" si="279"/>
        <v>2.9021628944158706E-3</v>
      </c>
      <c r="FH23" s="95">
        <f t="shared" si="280"/>
        <v>8.6611650080997953E-3</v>
      </c>
      <c r="FI23" s="101">
        <f t="shared" si="281"/>
        <v>1.3368633406922725E-7</v>
      </c>
      <c r="FJ23" s="94" t="str">
        <f t="shared" si="282"/>
        <v/>
      </c>
      <c r="FK23" s="94">
        <f t="shared" si="283"/>
        <v>4.5357132724188386E-3</v>
      </c>
      <c r="FL23" s="94" t="str">
        <f t="shared" si="284"/>
        <v/>
      </c>
      <c r="FM23" s="94">
        <f t="shared" si="285"/>
        <v>9.1694563853829847E-4</v>
      </c>
      <c r="FN23" s="95">
        <f t="shared" si="286"/>
        <v>1.7832570718457424E-2</v>
      </c>
      <c r="FO23" s="199"/>
      <c r="FP23" s="101" t="str">
        <f>IF(EL23&lt;&gt;"",LOG(FF23*FJ23/Minerals!$C$6),"")</f>
        <v/>
      </c>
      <c r="FQ23" s="94" t="str">
        <f>IF(EL23&lt;&gt;"",LOG(FF23*FJ23/Minerals!$C$5),"")</f>
        <v/>
      </c>
      <c r="FR23" s="94">
        <f>IF(EN23&lt;&gt;"",LOG(FF23*FM23^2/Minerals!$C$2),"")</f>
        <v>1.8950254522937386</v>
      </c>
      <c r="FS23" s="94">
        <f>IF(EO23&lt;&gt;"",LOG($FF23*$FN23/Minerals!$C$3),"")</f>
        <v>0.25160764950609821</v>
      </c>
      <c r="FT23" s="95">
        <f>IF(EP23&lt;&gt;"",LOG($FF23*$FN23/Minerals!$C$4),"")</f>
        <v>1.1623138040195779E-2</v>
      </c>
      <c r="FU23" s="96"/>
      <c r="FV23" s="101" t="str">
        <f>IF(FP23&lt;&gt;"",LOG(FF23*FJ23/(EXP(-1*Minerals!$E$6/'Other Constants'!$B$2*(1/(273.15+'ppm-mgL-1'!$D23)-1/298.15)+LN(Minerals!$C$6)))),"")</f>
        <v/>
      </c>
      <c r="FW23" s="94" t="str">
        <f>IF(FP23&lt;&gt;"",LOG(FF23*FJ23/(EXP(-1*Minerals!$E$5/'Other Constants'!$B$2*(1/(273.15+'ppm-mgL-1'!$D23)-1/298.15)+LN(Minerals!$C$5)))),"")</f>
        <v/>
      </c>
      <c r="FX23" s="94">
        <f>IF(FR23&lt;&gt;"",LOG(FF23*FM23^2/(EXP(-1*Minerals!$E$2/'Other Constants'!$B$2*(1/(273.15+'ppm-mgL-1'!$D23)-1/298.15)+LN(Minerals!$C$2)))),"")</f>
        <v>2.0305739024360463</v>
      </c>
      <c r="FY23" s="94">
        <f>IF(FS23&lt;&gt;"",LOG($FF23*$FN23/(EXP(-1*Minerals!$E$3/'Other Constants'!$B$2*(1/(273.15+'ppm-mgL-1'!$D23)-1/298.15)+LN(Minerals!$C$3)))),"")</f>
        <v>3.0153661556721083</v>
      </c>
      <c r="FZ23" s="95">
        <f>IF(FT23&lt;&gt;"",LOG($FF23*$FN23/(EXP(-1*Minerals!$E$4/'Other Constants'!$B$2*(1/(273.15+'ppm-mgL-1'!$D23)-1/298.15)+LN(Minerals!$C$4)))),"")</f>
        <v>-6.7551455610282113E-2</v>
      </c>
      <c r="GA23" s="96"/>
      <c r="GB23" s="96"/>
      <c r="GC23" s="101">
        <f>10^(-1825000*(79.755*EXP(-0.0046*($D23-20))*($D23+273.15))^-1.5*$EK23^0.5/(1+'Elements and ions'!$D$12*$EK23^0.5/(2*(79.755*EXP(-0.0046*($D23-20))*($D23+273.15))^0.5)))</f>
        <v>0.69238297339435073</v>
      </c>
      <c r="GD23" s="94">
        <f>10^(-1825000*(79.755*EXP(-0.0046*($D23-20))*($D23+273.15))^-1.5*$EK23^0.5/(1+'Elements and ions'!$D$20*$EK23^0.5/(2*(79.755*EXP(-0.0046*($D23-20))*($D23+273.15))^0.5)))</f>
        <v>0.66387738480356606</v>
      </c>
      <c r="GE23" s="94">
        <f>10^(-1825000*(79.755*EXP(-0.0046*($D23-20))*($D23+273.15))^-1.5*4*$EK23^0.5/(1+'Elements and ions'!$D$21*$EK23^0.5/(2*(79.755*EXP(-0.0046*($D23-20))*($D23+273.15))^0.5)))</f>
        <v>0.29521658662745559</v>
      </c>
      <c r="GF23" s="94">
        <f>10^(-1825000*(79.755*EXP(-0.0046*($D23-20))*($D23+273.15))^-1.5*4*$EK23^0.5/(1+'Elements and ions'!$D$13*$EK23^0.5/(2*(79.755*EXP(-0.0046*($D23-20))*($D23+273.15))^0.5)))</f>
        <v>0.35256926522654797</v>
      </c>
      <c r="GG23" s="95">
        <f>10^(-1825000*(79.755*EXP(-0.0046*($D23-20))*($D23+273.15))^-1.5*4*$EK23^0.5/(1+'Elements and ions'!$D$27*$EK23^0.5/(2*(79.755*EXP(-0.0046*($D23-20))*($D23+273.15))^0.5)))</f>
        <v>0.29521658662745559</v>
      </c>
      <c r="GH23" s="101">
        <f>10^(-1825000*(79.755*EXP(-0.0046*($D23-20))*($D23+273.15))^-1.5*$EK23^0.5/(1+'Elements and ions'!$G$3*$EK23^0.5/(2*(79.755*EXP(-0.0046*($D23-20))*($D23+273.15))^0.5)))</f>
        <v>0.56908224847522415</v>
      </c>
      <c r="GI23" s="94">
        <f>10^(-1825000*(79.755*EXP(-0.0046*($D23-20))*($D23+273.15))^-1.5*4*$EK23^0.5/(1+'Elements and ions'!$G$4*$EK23^0.5/(2*(79.755*EXP(-0.0046*($D23-20))*($D23+273.15))^0.5)))</f>
        <v>0.10450673361644658</v>
      </c>
      <c r="GJ23" s="94">
        <f>10^(-1825000*(79.755*EXP(-0.0046*($D23-20))*($D23+273.15))^-1.5*$EK23^0.5/(1+'Elements and ions'!$D$18*$EK23^0.5/(2*(79.755*EXP(-0.0046*($D23-20))*($D23+273.15))^0.5)))</f>
        <v>0.66387738480356606</v>
      </c>
      <c r="GK23" s="94">
        <f>10^(-1825000*(79.755*EXP(-0.0046*($D23-20))*($D23+273.15))^-1.5*$EK23^0.5/(1+'Elements and ions'!$I$7*$EK23^0.5/(2*(79.755*EXP(-0.0046*($D23-20))*($D23+273.15))^0.5)))</f>
        <v>0.66387738480356606</v>
      </c>
      <c r="GL23" s="94">
        <f>10^(-1825000*(79.755*EXP(-0.0046*($D23-20))*($D23+273.15))^-1.5*$EK23^0.5/(1+'Elements and ions'!$D$10*$EK23^0.5/(2*(79.755*EXP(-0.0046*($D23-20))*($D23+273.15))^0.5)))</f>
        <v>0.67875167874147635</v>
      </c>
      <c r="GM23" s="95">
        <f>10^(-1825000*(79.755*EXP(-0.0046*($D23-20))*($D23+273.15))^-1.5*4*$EK23^0.5/(1+'Elements and ions'!$I$5*$EK23^0.5/(2*(79.755*EXP(-0.0046*($D23-20))*($D23+273.15))^0.5)))</f>
        <v>0.22981878158818148</v>
      </c>
      <c r="GN23" s="96"/>
      <c r="GO23" s="101">
        <f t="shared" si="287"/>
        <v>6.0234008002567549E-3</v>
      </c>
      <c r="GP23" s="94" t="str">
        <f t="shared" si="288"/>
        <v/>
      </c>
      <c r="GQ23" s="94">
        <f t="shared" si="289"/>
        <v>3.6830254332483607E-3</v>
      </c>
      <c r="GR23" s="94">
        <f t="shared" si="290"/>
        <v>5.0771134675701209E-3</v>
      </c>
      <c r="GS23" s="95">
        <f t="shared" si="291"/>
        <v>1.2687255938864595E-2</v>
      </c>
      <c r="GT23" s="101">
        <f t="shared" si="292"/>
        <v>1.1354675088505252E-7</v>
      </c>
      <c r="GU23" s="94" t="str">
        <f t="shared" si="293"/>
        <v/>
      </c>
      <c r="GV23" s="94">
        <f t="shared" si="294"/>
        <v>4.4941351184062239E-3</v>
      </c>
      <c r="GW23" s="94" t="str">
        <f t="shared" si="295"/>
        <v/>
      </c>
      <c r="GX23" s="94">
        <f t="shared" si="296"/>
        <v>9.2889615308713869E-4</v>
      </c>
      <c r="GY23" s="102">
        <f t="shared" si="297"/>
        <v>2.0335277657481086E-2</v>
      </c>
      <c r="GZ23" s="199"/>
      <c r="HA23" s="92" t="str">
        <f>IF(AND(GQ23&lt;&gt;"",GU23&lt;&gt;""),LOG(GQ23*GU23/Minerals!$C$6),"")</f>
        <v/>
      </c>
      <c r="HB23" s="94" t="str">
        <f>IF(AND(GQ23&lt;&gt;"",GU23&lt;&gt;""),LOG(GQ23*GU23/Minerals!$C$5),"")</f>
        <v/>
      </c>
      <c r="HC23" s="94">
        <f>IF(AND(GQ23&lt;&gt;"",GX23&lt;&gt;""),LOG(GQ23*GX23^2/Minerals!$C$2),"")</f>
        <v>2.0720639909545979</v>
      </c>
      <c r="HD23" s="94">
        <f>IF(AND(GQ23&lt;&gt;"",GY23&lt;&gt;""),LOG($GQ23*$GY23/Minerals!$C$3),"")</f>
        <v>0.4744351894637619</v>
      </c>
      <c r="HE23" s="102">
        <f>IF(AND(GQ23&lt;&gt;"",GY23&lt;&gt;""),LOG($GQ23*$GY23/Minerals!$C$3),"")</f>
        <v>0.4744351894637619</v>
      </c>
      <c r="HF23" s="199"/>
      <c r="HG23" s="92" t="str">
        <f>IF(HA23&lt;&gt;"",LOG(GQ23*GU23/(EXP(-1*Minerals!$E$6/'Other Constants'!$B$2*(1/(273.15+'ppm-mgL-1'!$D23)-1/298.15)+LN(Minerals!$C$6)))),"")</f>
        <v/>
      </c>
      <c r="HH23" s="94" t="str">
        <f>IF(HA23&lt;&gt;"",LOG(GQ23*GU23/(EXP(-1*Minerals!$E$5/'Other Constants'!$B$2*(1/(273.15+'ppm-mgL-1'!$D23)-1/298.15)+LN(Minerals!$C$5)))),"")</f>
        <v/>
      </c>
      <c r="HI23" s="94">
        <f>IF(HC23&lt;&gt;"",LOG(GQ23*GX23^2/(EXP(-1*Minerals!$E$2/'Other Constants'!$B$2*(1/(273.15+'ppm-mgL-1'!$D23)-1/298.15)+LN(Minerals!$C$2)))),"")</f>
        <v>2.2076124410969054</v>
      </c>
      <c r="HJ23" s="94">
        <f>IF(HD23&lt;&gt;"",LOG($FF23*$FN23/(EXP(-1*Minerals!$E$3/'Other Constants'!$B$2*(1/(273.15+'ppm-mgL-1'!$D23)-1/298.15)+LN(Minerals!$C$3)))),"")</f>
        <v>3.0153661556721083</v>
      </c>
      <c r="HK23" s="95">
        <f>IF(HE23&lt;&gt;"",LOG($FF23*$FN23/(EXP(-1*Minerals!$E$4/'Other Constants'!$B$2*(1/(273.15+'ppm-mgL-1'!$D23)-1/298.15)+LN(Minerals!$C$4)))),"")</f>
        <v>-6.7551455610282113E-2</v>
      </c>
      <c r="HL23" s="199"/>
      <c r="HM23" s="199"/>
    </row>
    <row r="24" spans="1:221" x14ac:dyDescent="0.25">
      <c r="A24" s="217" t="s">
        <v>294</v>
      </c>
      <c r="B24" s="6">
        <v>202</v>
      </c>
      <c r="C24" s="218">
        <v>31371</v>
      </c>
      <c r="D24" s="3">
        <v>15.5</v>
      </c>
      <c r="E24" s="6">
        <v>6.74</v>
      </c>
      <c r="F24" s="6">
        <v>1.9</v>
      </c>
      <c r="G24" s="6">
        <v>1930</v>
      </c>
      <c r="H24" s="5"/>
      <c r="I24" s="3">
        <f t="shared" si="54"/>
        <v>14.109688400238209</v>
      </c>
      <c r="J24" s="4">
        <f t="shared" si="55"/>
        <v>0.80771681865600964</v>
      </c>
      <c r="K24" s="3">
        <f t="shared" si="56"/>
        <v>8.2993768004764146</v>
      </c>
      <c r="L24" s="4">
        <f t="shared" si="1"/>
        <v>0.47510235775264376</v>
      </c>
      <c r="M24" s="3">
        <f t="shared" si="0"/>
        <v>10.411375795151736</v>
      </c>
      <c r="N24" s="4">
        <f t="shared" ref="N24" si="334">IF(M24&lt;&gt;"", IF($D24&lt;&gt;"",M24*2.303*0.0019858*($D24+273.15)/23.06, 0.059*M24),"")</f>
        <v>0.59600489369773535</v>
      </c>
      <c r="O24" s="3">
        <f t="shared" si="2"/>
        <v>3.4269842952740728</v>
      </c>
      <c r="P24" s="4">
        <f t="shared" ref="P24" si="335">IF(O24&lt;&gt;"", IF($D24&lt;&gt;"",O24*2.303*0.0019858*($D24+273.15)/23.06, 0.059*O24),"")</f>
        <v>0.19617958767368313</v>
      </c>
      <c r="Q24" s="3">
        <f t="shared" si="3"/>
        <v>-2.7030157047259262</v>
      </c>
      <c r="R24" s="4">
        <f t="shared" ref="R24" si="336">IF(Q24&lt;&gt;"", IF($D24&lt;&gt;"",Q24*2.303*0.0019858*($D24+273.15)/23.06, 0.059*Q24),"")</f>
        <v>-0.15473561030317282</v>
      </c>
      <c r="S24" s="3">
        <f t="shared" si="4"/>
        <v>2.0269842952740742</v>
      </c>
      <c r="T24" s="4">
        <f t="shared" ref="T24" si="337">IF(S24&lt;&gt;"", IF($D24&lt;&gt;"",S24*2.303*0.0019858*($D24+273.15)/23.06, 0.059*S24),"")</f>
        <v>0.11603582304601627</v>
      </c>
      <c r="U24" s="3">
        <f>IF(AND($E24&lt;&gt;"",$CX24&lt;&gt;"",$DG24&lt;&gt;""),IF($E24&lt;7,5.12-5/4*$E24+1/8*LOG($CX24/$DG24),4.25-9/8*$E24+1/8*(LOG($CX24)-$E24-LOG($DG24)+pKa!$B$3)),"")</f>
        <v>-3.1659020013317511</v>
      </c>
      <c r="V24" s="4">
        <f t="shared" ref="V24" si="338">IF(U24&lt;&gt;"", IF($D24&lt;&gt;"",U24*2.303*0.0019858*($D24+273.15)/23.06, 0.059*U24),"")</f>
        <v>-0.18123378916356542</v>
      </c>
      <c r="W24" s="3" t="str">
        <f t="shared" si="5"/>
        <v/>
      </c>
      <c r="X24" s="4" t="str">
        <f t="shared" ref="X24" si="339">IF(W24&lt;&gt;"", IF($D24&lt;&gt;"",W24*2.303*0.0019858*($D24+273.15)/23.06, 0.059*W24),"")</f>
        <v/>
      </c>
      <c r="Y24" s="3" t="str">
        <f t="shared" si="6"/>
        <v/>
      </c>
      <c r="Z24" s="4" t="str">
        <f t="shared" ref="Z24" si="340">IF(Y24&lt;&gt;"", IF($D24&lt;&gt;"",Y24*2.303*0.0019858*($D24+273.15)/23.06, 0.059*Y24),"")</f>
        <v/>
      </c>
      <c r="AA24" s="3" t="str">
        <f t="shared" si="7"/>
        <v/>
      </c>
      <c r="AB24" s="4" t="str">
        <f t="shared" ref="AB24" si="341">IF(AA24&lt;&gt;"", IF($D24&lt;&gt;"",AA24*2.303*0.0019858*($D24+273.15)/23.06, 0.059*AA24),"")</f>
        <v/>
      </c>
      <c r="AD24" s="83">
        <f>IF(E24&lt;&gt;"",10^(-2*$E24)/(10^(-2*$E24)+10^(-$E24-pKa!$B$2)+(10^(-pKa!$B$2-pKa!$C$2))),"")</f>
        <v>0.26631248661827761</v>
      </c>
      <c r="AE24" s="84">
        <f>IF(E24&lt;&gt;"",10^(-$E24-pKa!$B$2)/(10^(-2*$E24)+10^(-$E24-pKa!$B$2)+10^(-pKa!$B$2-pKa!$C$2)),"")</f>
        <v>0.73348549470142355</v>
      </c>
      <c r="AF24" s="212">
        <f>IF(E24&lt;&gt;"",10^(-pKa!$B$2-pKa!$C$2)/(10^(-2*$E24)+10^(-$E24-pKa!$B$2)+10^(-pKa!$B$2-pKa!$C$2)),"")</f>
        <v>2.0201868029888452E-4</v>
      </c>
      <c r="AG24" s="152"/>
      <c r="AH24" s="222">
        <f>IF($AK24&lt;&gt;"",$AK24/'Elements and ions'!$G$3,IF($E24="","",""))</f>
        <v>2.8025050133700797</v>
      </c>
      <c r="AI24" s="85">
        <f t="shared" si="314"/>
        <v>3.8187016137317476E-3</v>
      </c>
      <c r="AJ24" s="84">
        <f>IF(AI24&lt;&gt;"",AI24*1000*'Elements and ions'!$B$7,"")</f>
        <v>45.865279472047902</v>
      </c>
      <c r="AK24" s="99">
        <v>171</v>
      </c>
      <c r="AL24" s="88">
        <f>IF($AK24&lt;&gt;"",$AK24/'Elements and ions'!$G$3*Minerals!$B$6/2,IF($E24="","","Enter Alk(HCO3-)"))</f>
        <v>140.24701951133491</v>
      </c>
      <c r="AM24" s="199"/>
      <c r="AN24" s="101">
        <f t="shared" si="8"/>
        <v>1.0169679224061312E-3</v>
      </c>
      <c r="AO24" s="94">
        <f t="shared" si="9"/>
        <v>2.8009622422651551E-3</v>
      </c>
      <c r="AP24" s="95">
        <f t="shared" si="10"/>
        <v>7.7144906046130835E-7</v>
      </c>
      <c r="AQ24" s="199"/>
      <c r="AR24" s="199"/>
      <c r="AS24" s="83">
        <f t="shared" si="66"/>
        <v>2.9910821247239148</v>
      </c>
      <c r="AT24" s="83">
        <f>IF(AN24&lt;&gt;"",AN24/'Henrys law constants'!$B$7*1000000,"")</f>
        <v>29910.82124723915</v>
      </c>
      <c r="AU24" s="3">
        <v>50</v>
      </c>
      <c r="AV24" s="6"/>
      <c r="AW24" s="6">
        <v>290</v>
      </c>
      <c r="AX24" s="6">
        <v>66</v>
      </c>
      <c r="AY24" s="226">
        <f>AO24*'Elements and ions'!$G$3*1000</f>
        <v>170.90586498233421</v>
      </c>
      <c r="AZ24" s="6">
        <v>70</v>
      </c>
      <c r="BA24" s="6"/>
      <c r="BB24" s="5">
        <v>710</v>
      </c>
      <c r="BC24" s="226"/>
      <c r="BD24" s="6">
        <v>0.08</v>
      </c>
      <c r="BE24" s="6">
        <v>0.1</v>
      </c>
      <c r="BF24" s="6">
        <v>0.03</v>
      </c>
      <c r="BG24" s="5"/>
      <c r="BH24" s="3"/>
      <c r="BJ24" s="92">
        <f>IF($AN24&lt;&gt;"",$AN24*'Elements and ions'!$G$2*1000,"")</f>
        <v>63.077211654297344</v>
      </c>
      <c r="BK24" s="229">
        <f>24*0.6671</f>
        <v>16.010400000000001</v>
      </c>
      <c r="BL24" s="230"/>
      <c r="BM24" s="101"/>
      <c r="BO24" s="102"/>
      <c r="BP24" s="6"/>
      <c r="BQ24" s="5"/>
      <c r="BR24" s="195"/>
      <c r="BS24" s="238">
        <f>IF($AU24&lt;&gt;"",$AU24/'Elements and ions'!$B$12,"")</f>
        <v>2.1748804605663272</v>
      </c>
      <c r="BT24" s="239" t="str">
        <f>IF($AV24&lt;&gt;"",$AV24/'Elements and ions'!$B$20,"")</f>
        <v/>
      </c>
      <c r="BU24" s="239">
        <f>IF($AW24&lt;&gt;"",$AW24/'Elements and ions'!$B$21, "")</f>
        <v>7.2358900144717797</v>
      </c>
      <c r="BV24" s="240">
        <f>IF($AX24&lt;&gt;"",$AX24/'Elements and ions'!$B$13, "")</f>
        <v>2.7154906397860521</v>
      </c>
      <c r="BW24" s="238">
        <f>IF($AY24&lt;&gt;"",$AY24/'Elements and ions'!$G$3,"")</f>
        <v>2.8009622422651552</v>
      </c>
      <c r="BX24" s="239">
        <f>IF($AZ24&lt;&gt;"",$AZ24/'Elements and ions'!$B$18,"")</f>
        <v>1.9744450399119959</v>
      </c>
      <c r="BY24" s="239" t="str">
        <f>IF($BA24&lt;&gt;"",$BA24/'Elements and ions'!$G$7,"")</f>
        <v/>
      </c>
      <c r="BZ24" s="241">
        <f>IF($BB24&lt;&gt;"",$BB24/'Elements and ions'!$G$5,"")</f>
        <v>7.3910137764332839</v>
      </c>
      <c r="CA24" s="91">
        <f t="shared" si="67"/>
        <v>1.819700858609981E-4</v>
      </c>
      <c r="CB24" s="163">
        <f>IF($BD24&lt;&gt;"",$BD24/'Elements and ions'!$B$14,"")</f>
        <v>2.9649902915469765E-3</v>
      </c>
      <c r="CC24" s="89">
        <f>IF($BE24&lt;&gt;"",$BE24/'Elements and ions'!$B$27, "")</f>
        <v>1.7906706061420004E-3</v>
      </c>
      <c r="CD24" s="249">
        <f>IF($BF24&lt;&gt;"",$BF24/'Elements and ions'!$B$26,"")</f>
        <v>5.4607011540281768E-4</v>
      </c>
      <c r="CE24" s="250" t="str">
        <f>IF($BG24&lt;&gt;"",$BG24/'Elements and ions'!$G$6,"")</f>
        <v/>
      </c>
      <c r="CF24" s="91" t="str">
        <f>IF($BH24&lt;&gt;"",$BH24/'Elements and ions'!$G$15,"")</f>
        <v/>
      </c>
      <c r="CG24" s="89" t="str">
        <f>IF($BI24&lt;&gt;"",$BI24/'Elements and ions'!$G$16,"")</f>
        <v/>
      </c>
      <c r="CH24" s="90">
        <f>IF($BJ24&lt;&gt;"",$BJ24/'Elements and ions'!$G$2,"")</f>
        <v>1.016967922406131</v>
      </c>
      <c r="CI24" s="91">
        <f>IF($BK24&lt;&gt;"",$BK24/'Elements and ions'!$B$15, "")</f>
        <v>0.57005928326004529</v>
      </c>
      <c r="CJ24" s="88" t="str">
        <f>IF($BL24&lt;&gt;"", $BL24/'Elements and ions'!$G$17,"")</f>
        <v/>
      </c>
      <c r="CK24" s="89">
        <f t="shared" si="68"/>
        <v>5.4954087385762359E-5</v>
      </c>
      <c r="CL24" s="163" t="str">
        <f>IF($BN24&lt;&gt;"", $BN24/'Elements and ions'!$G$19,"")</f>
        <v/>
      </c>
      <c r="CM24" s="89" t="str">
        <f>IF($BO24&lt;&gt;"",$BO24/'Elements and ions'!$G$4,"")</f>
        <v/>
      </c>
      <c r="CN24" s="89" t="str">
        <f>IF($BP24&lt;&gt;"",$BP24/'Elements and ions'!$B$10,"")</f>
        <v/>
      </c>
      <c r="CO24" s="104" t="str">
        <f>IF($BQ24&lt;&gt;"",$BQ24/'Elements and ions'!$G$18,"")</f>
        <v/>
      </c>
      <c r="CP24" s="242"/>
      <c r="CQ24" s="238">
        <f t="shared" si="239"/>
        <v>2.1748804605663274E-3</v>
      </c>
      <c r="CR24" s="239" t="str">
        <f t="shared" si="240"/>
        <v/>
      </c>
      <c r="CS24" s="239">
        <f t="shared" si="241"/>
        <v>7.2358900144717797E-3</v>
      </c>
      <c r="CT24" s="241">
        <f t="shared" si="242"/>
        <v>2.7154906397860519E-3</v>
      </c>
      <c r="CU24" s="238">
        <f t="shared" si="243"/>
        <v>2.8009622422651551E-3</v>
      </c>
      <c r="CV24" s="239">
        <f t="shared" si="244"/>
        <v>1.974445039911996E-3</v>
      </c>
      <c r="CW24" s="239" t="str">
        <f t="shared" si="245"/>
        <v/>
      </c>
      <c r="CX24" s="241">
        <f t="shared" si="246"/>
        <v>7.3910137764332841E-3</v>
      </c>
      <c r="CY24" s="258">
        <f t="shared" si="98"/>
        <v>1.8197008586099811E-7</v>
      </c>
      <c r="CZ24" s="259">
        <f t="shared" si="247"/>
        <v>2.9649902915469766E-6</v>
      </c>
      <c r="DA24" s="260">
        <f t="shared" si="248"/>
        <v>1.7906706061420004E-6</v>
      </c>
      <c r="DB24" s="261">
        <f t="shared" si="249"/>
        <v>5.460701154028177E-7</v>
      </c>
      <c r="DC24" s="262" t="str">
        <f t="shared" si="250"/>
        <v/>
      </c>
      <c r="DD24" s="263" t="str">
        <f t="shared" si="251"/>
        <v/>
      </c>
      <c r="DE24" s="259" t="str">
        <f t="shared" si="252"/>
        <v/>
      </c>
      <c r="DF24" s="260">
        <f t="shared" si="253"/>
        <v>1.016967922406131E-3</v>
      </c>
      <c r="DG24" s="260">
        <f t="shared" si="254"/>
        <v>5.7005928326004534E-4</v>
      </c>
      <c r="DH24" s="264" t="str">
        <f t="shared" si="255"/>
        <v/>
      </c>
      <c r="DI24" s="258">
        <f t="shared" si="108"/>
        <v>5.4954087385762357E-8</v>
      </c>
      <c r="DJ24" s="260" t="str">
        <f t="shared" si="256"/>
        <v/>
      </c>
      <c r="DK24" s="260" t="str">
        <f t="shared" si="257"/>
        <v/>
      </c>
      <c r="DL24" s="260" t="str">
        <f t="shared" si="258"/>
        <v/>
      </c>
      <c r="DM24" s="265" t="str">
        <f t="shared" si="259"/>
        <v/>
      </c>
      <c r="DN24" s="242"/>
      <c r="DO24" s="238">
        <f t="shared" si="260"/>
        <v>2.1748804605663272</v>
      </c>
      <c r="DP24" s="239">
        <f t="shared" si="261"/>
        <v>0</v>
      </c>
      <c r="DQ24" s="239">
        <f t="shared" si="262"/>
        <v>14.471780028943559</v>
      </c>
      <c r="DR24" s="241">
        <f t="shared" si="263"/>
        <v>5.4309812795721042</v>
      </c>
      <c r="DS24" s="238">
        <f t="shared" si="264"/>
        <v>-2.8009622422651552</v>
      </c>
      <c r="DT24" s="239"/>
      <c r="DU24" s="239"/>
      <c r="DV24" s="241"/>
      <c r="DW24" s="91">
        <f t="shared" si="113"/>
        <v>1.819700858609981E-4</v>
      </c>
      <c r="DX24" s="89">
        <f t="shared" si="265"/>
        <v>8.8949708746409294E-3</v>
      </c>
      <c r="DY24" s="89">
        <f t="shared" si="266"/>
        <v>3.5813412122840007E-3</v>
      </c>
      <c r="DZ24" s="89">
        <f t="shared" si="267"/>
        <v>1.0921402308056354E-3</v>
      </c>
      <c r="EA24" s="90">
        <f t="shared" si="268"/>
        <v>0</v>
      </c>
      <c r="EB24" s="91">
        <f t="shared" si="118"/>
        <v>-5.4954087385762359E-5</v>
      </c>
      <c r="EC24" s="89">
        <f t="shared" si="269"/>
        <v>0</v>
      </c>
      <c r="ED24" s="89">
        <f t="shared" si="270"/>
        <v>0</v>
      </c>
      <c r="EE24" s="89">
        <f t="shared" si="271"/>
        <v>0</v>
      </c>
      <c r="EF24" s="90">
        <f t="shared" si="272"/>
        <v>0</v>
      </c>
      <c r="EG24" s="242"/>
      <c r="EH24" s="245">
        <f t="shared" si="273"/>
        <v>22.091392191485589</v>
      </c>
      <c r="EI24" s="246">
        <f t="shared" si="274"/>
        <v>-2.8010171963525412</v>
      </c>
      <c r="EJ24" s="198">
        <f t="shared" si="275"/>
        <v>77.49500940056808</v>
      </c>
      <c r="EK24" s="198">
        <f t="shared" si="27"/>
        <v>4.2300606650871646E-2</v>
      </c>
      <c r="EL24" s="101"/>
      <c r="EM24" s="94" t="str">
        <f>IF(AND(CS24&lt;&gt;"",DK24&lt;&gt;""),LOG(CS24*DK24/Minerals!$C$5),"")</f>
        <v/>
      </c>
      <c r="EN24" s="94" t="str">
        <f>IF(AND(CS24&lt;&gt;"",DL24&lt;&gt;""),LOG(CS24*DL24^2/Minerals!$C$2),"")</f>
        <v/>
      </c>
      <c r="EO24" s="94">
        <f>IF(AND(CS24&lt;&gt;"",CX24&lt;&gt;""),LOG($CS24*$CX24/Minerals!$C$3),"")</f>
        <v>0.32817633367639992</v>
      </c>
      <c r="EP24" s="95">
        <f>IF(AND(CS24&lt;&gt;"",CX24&lt;&gt;""),LOG($CS24*$CX24/Minerals!$C$4),"")</f>
        <v>8.8191822210497525E-2</v>
      </c>
      <c r="EQ24" s="199"/>
      <c r="ER24" s="101">
        <f t="shared" si="315"/>
        <v>0.82168771231054016</v>
      </c>
      <c r="ES24" s="94">
        <f t="shared" si="315"/>
        <v>0.82168771231054016</v>
      </c>
      <c r="ET24" s="94">
        <f t="shared" si="316"/>
        <v>0.45585546949619049</v>
      </c>
      <c r="EU24" s="94">
        <f t="shared" si="316"/>
        <v>0.45585546949619049</v>
      </c>
      <c r="EV24" s="95">
        <f t="shared" si="316"/>
        <v>0.45585546949619049</v>
      </c>
      <c r="EW24" s="101">
        <f t="shared" si="317"/>
        <v>0.82168771231054016</v>
      </c>
      <c r="EX24" s="94">
        <f t="shared" si="31"/>
        <v>0.45585546949619049</v>
      </c>
      <c r="EY24" s="94">
        <f t="shared" si="317"/>
        <v>0.82168771231054016</v>
      </c>
      <c r="EZ24" s="94">
        <f t="shared" si="317"/>
        <v>0.82168771231054016</v>
      </c>
      <c r="FA24" s="94">
        <f t="shared" si="165"/>
        <v>0.82168771231054016</v>
      </c>
      <c r="FB24" s="95">
        <f t="shared" si="32"/>
        <v>0.45585546949619049</v>
      </c>
      <c r="FC24" s="199"/>
      <c r="FD24" s="101">
        <f t="shared" si="276"/>
        <v>1.7870725501916394E-3</v>
      </c>
      <c r="FE24" s="94" t="str">
        <f t="shared" si="277"/>
        <v/>
      </c>
      <c r="FF24" s="94">
        <f t="shared" si="278"/>
        <v>3.2985200397698299E-3</v>
      </c>
      <c r="FG24" s="94">
        <f t="shared" si="279"/>
        <v>1.2378712605121815E-3</v>
      </c>
      <c r="FH24" s="95">
        <f t="shared" si="280"/>
        <v>8.1628698987588961E-7</v>
      </c>
      <c r="FI24" s="101">
        <f t="shared" si="281"/>
        <v>2.3015162571150562E-3</v>
      </c>
      <c r="FJ24" s="94" t="str">
        <f t="shared" si="282"/>
        <v/>
      </c>
      <c r="FK24" s="94">
        <f t="shared" si="283"/>
        <v>1.6223772279281813E-3</v>
      </c>
      <c r="FL24" s="94" t="str">
        <f t="shared" si="284"/>
        <v/>
      </c>
      <c r="FM24" s="94" t="str">
        <f t="shared" si="285"/>
        <v/>
      </c>
      <c r="FN24" s="95">
        <f t="shared" si="286"/>
        <v>3.3692340551088064E-3</v>
      </c>
      <c r="FO24" s="199"/>
      <c r="FP24" s="101" t="str">
        <f>IF(EL24&lt;&gt;"",LOG(FF24*FJ24/Minerals!$C$6),"")</f>
        <v/>
      </c>
      <c r="FQ24" s="94" t="str">
        <f>IF(EL24&lt;&gt;"",LOG(FF24*FJ24/Minerals!$C$5),"")</f>
        <v/>
      </c>
      <c r="FR24" s="94" t="str">
        <f>IF(EN24&lt;&gt;"",LOG(FF24*FM24^2/Minerals!$C$2),"")</f>
        <v/>
      </c>
      <c r="FS24" s="94">
        <f>IF(EO24&lt;&gt;"",LOG($FF24*$FN24/Minerals!$C$3),"")</f>
        <v>-0.35416932638836573</v>
      </c>
      <c r="FT24" s="95">
        <f>IF(EP24&lt;&gt;"",LOG($FF24*$FN24/Minerals!$C$4),"")</f>
        <v>-0.59415383785426812</v>
      </c>
      <c r="FU24" s="96"/>
      <c r="FV24" s="101" t="str">
        <f>IF(FP24&lt;&gt;"",LOG(FF24*FJ24/(EXP(-1*Minerals!$E$6/'Other Constants'!$B$2*(1/(273.15+'ppm-mgL-1'!$D24)-1/298.15)+LN(Minerals!$C$6)))),"")</f>
        <v/>
      </c>
      <c r="FW24" s="94" t="str">
        <f>IF(FP24&lt;&gt;"",LOG(FF24*FJ24/(EXP(-1*Minerals!$E$5/'Other Constants'!$B$2*(1/(273.15+'ppm-mgL-1'!$D24)-1/298.15)+LN(Minerals!$C$5)))),"")</f>
        <v/>
      </c>
      <c r="FX24" s="94" t="str">
        <f>IF(FR24&lt;&gt;"",LOG(FF24*FM24^2/(EXP(-1*Minerals!$E$2/'Other Constants'!$B$2*(1/(273.15+'ppm-mgL-1'!$D24)-1/298.15)+LN(Minerals!$C$2)))),"")</f>
        <v/>
      </c>
      <c r="FY24" s="94">
        <f>IF(FS24&lt;&gt;"",LOG($FF24*$FN24/(EXP(-1*Minerals!$E$3/'Other Constants'!$B$2*(1/(273.15+'ppm-mgL-1'!$D24)-1/298.15)+LN(Minerals!$C$3)))),"")</f>
        <v>2.9448489658161394</v>
      </c>
      <c r="FZ24" s="95">
        <f>IF(FT24&lt;&gt;"",LOG($FF24*$FN24/(EXP(-1*Minerals!$E$4/'Other Constants'!$B$2*(1/(273.15+'ppm-mgL-1'!$D24)-1/298.15)+LN(Minerals!$C$4)))),"")</f>
        <v>-0.68866225172184925</v>
      </c>
      <c r="GA24" s="96"/>
      <c r="GB24" s="96"/>
      <c r="GC24" s="101">
        <f>10^(-1825000*(79.755*EXP(-0.0046*($D24-20))*($D24+273.15))^-1.5*$EK24^0.5/(1+'Elements and ions'!$D$12*$EK24^0.5/(2*(79.755*EXP(-0.0046*($D24-20))*($D24+273.15))^0.5)))</f>
        <v>0.82768411929623276</v>
      </c>
      <c r="GD24" s="94">
        <f>10^(-1825000*(79.755*EXP(-0.0046*($D24-20))*($D24+273.15))^-1.5*$EK24^0.5/(1+'Elements and ions'!$D$20*$EK24^0.5/(2*(79.755*EXP(-0.0046*($D24-20))*($D24+273.15))^0.5)))</f>
        <v>0.81898901642820987</v>
      </c>
      <c r="GE24" s="94">
        <f>10^(-1825000*(79.755*EXP(-0.0046*($D24-20))*($D24+273.15))^-1.5*4*$EK24^0.5/(1+'Elements and ions'!$D$21*$EK24^0.5/(2*(79.755*EXP(-0.0046*($D24-20))*($D24+273.15))^0.5)))</f>
        <v>0.50452883712098284</v>
      </c>
      <c r="GF24" s="94">
        <f>10^(-1825000*(79.755*EXP(-0.0046*($D24-20))*($D24+273.15))^-1.5*4*$EK24^0.5/(1+'Elements and ions'!$D$13*$EK24^0.5/(2*(79.755*EXP(-0.0046*($D24-20))*($D24+273.15))^0.5)))</f>
        <v>0.5355818735278528</v>
      </c>
      <c r="GG24" s="95">
        <f>10^(-1825000*(79.755*EXP(-0.0046*($D24-20))*($D24+273.15))^-1.5*4*$EK24^0.5/(1+'Elements and ions'!$D$27*$EK24^0.5/(2*(79.755*EXP(-0.0046*($D24-20))*($D24+273.15))^0.5)))</f>
        <v>0.50452883712098284</v>
      </c>
      <c r="GH24" s="101">
        <f>10^(-1825000*(79.755*EXP(-0.0046*($D24-20))*($D24+273.15))^-1.5*$EK24^0.5/(1+'Elements and ions'!$G$3*$EK24^0.5/(2*(79.755*EXP(-0.0046*($D24-20))*($D24+273.15))^0.5)))</f>
        <v>0.79418672713948379</v>
      </c>
      <c r="GI24" s="94">
        <f>10^(-1825000*(79.755*EXP(-0.0046*($D24-20))*($D24+273.15))^-1.5*4*$EK24^0.5/(1+'Elements and ions'!$G$4*$EK24^0.5/(2*(79.755*EXP(-0.0046*($D24-20))*($D24+273.15))^0.5)))</f>
        <v>0.39758529909408241</v>
      </c>
      <c r="GJ24" s="94">
        <f>10^(-1825000*(79.755*EXP(-0.0046*($D24-20))*($D24+273.15))^-1.5*$EK24^0.5/(1+'Elements and ions'!$D$18*$EK24^0.5/(2*(79.755*EXP(-0.0046*($D24-20))*($D24+273.15))^0.5)))</f>
        <v>0.81898901642820987</v>
      </c>
      <c r="GK24" s="94">
        <f>10^(-1825000*(79.755*EXP(-0.0046*($D24-20))*($D24+273.15))^-1.5*$EK24^0.5/(1+'Elements and ions'!$I$7*$EK24^0.5/(2*(79.755*EXP(-0.0046*($D24-20))*($D24+273.15))^0.5)))</f>
        <v>0.81898901642820987</v>
      </c>
      <c r="GL24" s="94">
        <f>10^(-1825000*(79.755*EXP(-0.0046*($D24-20))*($D24+273.15))^-1.5*$EK24^0.5/(1+'Elements and ions'!$D$10*$EK24^0.5/(2*(79.755*EXP(-0.0046*($D24-20))*($D24+273.15))^0.5)))</f>
        <v>0.82344318658584414</v>
      </c>
      <c r="GM24" s="95">
        <f>10^(-1825000*(79.755*EXP(-0.0046*($D24-20))*($D24+273.15))^-1.5*4*$EK24^0.5/(1+'Elements and ions'!$I$5*$EK24^0.5/(2*(79.755*EXP(-0.0046*($D24-20))*($D24+273.15))^0.5)))</f>
        <v>0.46930857555036026</v>
      </c>
      <c r="GN24" s="96"/>
      <c r="GO24" s="101">
        <f t="shared" si="287"/>
        <v>1.8001140185784257E-3</v>
      </c>
      <c r="GP24" s="94" t="str">
        <f t="shared" si="288"/>
        <v/>
      </c>
      <c r="GQ24" s="94">
        <f t="shared" si="289"/>
        <v>3.6507151745367788E-3</v>
      </c>
      <c r="GR24" s="94">
        <f t="shared" si="290"/>
        <v>1.4543675644039613E-3</v>
      </c>
      <c r="GS24" s="95">
        <f t="shared" si="291"/>
        <v>9.0344495858354888E-7</v>
      </c>
      <c r="GT24" s="101">
        <f t="shared" si="292"/>
        <v>2.2244870360258336E-3</v>
      </c>
      <c r="GU24" s="94" t="str">
        <f t="shared" si="293"/>
        <v/>
      </c>
      <c r="GV24" s="94">
        <f t="shared" si="294"/>
        <v>1.6170488012290831E-3</v>
      </c>
      <c r="GW24" s="94" t="str">
        <f t="shared" si="295"/>
        <v/>
      </c>
      <c r="GX24" s="94" t="str">
        <f t="shared" si="296"/>
        <v/>
      </c>
      <c r="GY24" s="102">
        <f t="shared" si="297"/>
        <v>3.4686661472909932E-3</v>
      </c>
      <c r="GZ24" s="199"/>
      <c r="HA24" s="92" t="str">
        <f>IF(AND(GQ24&lt;&gt;"",GU24&lt;&gt;""),LOG(GQ24*GU24/Minerals!$C$6),"")</f>
        <v/>
      </c>
      <c r="HB24" s="94" t="str">
        <f>IF(AND(GQ24&lt;&gt;"",GU24&lt;&gt;""),LOG(GQ24*GU24/Minerals!$C$5),"")</f>
        <v/>
      </c>
      <c r="HC24" s="94" t="str">
        <f>IF(AND(GQ24&lt;&gt;"",GX24&lt;&gt;""),LOG(GQ24*GX24^2/Minerals!$C$2),"")</f>
        <v/>
      </c>
      <c r="HD24" s="94">
        <f>IF(AND(GQ24&lt;&gt;"",GY24&lt;&gt;""),LOG($GQ24*$GY24/Minerals!$C$3),"")</f>
        <v>-0.29747918224059861</v>
      </c>
      <c r="HE24" s="102">
        <f>IF(AND(GQ24&lt;&gt;"",GY24&lt;&gt;""),LOG($GQ24*$GY24/Minerals!$C$3),"")</f>
        <v>-0.29747918224059861</v>
      </c>
      <c r="HF24" s="199"/>
      <c r="HG24" s="92" t="str">
        <f>IF(HA24&lt;&gt;"",LOG(GQ24*GU24/(EXP(-1*Minerals!$E$6/'Other Constants'!$B$2*(1/(273.15+'ppm-mgL-1'!$D24)-1/298.15)+LN(Minerals!$C$6)))),"")</f>
        <v/>
      </c>
      <c r="HH24" s="94" t="str">
        <f>IF(HA24&lt;&gt;"",LOG(GQ24*GU24/(EXP(-1*Minerals!$E$5/'Other Constants'!$B$2*(1/(273.15+'ppm-mgL-1'!$D24)-1/298.15)+LN(Minerals!$C$5)))),"")</f>
        <v/>
      </c>
      <c r="HI24" s="94" t="str">
        <f>IF(HC24&lt;&gt;"",LOG(GQ24*GX24^2/(EXP(-1*Minerals!$E$2/'Other Constants'!$B$2*(1/(273.15+'ppm-mgL-1'!$D24)-1/298.15)+LN(Minerals!$C$2)))),"")</f>
        <v/>
      </c>
      <c r="HJ24" s="94">
        <f>IF(HD24&lt;&gt;"",LOG($FF24*$FN24/(EXP(-1*Minerals!$E$3/'Other Constants'!$B$2*(1/(273.15+'ppm-mgL-1'!$D24)-1/298.15)+LN(Minerals!$C$3)))),"")</f>
        <v>2.9448489658161394</v>
      </c>
      <c r="HK24" s="95">
        <f>IF(HE24&lt;&gt;"",LOG($FF24*$FN24/(EXP(-1*Minerals!$E$4/'Other Constants'!$B$2*(1/(273.15+'ppm-mgL-1'!$D24)-1/298.15)+LN(Minerals!$C$4)))),"")</f>
        <v>-0.68866225172184925</v>
      </c>
      <c r="HL24" s="199"/>
      <c r="HM24" s="199"/>
    </row>
    <row r="25" spans="1:221" x14ac:dyDescent="0.25">
      <c r="A25" s="217" t="s">
        <v>294</v>
      </c>
      <c r="B25" s="6">
        <v>302</v>
      </c>
      <c r="C25" s="218">
        <v>31499</v>
      </c>
      <c r="D25" s="3">
        <v>17</v>
      </c>
      <c r="E25" s="6">
        <v>3.7</v>
      </c>
      <c r="F25" s="6">
        <v>0.2</v>
      </c>
      <c r="G25" s="6">
        <v>8700</v>
      </c>
      <c r="H25" s="5"/>
      <c r="I25" s="3">
        <f t="shared" si="54"/>
        <v>16.905257498915997</v>
      </c>
      <c r="J25" s="4">
        <f t="shared" si="55"/>
        <v>0.97277971655249762</v>
      </c>
      <c r="K25" s="3">
        <f t="shared" si="56"/>
        <v>10.85051499783199</v>
      </c>
      <c r="L25" s="4">
        <f t="shared" si="1"/>
        <v>0.62437149535973924</v>
      </c>
      <c r="M25" s="3">
        <f t="shared" si="0"/>
        <v>14.867798487711173</v>
      </c>
      <c r="N25" s="4">
        <f t="shared" ref="N25" si="342">IF(M25&lt;&gt;"", IF($D25&lt;&gt;"",M25*2.303*0.0019858*($D25+273.15)/23.06, 0.059*M25),"")</f>
        <v>0.85553815430275071</v>
      </c>
      <c r="O25" s="3">
        <f t="shared" si="2"/>
        <v>8.2917117901707655</v>
      </c>
      <c r="P25" s="4">
        <f t="shared" ref="P25" si="343">IF(O25&lt;&gt;"", IF($D25&lt;&gt;"",O25*2.303*0.0019858*($D25+273.15)/23.06, 0.059*O25),"")</f>
        <v>0.47713020907812437</v>
      </c>
      <c r="Q25" s="3">
        <f t="shared" si="3"/>
        <v>2.1617117901707656</v>
      </c>
      <c r="R25" s="4">
        <f t="shared" ref="R25" si="344">IF(Q25&lt;&gt;"", IF($D25&lt;&gt;"",Q25*2.303*0.0019858*($D25+273.15)/23.06, 0.059*Q25),"")</f>
        <v>0.12439144346930833</v>
      </c>
      <c r="S25" s="3">
        <f t="shared" si="4"/>
        <v>6.8917117901707661</v>
      </c>
      <c r="T25" s="4">
        <f t="shared" ref="T25" si="345">IF(S25&lt;&gt;"", IF($D25&lt;&gt;"",S25*2.303*0.0019858*($D25+273.15)/23.06, 0.059*S25),"")</f>
        <v>0.39656996897170643</v>
      </c>
      <c r="U25" s="3">
        <f>IF(AND($E25&lt;&gt;"",$CX25&lt;&gt;"",$DG25&lt;&gt;""),IF($E25&lt;7,5.12-5/4*$E25+1/8*LOG($CX25/$DG25),4.25-9/8*$E25+1/8*(LOG($CX25)-$E25-LOG($DG25)+pKa!$B$3)),"")</f>
        <v>0.68825229376723607</v>
      </c>
      <c r="V25" s="4">
        <f t="shared" ref="V25" si="346">IF(U25&lt;&gt;"", IF($D25&lt;&gt;"",U25*2.303*0.0019858*($D25+273.15)/23.06, 0.059*U25),"")</f>
        <v>3.9604121456915352E-2</v>
      </c>
      <c r="W25" s="3" t="str">
        <f t="shared" si="5"/>
        <v/>
      </c>
      <c r="X25" s="4" t="str">
        <f t="shared" ref="X25" si="347">IF(W25&lt;&gt;"", IF($D25&lt;&gt;"",W25*2.303*0.0019858*($D25+273.15)/23.06, 0.059*W25),"")</f>
        <v/>
      </c>
      <c r="Y25" s="3" t="str">
        <f t="shared" si="6"/>
        <v/>
      </c>
      <c r="Z25" s="4" t="str">
        <f t="shared" ref="Z25" si="348">IF(Y25&lt;&gt;"", IF($D25&lt;&gt;"",Y25*2.303*0.0019858*($D25+273.15)/23.06, 0.059*Y25),"")</f>
        <v/>
      </c>
      <c r="AA25" s="3" t="str">
        <f t="shared" si="7"/>
        <v/>
      </c>
      <c r="AB25" s="4" t="str">
        <f t="shared" ref="AB25" si="349">IF(AA25&lt;&gt;"", IF($D25&lt;&gt;"",AA25*2.303*0.0019858*($D25+273.15)/23.06, 0.059*AA25),"")</f>
        <v/>
      </c>
      <c r="AD25" s="83">
        <f>IF(E25&lt;&gt;"",10^(-2*$E25)/(10^(-2*$E25)+10^(-$E25-pKa!$B$2)+(10^(-pKa!$B$2-pKa!$C$2))),"")</f>
        <v>0.99749440670491485</v>
      </c>
      <c r="AE25" s="84">
        <f>IF(E25&lt;&gt;"",10^(-$E25-pKa!$B$2)/(10^(-2*$E25)+10^(-$E25-pKa!$B$2)+10^(-pKa!$B$2-pKa!$C$2)),"")</f>
        <v>2.5055926657087842E-3</v>
      </c>
      <c r="AF25" s="212">
        <f>IF(E25&lt;&gt;"",10^(-pKa!$B$2-pKa!$C$2)/(10^(-2*$E25)+10^(-$E25-pKa!$B$2)+10^(-pKa!$B$2-pKa!$C$2)),"")</f>
        <v>6.2937642198837834E-10</v>
      </c>
      <c r="AG25" s="152"/>
      <c r="AH25" s="222">
        <f>IF($AK25&lt;&gt;"",$AK25/'Elements and ions'!$G$3,IF($E25="","",""))</f>
        <v>0</v>
      </c>
      <c r="AI25" s="85">
        <f t="shared" si="314"/>
        <v>7.9632289745847784E-5</v>
      </c>
      <c r="AJ25" s="84">
        <f>IF(AI25&lt;&gt;"",AI25*1000*'Elements and ions'!$B$7,"")</f>
        <v>0.95643954245045393</v>
      </c>
      <c r="AK25" s="99">
        <v>0</v>
      </c>
      <c r="AL25" s="88">
        <f>IF($AK25&lt;&gt;"",$AK25/'Elements and ions'!$G$3*Minerals!$B$6/2,IF($E25="","","Enter Alk(HCO3-)"))</f>
        <v>0</v>
      </c>
      <c r="AM25" s="199"/>
      <c r="AN25" s="101">
        <f t="shared" si="8"/>
        <v>7.9432763614588304E-5</v>
      </c>
      <c r="AO25" s="94">
        <f t="shared" si="9"/>
        <v>1.9952608114079303E-7</v>
      </c>
      <c r="AP25" s="95">
        <f t="shared" si="10"/>
        <v>5.0118685594983509E-14</v>
      </c>
      <c r="AQ25" s="199"/>
      <c r="AR25" s="199"/>
      <c r="AS25" s="83">
        <f t="shared" si="66"/>
        <v>0.23362577533702442</v>
      </c>
      <c r="AT25" s="83">
        <f>IF(AN25&lt;&gt;"",AN25/'Henrys law constants'!$B$7*1000000,"")</f>
        <v>2336.2577533702442</v>
      </c>
      <c r="AU25" s="3">
        <v>150</v>
      </c>
      <c r="AV25" s="6"/>
      <c r="AW25" s="6">
        <v>410</v>
      </c>
      <c r="AX25" s="6">
        <v>260</v>
      </c>
      <c r="AY25" s="226">
        <f>AO25*'Elements and ions'!$G$3*1000</f>
        <v>1.2174450968794786E-2</v>
      </c>
      <c r="AZ25" s="6">
        <v>250</v>
      </c>
      <c r="BA25" s="6"/>
      <c r="BB25" s="5">
        <v>7300</v>
      </c>
      <c r="BC25" s="226"/>
      <c r="BD25" s="6">
        <v>190</v>
      </c>
      <c r="BE25" s="6">
        <v>1800</v>
      </c>
      <c r="BF25" s="6">
        <v>53</v>
      </c>
      <c r="BG25" s="5"/>
      <c r="BH25" s="3"/>
      <c r="BJ25" s="92">
        <f>IF($AN25&lt;&gt;"",$AN25*'Elements and ions'!$G$2*1000,"")</f>
        <v>4.9267996879868434</v>
      </c>
      <c r="BK25" s="229">
        <f>91*0.6671</f>
        <v>60.706099999999999</v>
      </c>
      <c r="BL25" s="230"/>
      <c r="BM25" s="101"/>
      <c r="BO25" s="102"/>
      <c r="BP25" s="6"/>
      <c r="BQ25" s="5"/>
      <c r="BR25" s="195"/>
      <c r="BS25" s="238">
        <f>IF($AU25&lt;&gt;"",$AU25/'Elements and ions'!$B$12,"")</f>
        <v>6.5246413816989817</v>
      </c>
      <c r="BT25" s="239" t="str">
        <f>IF($AV25&lt;&gt;"",$AV25/'Elements and ions'!$B$20,"")</f>
        <v/>
      </c>
      <c r="BU25" s="239">
        <f>IF($AW25&lt;&gt;"",$AW25/'Elements and ions'!$B$21, "")</f>
        <v>10.230051399770447</v>
      </c>
      <c r="BV25" s="240">
        <f>IF($AX25&lt;&gt;"",$AX25/'Elements and ions'!$B$13, "")</f>
        <v>10.697387368854145</v>
      </c>
      <c r="BW25" s="238">
        <f>IF($AY25&lt;&gt;"",$AY25/'Elements and ions'!$G$3,"")</f>
        <v>1.9952608114079303E-4</v>
      </c>
      <c r="BX25" s="239">
        <f>IF($AZ25&lt;&gt;"",$AZ25/'Elements and ions'!$B$18,"")</f>
        <v>7.0515894282571283</v>
      </c>
      <c r="BY25" s="239" t="str">
        <f>IF($BA25&lt;&gt;"",$BA25/'Elements and ions'!$G$7,"")</f>
        <v/>
      </c>
      <c r="BZ25" s="241">
        <f>IF($BB25&lt;&gt;"",$BB25/'Elements and ions'!$G$5,"")</f>
        <v>75.992113476004192</v>
      </c>
      <c r="CA25" s="91">
        <f t="shared" si="67"/>
        <v>0.19952623149688758</v>
      </c>
      <c r="CB25" s="163">
        <f>IF($BD25&lt;&gt;"",$BD25/'Elements and ions'!$B$14,"")</f>
        <v>7.0418519424240689</v>
      </c>
      <c r="CC25" s="89">
        <f>IF($BE25&lt;&gt;"",$BE25/'Elements and ions'!$B$27, "")</f>
        <v>32.232070910556004</v>
      </c>
      <c r="CD25" s="249">
        <f>IF($BF25&lt;&gt;"",$BF25/'Elements and ions'!$B$26,"")</f>
        <v>0.96472387054497788</v>
      </c>
      <c r="CE25" s="250" t="str">
        <f>IF($BG25&lt;&gt;"",$BG25/'Elements and ions'!$G$6,"")</f>
        <v/>
      </c>
      <c r="CF25" s="91" t="str">
        <f>IF($BH25&lt;&gt;"",$BH25/'Elements and ions'!$G$15,"")</f>
        <v/>
      </c>
      <c r="CG25" s="89" t="str">
        <f>IF($BI25&lt;&gt;"",$BI25/'Elements and ions'!$G$16,"")</f>
        <v/>
      </c>
      <c r="CH25" s="90">
        <f>IF($BJ25&lt;&gt;"",$BJ25/'Elements and ions'!$G$2,"")</f>
        <v>7.94327636145883E-2</v>
      </c>
      <c r="CI25" s="91">
        <f>IF($BK25&lt;&gt;"",$BK25/'Elements and ions'!$B$15, "")</f>
        <v>2.161474782361005</v>
      </c>
      <c r="CJ25" s="88" t="str">
        <f>IF($BL25&lt;&gt;"", $BL25/'Elements and ions'!$G$17,"")</f>
        <v/>
      </c>
      <c r="CK25" s="89">
        <f t="shared" si="68"/>
        <v>5.0118723362726992E-8</v>
      </c>
      <c r="CL25" s="163" t="str">
        <f>IF($BN25&lt;&gt;"", $BN25/'Elements and ions'!$G$19,"")</f>
        <v/>
      </c>
      <c r="CM25" s="89" t="str">
        <f>IF($BO25&lt;&gt;"",$BO25/'Elements and ions'!$G$4,"")</f>
        <v/>
      </c>
      <c r="CN25" s="89" t="str">
        <f>IF($BP25&lt;&gt;"",$BP25/'Elements and ions'!$B$10,"")</f>
        <v/>
      </c>
      <c r="CO25" s="104" t="str">
        <f>IF($BQ25&lt;&gt;"",$BQ25/'Elements and ions'!$G$18,"")</f>
        <v/>
      </c>
      <c r="CP25" s="242"/>
      <c r="CQ25" s="238">
        <f t="shared" si="239"/>
        <v>6.5246413816989817E-3</v>
      </c>
      <c r="CR25" s="239" t="str">
        <f t="shared" si="240"/>
        <v/>
      </c>
      <c r="CS25" s="239">
        <f t="shared" si="241"/>
        <v>1.0230051399770448E-2</v>
      </c>
      <c r="CT25" s="241">
        <f t="shared" si="242"/>
        <v>1.0697387368854144E-2</v>
      </c>
      <c r="CU25" s="238">
        <f t="shared" si="243"/>
        <v>1.9952608114079303E-7</v>
      </c>
      <c r="CV25" s="239">
        <f t="shared" si="244"/>
        <v>7.0515894282571281E-3</v>
      </c>
      <c r="CW25" s="239" t="str">
        <f t="shared" si="245"/>
        <v/>
      </c>
      <c r="CX25" s="241">
        <f t="shared" si="246"/>
        <v>7.5992113476004194E-2</v>
      </c>
      <c r="CY25" s="258">
        <f t="shared" si="98"/>
        <v>1.9952623149688758E-4</v>
      </c>
      <c r="CZ25" s="259">
        <f t="shared" si="247"/>
        <v>7.0418519424240685E-3</v>
      </c>
      <c r="DA25" s="260">
        <f t="shared" si="248"/>
        <v>3.2232070910556007E-2</v>
      </c>
      <c r="DB25" s="261">
        <f t="shared" si="249"/>
        <v>9.6472387054497791E-4</v>
      </c>
      <c r="DC25" s="262" t="str">
        <f t="shared" si="250"/>
        <v/>
      </c>
      <c r="DD25" s="263" t="str">
        <f t="shared" si="251"/>
        <v/>
      </c>
      <c r="DE25" s="259" t="str">
        <f t="shared" si="252"/>
        <v/>
      </c>
      <c r="DF25" s="260">
        <f t="shared" si="253"/>
        <v>7.9432763614588304E-5</v>
      </c>
      <c r="DG25" s="260">
        <f t="shared" si="254"/>
        <v>2.161474782361005E-3</v>
      </c>
      <c r="DH25" s="264" t="str">
        <f t="shared" si="255"/>
        <v/>
      </c>
      <c r="DI25" s="258">
        <f t="shared" si="108"/>
        <v>5.0118723362726993E-11</v>
      </c>
      <c r="DJ25" s="260" t="str">
        <f t="shared" si="256"/>
        <v/>
      </c>
      <c r="DK25" s="260" t="str">
        <f t="shared" si="257"/>
        <v/>
      </c>
      <c r="DL25" s="260" t="str">
        <f t="shared" si="258"/>
        <v/>
      </c>
      <c r="DM25" s="265" t="str">
        <f t="shared" si="259"/>
        <v/>
      </c>
      <c r="DN25" s="242"/>
      <c r="DO25" s="238">
        <f t="shared" si="260"/>
        <v>6.5246413816989817</v>
      </c>
      <c r="DP25" s="239">
        <f t="shared" si="261"/>
        <v>0</v>
      </c>
      <c r="DQ25" s="239">
        <f t="shared" si="262"/>
        <v>20.460102799540895</v>
      </c>
      <c r="DR25" s="241">
        <f t="shared" si="263"/>
        <v>21.394774737708289</v>
      </c>
      <c r="DS25" s="238">
        <f t="shared" si="264"/>
        <v>-1.9952608114079303E-4</v>
      </c>
      <c r="DT25" s="239"/>
      <c r="DU25" s="239"/>
      <c r="DV25" s="241"/>
      <c r="DW25" s="91">
        <f t="shared" si="113"/>
        <v>0.19952623149688758</v>
      </c>
      <c r="DX25" s="89">
        <f t="shared" si="265"/>
        <v>21.125555827272208</v>
      </c>
      <c r="DY25" s="89">
        <f t="shared" si="266"/>
        <v>64.464141821112008</v>
      </c>
      <c r="DZ25" s="89">
        <f t="shared" si="267"/>
        <v>1.9294477410899558</v>
      </c>
      <c r="EA25" s="90">
        <f t="shared" si="268"/>
        <v>0</v>
      </c>
      <c r="EB25" s="91">
        <f t="shared" si="118"/>
        <v>-5.0118723362726992E-8</v>
      </c>
      <c r="EC25" s="89">
        <f t="shared" si="269"/>
        <v>0</v>
      </c>
      <c r="ED25" s="89">
        <f t="shared" si="270"/>
        <v>0</v>
      </c>
      <c r="EE25" s="89">
        <f t="shared" si="271"/>
        <v>0</v>
      </c>
      <c r="EF25" s="90">
        <f t="shared" si="272"/>
        <v>0</v>
      </c>
      <c r="EG25" s="242"/>
      <c r="EH25" s="245">
        <f t="shared" si="273"/>
        <v>136.09819053991922</v>
      </c>
      <c r="EI25" s="246">
        <f t="shared" si="274"/>
        <v>-1.9957619986415577E-4</v>
      </c>
      <c r="EJ25" s="198">
        <f t="shared" si="275"/>
        <v>99.999706717765449</v>
      </c>
      <c r="EK25" s="198">
        <f t="shared" si="27"/>
        <v>0.21590045917061243</v>
      </c>
      <c r="EL25" s="101"/>
      <c r="EM25" s="94" t="str">
        <f>IF(AND(CS25&lt;&gt;"",DK25&lt;&gt;""),LOG(CS25*DK25/Minerals!$C$5),"")</f>
        <v/>
      </c>
      <c r="EN25" s="94" t="str">
        <f>IF(AND(CS25&lt;&gt;"",DL25&lt;&gt;""),LOG(CS25*DL25^2/Minerals!$C$2),"")</f>
        <v/>
      </c>
      <c r="EO25" s="94">
        <f>IF(AND(CS25&lt;&gt;"",CX25&lt;&gt;""),LOG($CS25*$CX25/Minerals!$C$3),"")</f>
        <v>1.4906267038985601</v>
      </c>
      <c r="EP25" s="95">
        <f>IF(AND(CS25&lt;&gt;"",CX25&lt;&gt;""),LOG($CS25*$CX25/Minerals!$C$4),"")</f>
        <v>1.2506421924326576</v>
      </c>
      <c r="EQ25" s="199"/>
      <c r="ER25" s="101">
        <f t="shared" si="315"/>
        <v>0.69403005257030093</v>
      </c>
      <c r="ES25" s="94">
        <f t="shared" si="315"/>
        <v>0.69403005257030093</v>
      </c>
      <c r="ET25" s="94">
        <f t="shared" si="316"/>
        <v>0.23201342003973732</v>
      </c>
      <c r="EU25" s="94">
        <f t="shared" si="316"/>
        <v>0.23201342003973732</v>
      </c>
      <c r="EV25" s="95">
        <f t="shared" si="316"/>
        <v>0.23201342003973732</v>
      </c>
      <c r="EW25" s="101">
        <f t="shared" si="317"/>
        <v>0.69403005257030093</v>
      </c>
      <c r="EX25" s="94">
        <f t="shared" si="31"/>
        <v>0.23201342003973732</v>
      </c>
      <c r="EY25" s="94">
        <f t="shared" si="317"/>
        <v>0.69403005257030093</v>
      </c>
      <c r="EZ25" s="94">
        <f t="shared" si="317"/>
        <v>0.69403005257030093</v>
      </c>
      <c r="FA25" s="94">
        <f t="shared" si="165"/>
        <v>0.69403005257030093</v>
      </c>
      <c r="FB25" s="95">
        <f t="shared" si="32"/>
        <v>0.23201342003973732</v>
      </c>
      <c r="FC25" s="199"/>
      <c r="FD25" s="101">
        <f t="shared" si="276"/>
        <v>4.528297201142905E-3</v>
      </c>
      <c r="FE25" s="94" t="str">
        <f t="shared" si="277"/>
        <v/>
      </c>
      <c r="FF25" s="94">
        <f t="shared" si="278"/>
        <v>2.3735092124430438E-3</v>
      </c>
      <c r="FG25" s="94">
        <f t="shared" si="279"/>
        <v>2.4819374289377369E-3</v>
      </c>
      <c r="FH25" s="95">
        <f t="shared" si="280"/>
        <v>7.4782730069214293E-3</v>
      </c>
      <c r="FI25" s="101">
        <f t="shared" si="281"/>
        <v>1.3847709658329072E-7</v>
      </c>
      <c r="FJ25" s="94" t="str">
        <f t="shared" si="282"/>
        <v/>
      </c>
      <c r="FK25" s="94">
        <f t="shared" si="283"/>
        <v>4.8940149815974729E-3</v>
      </c>
      <c r="FL25" s="94" t="str">
        <f t="shared" si="284"/>
        <v/>
      </c>
      <c r="FM25" s="94" t="str">
        <f t="shared" si="285"/>
        <v/>
      </c>
      <c r="FN25" s="95">
        <f t="shared" si="286"/>
        <v>1.7631190143615545E-2</v>
      </c>
      <c r="FO25" s="199"/>
      <c r="FP25" s="101" t="str">
        <f>IF(EL25&lt;&gt;"",LOG(FF25*FJ25/Minerals!$C$6),"")</f>
        <v/>
      </c>
      <c r="FQ25" s="94" t="str">
        <f>IF(EL25&lt;&gt;"",LOG(FF25*FJ25/Minerals!$C$5),"")</f>
        <v/>
      </c>
      <c r="FR25" s="94" t="str">
        <f>IF(EN25&lt;&gt;"",LOG(FF25*FM25^2/Minerals!$C$2),"")</f>
        <v/>
      </c>
      <c r="FS25" s="94">
        <f>IF(EO25&lt;&gt;"",LOG($FF25*$FN25/Minerals!$C$3),"")</f>
        <v>0.22165291575487503</v>
      </c>
      <c r="FT25" s="95">
        <f>IF(EP25&lt;&gt;"",LOG($FF25*$FN25/Minerals!$C$4),"")</f>
        <v>-1.8331595711027406E-2</v>
      </c>
      <c r="FU25" s="96"/>
      <c r="FV25" s="101" t="str">
        <f>IF(FP25&lt;&gt;"",LOG(FF25*FJ25/(EXP(-1*Minerals!$E$6/'Other Constants'!$B$2*(1/(273.15+'ppm-mgL-1'!$D25)-1/298.15)+LN(Minerals!$C$6)))),"")</f>
        <v/>
      </c>
      <c r="FW25" s="94" t="str">
        <f>IF(FP25&lt;&gt;"",LOG(FF25*FJ25/(EXP(-1*Minerals!$E$5/'Other Constants'!$B$2*(1/(273.15+'ppm-mgL-1'!$D25)-1/298.15)+LN(Minerals!$C$5)))),"")</f>
        <v/>
      </c>
      <c r="FX25" s="94" t="str">
        <f>IF(FR25&lt;&gt;"",LOG(FF25*FM25^2/(EXP(-1*Minerals!$E$2/'Other Constants'!$B$2*(1/(273.15+'ppm-mgL-1'!$D25)-1/298.15)+LN(Minerals!$C$2)))),"")</f>
        <v/>
      </c>
      <c r="FY25" s="94">
        <f>IF(FS25&lt;&gt;"",LOG($FF25*$FN25/(EXP(-1*Minerals!$E$3/'Other Constants'!$B$2*(1/(273.15+'ppm-mgL-1'!$D25)-1/298.15)+LN(Minerals!$C$3)))),"")</f>
        <v>2.9854114219208849</v>
      </c>
      <c r="FZ25" s="95">
        <f>IF(FT25&lt;&gt;"",LOG($FF25*$FN25/(EXP(-1*Minerals!$E$4/'Other Constants'!$B$2*(1/(273.15+'ppm-mgL-1'!$D25)-1/298.15)+LN(Minerals!$C$4)))),"")</f>
        <v>-9.7506189361505347E-2</v>
      </c>
      <c r="GA25" s="96"/>
      <c r="GB25" s="96"/>
      <c r="GC25" s="101">
        <f>10^(-1825000*(79.755*EXP(-0.0046*($D25-20))*($D25+273.15))^-1.5*$EK25^0.5/(1+'Elements and ions'!$D$12*$EK25^0.5/(2*(79.755*EXP(-0.0046*($D25-20))*($D25+273.15))^0.5)))</f>
        <v>0.71308717048794157</v>
      </c>
      <c r="GD25" s="94">
        <f>10^(-1825000*(79.755*EXP(-0.0046*($D25-20))*($D25+273.15))^-1.5*$EK25^0.5/(1+'Elements and ions'!$D$20*$EK25^0.5/(2*(79.755*EXP(-0.0046*($D25-20))*($D25+273.15))^0.5)))</f>
        <v>0.6883891026897565</v>
      </c>
      <c r="GE25" s="94">
        <f>10^(-1825000*(79.755*EXP(-0.0046*($D25-20))*($D25+273.15))^-1.5*4*$EK25^0.5/(1+'Elements and ions'!$D$21*$EK25^0.5/(2*(79.755*EXP(-0.0046*($D25-20))*($D25+273.15))^0.5)))</f>
        <v>0.3205267736118288</v>
      </c>
      <c r="GF25" s="94">
        <f>10^(-1825000*(79.755*EXP(-0.0046*($D25-20))*($D25+273.15))^-1.5*4*$EK25^0.5/(1+'Elements and ions'!$D$13*$EK25^0.5/(2*(79.755*EXP(-0.0046*($D25-20))*($D25+273.15))^0.5)))</f>
        <v>0.37461581476607553</v>
      </c>
      <c r="GG25" s="95">
        <f>10^(-1825000*(79.755*EXP(-0.0046*($D25-20))*($D25+273.15))^-1.5*4*$EK25^0.5/(1+'Elements and ions'!$D$27*$EK25^0.5/(2*(79.755*EXP(-0.0046*($D25-20))*($D25+273.15))^0.5)))</f>
        <v>0.3205267736118288</v>
      </c>
      <c r="GH25" s="101">
        <f>10^(-1825000*(79.755*EXP(-0.0046*($D25-20))*($D25+273.15))^-1.5*$EK25^0.5/(1+'Elements and ions'!$G$3*$EK25^0.5/(2*(79.755*EXP(-0.0046*($D25-20))*($D25+273.15))^0.5)))</f>
        <v>0.6081800138563509</v>
      </c>
      <c r="GI25" s="94">
        <f>10^(-1825000*(79.755*EXP(-0.0046*($D25-20))*($D25+273.15))^-1.5*4*$EK25^0.5/(1+'Elements and ions'!$G$4*$EK25^0.5/(2*(79.755*EXP(-0.0046*($D25-20))*($D25+273.15))^0.5)))</f>
        <v>0.13643257772012618</v>
      </c>
      <c r="GJ25" s="94">
        <f>10^(-1825000*(79.755*EXP(-0.0046*($D25-20))*($D25+273.15))^-1.5*$EK25^0.5/(1+'Elements and ions'!$D$18*$EK25^0.5/(2*(79.755*EXP(-0.0046*($D25-20))*($D25+273.15))^0.5)))</f>
        <v>0.6883891026897565</v>
      </c>
      <c r="GK25" s="94">
        <f>10^(-1825000*(79.755*EXP(-0.0046*($D25-20))*($D25+273.15))^-1.5*$EK25^0.5/(1+'Elements and ions'!$I$7*$EK25^0.5/(2*(79.755*EXP(-0.0046*($D25-20))*($D25+273.15))^0.5)))</f>
        <v>0.6883891026897565</v>
      </c>
      <c r="GL25" s="94">
        <f>10^(-1825000*(79.755*EXP(-0.0046*($D25-20))*($D25+273.15))^-1.5*$EK25^0.5/(1+'Elements and ions'!$D$10*$EK25^0.5/(2*(79.755*EXP(-0.0046*($D25-20))*($D25+273.15))^0.5)))</f>
        <v>0.70124130658863637</v>
      </c>
      <c r="GM25" s="95">
        <f>10^(-1825000*(79.755*EXP(-0.0046*($D25-20))*($D25+273.15))^-1.5*4*$EK25^0.5/(1+'Elements and ions'!$I$5*$EK25^0.5/(2*(79.755*EXP(-0.0046*($D25-20))*($D25+273.15))^0.5)))</f>
        <v>0.25856544907536488</v>
      </c>
      <c r="GN25" s="96"/>
      <c r="GO25" s="101">
        <f t="shared" si="287"/>
        <v>4.6526380613242605E-3</v>
      </c>
      <c r="GP25" s="94" t="str">
        <f t="shared" si="288"/>
        <v/>
      </c>
      <c r="GQ25" s="94">
        <f t="shared" si="289"/>
        <v>3.2790053690515946E-3</v>
      </c>
      <c r="GR25" s="94">
        <f t="shared" si="290"/>
        <v>4.0074104850516198E-3</v>
      </c>
      <c r="GS25" s="95">
        <f t="shared" si="291"/>
        <v>1.0331241695788198E-2</v>
      </c>
      <c r="GT25" s="101">
        <f t="shared" si="292"/>
        <v>1.2134777479291091E-7</v>
      </c>
      <c r="GU25" s="94" t="str">
        <f t="shared" si="293"/>
        <v/>
      </c>
      <c r="GV25" s="94">
        <f t="shared" si="294"/>
        <v>4.8542373190544972E-3</v>
      </c>
      <c r="GW25" s="94" t="str">
        <f t="shared" si="295"/>
        <v/>
      </c>
      <c r="GX25" s="94" t="str">
        <f t="shared" si="296"/>
        <v/>
      </c>
      <c r="GY25" s="102">
        <f t="shared" si="297"/>
        <v>1.9648934947109113E-2</v>
      </c>
      <c r="GZ25" s="199"/>
      <c r="HA25" s="92" t="str">
        <f>IF(AND(GQ25&lt;&gt;"",GU25&lt;&gt;""),LOG(GQ25*GU25/Minerals!$C$6),"")</f>
        <v/>
      </c>
      <c r="HB25" s="94" t="str">
        <f>IF(AND(GQ25&lt;&gt;"",GU25&lt;&gt;""),LOG(GQ25*GU25/Minerals!$C$5),"")</f>
        <v/>
      </c>
      <c r="HC25" s="94" t="str">
        <f>IF(AND(GQ25&lt;&gt;"",GX25&lt;&gt;""),LOG(GQ25*GX25^2/Minerals!$C$2),"")</f>
        <v/>
      </c>
      <c r="HD25" s="94">
        <f>IF(AND(GQ25&lt;&gt;"",GY25&lt;&gt;""),LOG($GQ25*$GY25/Minerals!$C$3),"")</f>
        <v>0.4090615075263126</v>
      </c>
      <c r="HE25" s="102">
        <f>IF(AND(GQ25&lt;&gt;"",GY25&lt;&gt;""),LOG($GQ25*$GY25/Minerals!$C$3),"")</f>
        <v>0.4090615075263126</v>
      </c>
      <c r="HF25" s="199"/>
      <c r="HG25" s="92" t="str">
        <f>IF(HA25&lt;&gt;"",LOG(GQ25*GU25/(EXP(-1*Minerals!$E$6/'Other Constants'!$B$2*(1/(273.15+'ppm-mgL-1'!$D25)-1/298.15)+LN(Minerals!$C$6)))),"")</f>
        <v/>
      </c>
      <c r="HH25" s="94" t="str">
        <f>IF(HA25&lt;&gt;"",LOG(GQ25*GU25/(EXP(-1*Minerals!$E$5/'Other Constants'!$B$2*(1/(273.15+'ppm-mgL-1'!$D25)-1/298.15)+LN(Minerals!$C$5)))),"")</f>
        <v/>
      </c>
      <c r="HI25" s="94" t="str">
        <f>IF(HC25&lt;&gt;"",LOG(GQ25*GX25^2/(EXP(-1*Minerals!$E$2/'Other Constants'!$B$2*(1/(273.15+'ppm-mgL-1'!$D25)-1/298.15)+LN(Minerals!$C$2)))),"")</f>
        <v/>
      </c>
      <c r="HJ25" s="94">
        <f>IF(HD25&lt;&gt;"",LOG($FF25*$FN25/(EXP(-1*Minerals!$E$3/'Other Constants'!$B$2*(1/(273.15+'ppm-mgL-1'!$D25)-1/298.15)+LN(Minerals!$C$3)))),"")</f>
        <v>2.9854114219208849</v>
      </c>
      <c r="HK25" s="95">
        <f>IF(HE25&lt;&gt;"",LOG($FF25*$FN25/(EXP(-1*Minerals!$E$4/'Other Constants'!$B$2*(1/(273.15+'ppm-mgL-1'!$D25)-1/298.15)+LN(Minerals!$C$4)))),"")</f>
        <v>-9.7506189361505347E-2</v>
      </c>
      <c r="HL25" s="199"/>
      <c r="HM25" s="199"/>
    </row>
    <row r="26" spans="1:221" x14ac:dyDescent="0.25">
      <c r="A26" s="217" t="s">
        <v>294</v>
      </c>
      <c r="B26" s="6">
        <v>402</v>
      </c>
      <c r="C26" s="218">
        <v>32009</v>
      </c>
      <c r="D26" s="3">
        <v>18</v>
      </c>
      <c r="E26" s="6">
        <v>4.2699999999999996</v>
      </c>
      <c r="F26" s="6">
        <v>0.2</v>
      </c>
      <c r="G26" s="6">
        <v>8700</v>
      </c>
      <c r="H26" s="5"/>
      <c r="I26" s="3">
        <f t="shared" ref="I26" si="350">IF(AND($E26&lt;&gt;"",F26&lt;&gt;""),20.78-$E26+0.25*LOG($F26),"")</f>
        <v>16.335257498915997</v>
      </c>
      <c r="J26" s="4">
        <f t="shared" ref="J26" si="351">IF(I26&lt;&gt;"", IF($D26&lt;&gt;"",I26*2.303*0.0019858*($D26+273.15)/23.06, 0.059*I26),"")</f>
        <v>0.9432198255507811</v>
      </c>
      <c r="K26" s="3">
        <f t="shared" ref="K26" si="352">IF(AND($E26&lt;&gt;"",F26&lt;&gt;""),14.9-$E26+0.5*LOG($F26),"")</f>
        <v>10.280514997831991</v>
      </c>
      <c r="L26" s="4">
        <f t="shared" ref="L26" si="353">IF(K26&lt;&gt;"", IF($D26&lt;&gt;"",K26*2.303*0.0019858*($D26+273.15)/23.06, 0.059*K26),"")</f>
        <v>0.59361081779523572</v>
      </c>
      <c r="M26" s="3">
        <f t="shared" si="0"/>
        <v>13.680164454740634</v>
      </c>
      <c r="N26" s="4">
        <f t="shared" ref="N26" si="354">IF(M26&lt;&gt;"", IF($D26&lt;&gt;"",M26*2.303*0.0019858*($D26+273.15)/23.06, 0.059*M26),"")</f>
        <v>0.78991116799736549</v>
      </c>
      <c r="O26" s="3">
        <f t="shared" si="2"/>
        <v>7.1045905354511047</v>
      </c>
      <c r="P26" s="4">
        <f t="shared" ref="P26" si="355">IF(O26&lt;&gt;"", IF($D26&lt;&gt;"",O26*2.303*0.0019858*($D26+273.15)/23.06, 0.059*O26),"")</f>
        <v>0.41022865087389121</v>
      </c>
      <c r="Q26" s="3">
        <f t="shared" si="3"/>
        <v>0.97459053545110574</v>
      </c>
      <c r="R26" s="4">
        <f t="shared" ref="R26" si="356">IF(Q26&lt;&gt;"", IF($D26&lt;&gt;"",Q26*2.303*0.0019858*($D26+273.15)/23.06, 0.059*Q26),"")</f>
        <v>5.6274173510435073E-2</v>
      </c>
      <c r="S26" s="3">
        <f t="shared" si="4"/>
        <v>5.7045905354511062</v>
      </c>
      <c r="T26" s="4">
        <f t="shared" ref="T26" si="357">IF(S26&lt;&gt;"", IF($D26&lt;&gt;"",S26*2.303*0.0019858*($D26+273.15)/23.06, 0.059*S26),"")</f>
        <v>0.3293907604483059</v>
      </c>
      <c r="U26" s="3">
        <f>IF(AND($E26&lt;&gt;"",$CX26&lt;&gt;"",$DG26&lt;&gt;""),IF($E26&lt;7,5.12-5/4*$E26+1/8*LOG($CX26/$DG26),4.25-9/8*$E26+1/8*(LOG($CX26)-$E26-LOG($DG26)+pKa!$B$3)),"")</f>
        <v>-5.0368627735187771E-2</v>
      </c>
      <c r="V26" s="4">
        <f t="shared" ref="V26" si="358">IF(U26&lt;&gt;"", IF($D26&lt;&gt;"",U26*2.303*0.0019858*($D26+273.15)/23.06, 0.059*U26),"")</f>
        <v>-2.9083525783887222E-3</v>
      </c>
      <c r="W26" s="3" t="str">
        <f t="shared" si="5"/>
        <v/>
      </c>
      <c r="X26" s="4" t="str">
        <f t="shared" ref="X26" si="359">IF(W26&lt;&gt;"", IF($D26&lt;&gt;"",W26*2.303*0.0019858*($D26+273.15)/23.06, 0.059*W26),"")</f>
        <v/>
      </c>
      <c r="Y26" s="3" t="str">
        <f t="shared" si="6"/>
        <v/>
      </c>
      <c r="Z26" s="4" t="str">
        <f t="shared" ref="Z26" si="360">IF(Y26&lt;&gt;"", IF($D26&lt;&gt;"",Y26*2.303*0.0019858*($D26+273.15)/23.06, 0.059*Y26),"")</f>
        <v/>
      </c>
      <c r="AA26" s="3" t="str">
        <f t="shared" si="7"/>
        <v/>
      </c>
      <c r="AB26" s="4" t="str">
        <f t="shared" ref="AB26" si="361">IF(AA26&lt;&gt;"", IF($D26&lt;&gt;"",AA26*2.303*0.0019858*($D26+273.15)/23.06, 0.059*AA26),"")</f>
        <v/>
      </c>
      <c r="AD26" s="83">
        <f>IF(E26&lt;&gt;"",10^(-2*$E26)/(10^(-2*$E26)+10^(-$E26-pKa!$B$2)+(10^(-pKa!$B$2-pKa!$C$2))),"")</f>
        <v>0.99075373948682788</v>
      </c>
      <c r="AE26" s="84">
        <f>IF(E26&lt;&gt;"",10^(-$E26-pKa!$B$2)/(10^(-2*$E26)+10^(-$E26-pKa!$B$2)+10^(-pKa!$B$2-pKa!$C$2)),"")</f>
        <v>9.2462518840678194E-3</v>
      </c>
      <c r="AF26" s="212">
        <f>IF(E26&lt;&gt;"",10^(-pKa!$B$2-pKa!$C$2)/(10^(-2*$E26)+10^(-$E26-pKa!$B$2)+10^(-pKa!$B$2-pKa!$C$2)),"")</f>
        <v>8.6291043370585493E-9</v>
      </c>
      <c r="AG26" s="152"/>
      <c r="AH26" s="222">
        <f>IF($AK26&lt;&gt;"",$AK26/'Elements and ions'!$G$3,IF($E26="","",""))</f>
        <v>0</v>
      </c>
      <c r="AI26" s="85">
        <f t="shared" si="314"/>
        <v>5.8080716234796481E-6</v>
      </c>
      <c r="AJ26" s="84">
        <f>IF(AI26&lt;&gt;"",AI26*1000*'Elements and ions'!$B$7,"")</f>
        <v>6.9759005848127012E-2</v>
      </c>
      <c r="AK26" s="99">
        <v>0</v>
      </c>
      <c r="AL26" s="88">
        <f>IF($AK26&lt;&gt;"",$AK26/'Elements and ions'!$G$3*Minerals!$B$6/2,IF($E26="","","Enter Alk(HCO3-)"))</f>
        <v>0</v>
      </c>
      <c r="AM26" s="199"/>
      <c r="AN26" s="101">
        <f t="shared" si="8"/>
        <v>5.7543686801697931E-6</v>
      </c>
      <c r="AO26" s="94">
        <f t="shared" si="9"/>
        <v>5.3702893191399532E-8</v>
      </c>
      <c r="AP26" s="95">
        <f t="shared" si="10"/>
        <v>5.0118456036114922E-14</v>
      </c>
      <c r="AQ26" s="199"/>
      <c r="AR26" s="199"/>
      <c r="AS26" s="83">
        <f t="shared" si="66"/>
        <v>1.6924613765205272E-2</v>
      </c>
      <c r="AT26" s="83">
        <f>IF(AN26&lt;&gt;"",AN26/'Henrys law constants'!$B$7*1000000,"")</f>
        <v>169.24613765205271</v>
      </c>
      <c r="AU26" s="3">
        <v>110</v>
      </c>
      <c r="AV26" s="6"/>
      <c r="AW26" s="6">
        <v>540</v>
      </c>
      <c r="AX26" s="6">
        <v>190</v>
      </c>
      <c r="AY26" s="226">
        <f>AO26*'Elements and ions'!$G$3*1000</f>
        <v>3.276780841396714E-3</v>
      </c>
      <c r="AZ26" s="6">
        <v>140</v>
      </c>
      <c r="BA26" s="6"/>
      <c r="BB26" s="5">
        <v>3300</v>
      </c>
      <c r="BC26" s="226"/>
      <c r="BD26" s="6">
        <v>14</v>
      </c>
      <c r="BE26" s="6">
        <v>540</v>
      </c>
      <c r="BF26" s="6">
        <v>66</v>
      </c>
      <c r="BG26" s="5"/>
      <c r="BH26" s="3"/>
      <c r="BJ26" s="92">
        <f>IF($AN26&lt;&gt;"",$AN26*'Elements and ions'!$G$2*1000,"")</f>
        <v>0.35691345142642172</v>
      </c>
      <c r="BK26" s="229">
        <f>95/60.08*28.08</f>
        <v>44.400798934753659</v>
      </c>
      <c r="BL26" s="230"/>
      <c r="BM26" s="101"/>
      <c r="BO26" s="102"/>
      <c r="BP26" s="6"/>
      <c r="BQ26" s="5"/>
      <c r="BR26" s="195"/>
      <c r="BS26" s="238">
        <f>IF($AU26&lt;&gt;"",$AU26/'Elements and ions'!$B$12,"")</f>
        <v>4.7847370132459197</v>
      </c>
      <c r="BT26" s="239" t="str">
        <f>IF($AV26&lt;&gt;"",$AV26/'Elements and ions'!$B$20,"")</f>
        <v/>
      </c>
      <c r="BU26" s="239">
        <f>IF($AW26&lt;&gt;"",$AW26/'Elements and ions'!$B$21, "")</f>
        <v>13.473726233844003</v>
      </c>
      <c r="BV26" s="240">
        <f>IF($AX26&lt;&gt;"",$AX26/'Elements and ions'!$B$13, "")</f>
        <v>7.817321538778029</v>
      </c>
      <c r="BW26" s="238">
        <f>IF($AY26&lt;&gt;"",$AY26/'Elements and ions'!$G$3,"")</f>
        <v>5.3702893191399527E-5</v>
      </c>
      <c r="BX26" s="239">
        <f>IF($AZ26&lt;&gt;"",$AZ26/'Elements and ions'!$B$18,"")</f>
        <v>3.9488900798239919</v>
      </c>
      <c r="BY26" s="239" t="str">
        <f>IF($BA26&lt;&gt;"",$BA26/'Elements and ions'!$G$7,"")</f>
        <v/>
      </c>
      <c r="BZ26" s="241">
        <f>IF($BB26&lt;&gt;"",$BB26/'Elements and ions'!$G$5,"")</f>
        <v>34.352599242577234</v>
      </c>
      <c r="CA26" s="91">
        <f t="shared" si="67"/>
        <v>5.370317963702527E-2</v>
      </c>
      <c r="CB26" s="163">
        <f>IF($BD26&lt;&gt;"",$BD26/'Elements and ions'!$B$14,"")</f>
        <v>0.51887330102072093</v>
      </c>
      <c r="CC26" s="89">
        <f>IF($BE26&lt;&gt;"",$BE26/'Elements and ions'!$B$27, "")</f>
        <v>9.6696212731668005</v>
      </c>
      <c r="CD26" s="249">
        <f>IF($BF26&lt;&gt;"",$BF26/'Elements and ions'!$B$26,"")</f>
        <v>1.201354253886199</v>
      </c>
      <c r="CE26" s="250" t="str">
        <f>IF($BG26&lt;&gt;"",$BG26/'Elements and ions'!$G$6,"")</f>
        <v/>
      </c>
      <c r="CF26" s="91" t="str">
        <f>IF($BH26&lt;&gt;"",$BH26/'Elements and ions'!$G$15,"")</f>
        <v/>
      </c>
      <c r="CG26" s="89" t="str">
        <f>IF($BI26&lt;&gt;"",$BI26/'Elements and ions'!$G$16,"")</f>
        <v/>
      </c>
      <c r="CH26" s="90">
        <f>IF($BJ26&lt;&gt;"",$BJ26/'Elements and ions'!$G$2,"")</f>
        <v>5.754368680169793E-3</v>
      </c>
      <c r="CI26" s="91">
        <f>IF($BK26&lt;&gt;"",$BK26/'Elements and ions'!$B$15, "")</f>
        <v>1.5809153810597518</v>
      </c>
      <c r="CJ26" s="88" t="str">
        <f>IF($BL26&lt;&gt;"", $BL26/'Elements and ions'!$G$17,"")</f>
        <v/>
      </c>
      <c r="CK26" s="89">
        <f t="shared" si="68"/>
        <v>1.8620871366628619E-7</v>
      </c>
      <c r="CL26" s="163" t="str">
        <f>IF($BN26&lt;&gt;"", $BN26/'Elements and ions'!$G$19,"")</f>
        <v/>
      </c>
      <c r="CM26" s="89" t="str">
        <f>IF($BO26&lt;&gt;"",$BO26/'Elements and ions'!$G$4,"")</f>
        <v/>
      </c>
      <c r="CN26" s="89" t="str">
        <f>IF($BP26&lt;&gt;"",$BP26/'Elements and ions'!$B$10,"")</f>
        <v/>
      </c>
      <c r="CO26" s="104" t="str">
        <f>IF($BQ26&lt;&gt;"",$BQ26/'Elements and ions'!$G$18,"")</f>
        <v/>
      </c>
      <c r="CP26" s="242"/>
      <c r="CQ26" s="238">
        <f t="shared" si="239"/>
        <v>4.7847370132459198E-3</v>
      </c>
      <c r="CR26" s="239" t="str">
        <f t="shared" si="240"/>
        <v/>
      </c>
      <c r="CS26" s="239">
        <f t="shared" si="241"/>
        <v>1.3473726233844003E-2</v>
      </c>
      <c r="CT26" s="241">
        <f t="shared" si="242"/>
        <v>7.8173215387780295E-3</v>
      </c>
      <c r="CU26" s="238">
        <f t="shared" si="243"/>
        <v>5.3702893191399525E-8</v>
      </c>
      <c r="CV26" s="239">
        <f t="shared" si="244"/>
        <v>3.9488900798239921E-3</v>
      </c>
      <c r="CW26" s="239" t="str">
        <f t="shared" si="245"/>
        <v/>
      </c>
      <c r="CX26" s="241">
        <f t="shared" si="246"/>
        <v>3.4352599242577234E-2</v>
      </c>
      <c r="CY26" s="258">
        <f t="shared" si="98"/>
        <v>5.370317963702527E-5</v>
      </c>
      <c r="CZ26" s="259">
        <f t="shared" si="247"/>
        <v>5.1887330102072093E-4</v>
      </c>
      <c r="DA26" s="260">
        <f t="shared" si="248"/>
        <v>9.6696212731667997E-3</v>
      </c>
      <c r="DB26" s="261">
        <f t="shared" si="249"/>
        <v>1.2013542538861989E-3</v>
      </c>
      <c r="DC26" s="262" t="str">
        <f t="shared" si="250"/>
        <v/>
      </c>
      <c r="DD26" s="263" t="str">
        <f t="shared" si="251"/>
        <v/>
      </c>
      <c r="DE26" s="259" t="str">
        <f t="shared" si="252"/>
        <v/>
      </c>
      <c r="DF26" s="260">
        <f t="shared" si="253"/>
        <v>5.7543686801697931E-6</v>
      </c>
      <c r="DG26" s="260">
        <f t="shared" si="254"/>
        <v>1.5809153810597519E-3</v>
      </c>
      <c r="DH26" s="264" t="str">
        <f t="shared" si="255"/>
        <v/>
      </c>
      <c r="DI26" s="258">
        <f t="shared" si="108"/>
        <v>1.862087136662862E-10</v>
      </c>
      <c r="DJ26" s="260" t="str">
        <f t="shared" si="256"/>
        <v/>
      </c>
      <c r="DK26" s="260" t="str">
        <f t="shared" si="257"/>
        <v/>
      </c>
      <c r="DL26" s="260" t="str">
        <f t="shared" si="258"/>
        <v/>
      </c>
      <c r="DM26" s="265" t="str">
        <f t="shared" si="259"/>
        <v/>
      </c>
      <c r="DN26" s="242"/>
      <c r="DO26" s="238">
        <f t="shared" si="260"/>
        <v>4.7847370132459197</v>
      </c>
      <c r="DP26" s="239">
        <f t="shared" si="261"/>
        <v>0</v>
      </c>
      <c r="DQ26" s="239">
        <f t="shared" si="262"/>
        <v>26.947452467688006</v>
      </c>
      <c r="DR26" s="241">
        <f t="shared" si="263"/>
        <v>15.634643077556058</v>
      </c>
      <c r="DS26" s="238">
        <f t="shared" si="264"/>
        <v>-5.3702893191399527E-5</v>
      </c>
      <c r="DT26" s="239"/>
      <c r="DU26" s="239"/>
      <c r="DV26" s="241"/>
      <c r="DW26" s="91">
        <f t="shared" si="113"/>
        <v>5.370317963702527E-2</v>
      </c>
      <c r="DX26" s="89">
        <f t="shared" si="265"/>
        <v>1.5566199030621628</v>
      </c>
      <c r="DY26" s="89">
        <f t="shared" si="266"/>
        <v>19.339242546333601</v>
      </c>
      <c r="DZ26" s="89">
        <f t="shared" si="267"/>
        <v>2.402708507772398</v>
      </c>
      <c r="EA26" s="90">
        <f t="shared" si="268"/>
        <v>0</v>
      </c>
      <c r="EB26" s="91">
        <f t="shared" si="118"/>
        <v>-1.8620871366628619E-7</v>
      </c>
      <c r="EC26" s="89">
        <f t="shared" si="269"/>
        <v>0</v>
      </c>
      <c r="ED26" s="89">
        <f t="shared" si="270"/>
        <v>0</v>
      </c>
      <c r="EE26" s="89">
        <f t="shared" si="271"/>
        <v>0</v>
      </c>
      <c r="EF26" s="90">
        <f t="shared" si="272"/>
        <v>0</v>
      </c>
      <c r="EG26" s="242"/>
      <c r="EH26" s="245">
        <f t="shared" si="273"/>
        <v>70.719106695295167</v>
      </c>
      <c r="EI26" s="246">
        <f t="shared" si="274"/>
        <v>-5.3889101905065812E-5</v>
      </c>
      <c r="EJ26" s="198">
        <f t="shared" si="275"/>
        <v>99.999847596884749</v>
      </c>
      <c r="EK26" s="198">
        <f t="shared" si="27"/>
        <v>0.12623507154122487</v>
      </c>
      <c r="EL26" s="101"/>
      <c r="EM26" s="94" t="str">
        <f>IF(AND(CS26&lt;&gt;"",DK26&lt;&gt;""),LOG(CS26*DK26/Minerals!$C$5),"")</f>
        <v/>
      </c>
      <c r="EN26" s="94" t="str">
        <f>IF(AND(CS26&lt;&gt;"",DL26&lt;&gt;""),LOG(CS26*DL26^2/Minerals!$C$2),"")</f>
        <v/>
      </c>
      <c r="EO26" s="94">
        <f>IF(AND(CS26&lt;&gt;"",CX26&lt;&gt;""),LOG($CS26*$CX26/Minerals!$C$3),"")</f>
        <v>1.2654276867592245</v>
      </c>
      <c r="EP26" s="95">
        <f>IF(AND(CS26&lt;&gt;"",CX26&lt;&gt;""),LOG($CS26*$CX26/Minerals!$C$4),"")</f>
        <v>1.0254431752933222</v>
      </c>
      <c r="EQ26" s="199"/>
      <c r="ER26" s="101">
        <f t="shared" si="315"/>
        <v>0.73947443830172077</v>
      </c>
      <c r="ES26" s="94">
        <f t="shared" si="315"/>
        <v>0.73947443830172077</v>
      </c>
      <c r="ET26" s="94">
        <f t="shared" si="316"/>
        <v>0.29901478624821298</v>
      </c>
      <c r="EU26" s="94">
        <f t="shared" si="316"/>
        <v>0.29901478624821298</v>
      </c>
      <c r="EV26" s="95">
        <f t="shared" si="316"/>
        <v>0.29901478624821298</v>
      </c>
      <c r="EW26" s="101">
        <f t="shared" si="317"/>
        <v>0.73947443830172077</v>
      </c>
      <c r="EX26" s="94">
        <f t="shared" si="31"/>
        <v>0.29901478624821298</v>
      </c>
      <c r="EY26" s="94">
        <f t="shared" si="317"/>
        <v>0.73947443830172077</v>
      </c>
      <c r="EZ26" s="94">
        <f t="shared" si="317"/>
        <v>0.73947443830172077</v>
      </c>
      <c r="FA26" s="94">
        <f t="shared" si="165"/>
        <v>0.73947443830172077</v>
      </c>
      <c r="FB26" s="95">
        <f t="shared" si="32"/>
        <v>0.29901478624821298</v>
      </c>
      <c r="FC26" s="199"/>
      <c r="FD26" s="101">
        <f t="shared" si="276"/>
        <v>3.5381907152914798E-3</v>
      </c>
      <c r="FE26" s="94" t="str">
        <f t="shared" si="277"/>
        <v/>
      </c>
      <c r="FF26" s="94">
        <f t="shared" si="278"/>
        <v>4.0288433697798047E-3</v>
      </c>
      <c r="FG26" s="94">
        <f t="shared" si="279"/>
        <v>2.3374947289512638E-3</v>
      </c>
      <c r="FH26" s="95">
        <f t="shared" si="280"/>
        <v>2.8913597380971438E-3</v>
      </c>
      <c r="FI26" s="101">
        <f t="shared" si="281"/>
        <v>3.9711916777887469E-8</v>
      </c>
      <c r="FJ26" s="94" t="str">
        <f t="shared" si="282"/>
        <v/>
      </c>
      <c r="FK26" s="94">
        <f t="shared" si="283"/>
        <v>2.9201032736930837E-3</v>
      </c>
      <c r="FL26" s="94" t="str">
        <f t="shared" si="284"/>
        <v/>
      </c>
      <c r="FM26" s="94" t="str">
        <f t="shared" si="285"/>
        <v/>
      </c>
      <c r="FN26" s="95">
        <f t="shared" si="286"/>
        <v>1.0271935119589754E-2</v>
      </c>
      <c r="FO26" s="199"/>
      <c r="FP26" s="101" t="str">
        <f>IF(EL26&lt;&gt;"",LOG(FF26*FJ26/Minerals!$C$6),"")</f>
        <v/>
      </c>
      <c r="FQ26" s="94" t="str">
        <f>IF(EL26&lt;&gt;"",LOG(FF26*FJ26/Minerals!$C$5),"")</f>
        <v/>
      </c>
      <c r="FR26" s="94" t="str">
        <f>IF(EN26&lt;&gt;"",LOG(FF26*FM26^2/Minerals!$C$2),"")</f>
        <v/>
      </c>
      <c r="FS26" s="94">
        <f>IF(EO26&lt;&gt;"",LOG($FF26*$FN26/Minerals!$C$3),"")</f>
        <v>0.21681301609859202</v>
      </c>
      <c r="FT26" s="95">
        <f>IF(EP26&lt;&gt;"",LOG($FF26*$FN26/Minerals!$C$4),"")</f>
        <v>-2.3171495367310377E-2</v>
      </c>
      <c r="FU26" s="96"/>
      <c r="FV26" s="101" t="str">
        <f>IF(FP26&lt;&gt;"",LOG(FF26*FJ26/(EXP(-1*Minerals!$E$6/'Other Constants'!$B$2*(1/(273.15+'ppm-mgL-1'!$D26)-1/298.15)+LN(Minerals!$C$6)))),"")</f>
        <v/>
      </c>
      <c r="FW26" s="94" t="str">
        <f>IF(FP26&lt;&gt;"",LOG(FF26*FJ26/(EXP(-1*Minerals!$E$5/'Other Constants'!$B$2*(1/(273.15+'ppm-mgL-1'!$D26)-1/298.15)+LN(Minerals!$C$5)))),"")</f>
        <v/>
      </c>
      <c r="FX26" s="94" t="str">
        <f>IF(FR26&lt;&gt;"",LOG(FF26*FM26^2/(EXP(-1*Minerals!$E$2/'Other Constants'!$B$2*(1/(273.15+'ppm-mgL-1'!$D26)-1/298.15)+LN(Minerals!$C$2)))),"")</f>
        <v/>
      </c>
      <c r="FY26" s="94">
        <f>IF(FS26&lt;&gt;"",LOG($FF26*$FN26/(EXP(-1*Minerals!$E$3/'Other Constants'!$B$2*(1/(273.15+'ppm-mgL-1'!$D26)-1/298.15)+LN(Minerals!$C$3)))),"")</f>
        <v>2.6267957200091541</v>
      </c>
      <c r="FZ26" s="95">
        <f>IF(FT26&lt;&gt;"",LOG($FF26*$FN26/(EXP(-1*Minerals!$E$4/'Other Constants'!$B$2*(1/(273.15+'ppm-mgL-1'!$D26)-1/298.15)+LN(Minerals!$C$4)))),"")</f>
        <v>-9.2211319527452693E-2</v>
      </c>
      <c r="GA26" s="96"/>
      <c r="GB26" s="96"/>
      <c r="GC26" s="101">
        <f>10^(-1825000*(79.755*EXP(-0.0046*($D26-20))*($D26+273.15))^-1.5*$EK26^0.5/(1+'Elements and ions'!$D$12*$EK26^0.5/(2*(79.755*EXP(-0.0046*($D26-20))*($D26+273.15))^0.5)))</f>
        <v>0.75259385523638989</v>
      </c>
      <c r="GD26" s="94">
        <f>10^(-1825000*(79.755*EXP(-0.0046*($D26-20))*($D26+273.15))^-1.5*$EK26^0.5/(1+'Elements and ions'!$D$20*$EK26^0.5/(2*(79.755*EXP(-0.0046*($D26-20))*($D26+273.15))^0.5)))</f>
        <v>0.73440438851830026</v>
      </c>
      <c r="GE26" s="94">
        <f>10^(-1825000*(79.755*EXP(-0.0046*($D26-20))*($D26+273.15))^-1.5*4*$EK26^0.5/(1+'Elements and ions'!$D$21*$EK26^0.5/(2*(79.755*EXP(-0.0046*($D26-20))*($D26+273.15))^0.5)))</f>
        <v>0.37480058072637212</v>
      </c>
      <c r="GF26" s="94">
        <f>10^(-1825000*(79.755*EXP(-0.0046*($D26-20))*($D26+273.15))^-1.5*4*$EK26^0.5/(1+'Elements and ions'!$D$13*$EK26^0.5/(2*(79.755*EXP(-0.0046*($D26-20))*($D26+273.15))^0.5)))</f>
        <v>0.42178965649804429</v>
      </c>
      <c r="GG26" s="95">
        <f>10^(-1825000*(79.755*EXP(-0.0046*($D26-20))*($D26+273.15))^-1.5*4*$EK26^0.5/(1+'Elements and ions'!$D$27*$EK26^0.5/(2*(79.755*EXP(-0.0046*($D26-20))*($D26+273.15))^0.5)))</f>
        <v>0.37480058072637212</v>
      </c>
      <c r="GH26" s="101">
        <f>10^(-1825000*(79.755*EXP(-0.0046*($D26-20))*($D26+273.15))^-1.5*$EK26^0.5/(1+'Elements and ions'!$G$3*$EK26^0.5/(2*(79.755*EXP(-0.0046*($D26-20))*($D26+273.15))^0.5)))</f>
        <v>0.67797548118279205</v>
      </c>
      <c r="GI26" s="94">
        <f>10^(-1825000*(79.755*EXP(-0.0046*($D26-20))*($D26+273.15))^-1.5*4*$EK26^0.5/(1+'Elements and ions'!$G$4*$EK26^0.5/(2*(79.755*EXP(-0.0046*($D26-20))*($D26+273.15))^0.5)))</f>
        <v>0.21091995722265336</v>
      </c>
      <c r="GJ26" s="94">
        <f>10^(-1825000*(79.755*EXP(-0.0046*($D26-20))*($D26+273.15))^-1.5*$EK26^0.5/(1+'Elements and ions'!$D$18*$EK26^0.5/(2*(79.755*EXP(-0.0046*($D26-20))*($D26+273.15))^0.5)))</f>
        <v>0.73440438851830026</v>
      </c>
      <c r="GK26" s="94">
        <f>10^(-1825000*(79.755*EXP(-0.0046*($D26-20))*($D26+273.15))^-1.5*$EK26^0.5/(1+'Elements and ions'!$I$7*$EK26^0.5/(2*(79.755*EXP(-0.0046*($D26-20))*($D26+273.15))^0.5)))</f>
        <v>0.73440438851830026</v>
      </c>
      <c r="GL26" s="94">
        <f>10^(-1825000*(79.755*EXP(-0.0046*($D26-20))*($D26+273.15))^-1.5*$EK26^0.5/(1+'Elements and ions'!$D$10*$EK26^0.5/(2*(79.755*EXP(-0.0046*($D26-20))*($D26+273.15))^0.5)))</f>
        <v>0.7438188567216566</v>
      </c>
      <c r="GM26" s="95">
        <f>10^(-1825000*(79.755*EXP(-0.0046*($D26-20))*($D26+273.15))^-1.5*4*$EK26^0.5/(1+'Elements and ions'!$I$5*$EK26^0.5/(2*(79.755*EXP(-0.0046*($D26-20))*($D26+273.15))^0.5)))</f>
        <v>0.32080614039854283</v>
      </c>
      <c r="GN26" s="96"/>
      <c r="GO26" s="101">
        <f t="shared" si="287"/>
        <v>3.6009636750909961E-3</v>
      </c>
      <c r="GP26" s="94" t="str">
        <f t="shared" si="288"/>
        <v/>
      </c>
      <c r="GQ26" s="94">
        <f t="shared" si="289"/>
        <v>5.0499604169928873E-3</v>
      </c>
      <c r="GR26" s="94">
        <f t="shared" si="290"/>
        <v>3.2972653665759482E-3</v>
      </c>
      <c r="GS26" s="95">
        <f t="shared" si="291"/>
        <v>3.6241796685869982E-3</v>
      </c>
      <c r="GT26" s="101">
        <f t="shared" si="292"/>
        <v>3.6409244852347183E-8</v>
      </c>
      <c r="GU26" s="94" t="str">
        <f t="shared" si="293"/>
        <v/>
      </c>
      <c r="GV26" s="94">
        <f t="shared" si="294"/>
        <v>2.9000822043991209E-3</v>
      </c>
      <c r="GW26" s="94" t="str">
        <f t="shared" si="295"/>
        <v/>
      </c>
      <c r="GX26" s="94" t="str">
        <f t="shared" si="296"/>
        <v/>
      </c>
      <c r="GY26" s="102">
        <f t="shared" si="297"/>
        <v>1.1020524775669107E-2</v>
      </c>
      <c r="GZ26" s="199"/>
      <c r="HA26" s="92" t="str">
        <f>IF(AND(GQ26&lt;&gt;"",GU26&lt;&gt;""),LOG(GQ26*GU26/Minerals!$C$6),"")</f>
        <v/>
      </c>
      <c r="HB26" s="94" t="str">
        <f>IF(AND(GQ26&lt;&gt;"",GU26&lt;&gt;""),LOG(GQ26*GU26/Minerals!$C$5),"")</f>
        <v/>
      </c>
      <c r="HC26" s="94" t="str">
        <f>IF(AND(GQ26&lt;&gt;"",GX26&lt;&gt;""),LOG(GQ26*GX26^2/Minerals!$C$2),"")</f>
        <v/>
      </c>
      <c r="HD26" s="94">
        <f>IF(AND(GQ26&lt;&gt;"",GY26&lt;&gt;""),LOG($GQ26*$GY26/Minerals!$C$3),"")</f>
        <v>0.34547061420022346</v>
      </c>
      <c r="HE26" s="102">
        <f>IF(AND(GQ26&lt;&gt;"",GY26&lt;&gt;""),LOG($GQ26*$GY26/Minerals!$C$3),"")</f>
        <v>0.34547061420022346</v>
      </c>
      <c r="HF26" s="199"/>
      <c r="HG26" s="92" t="str">
        <f>IF(HA26&lt;&gt;"",LOG(GQ26*GU26/(EXP(-1*Minerals!$E$6/'Other Constants'!$B$2*(1/(273.15+'ppm-mgL-1'!$D26)-1/298.15)+LN(Minerals!$C$6)))),"")</f>
        <v/>
      </c>
      <c r="HH26" s="94" t="str">
        <f>IF(HA26&lt;&gt;"",LOG(GQ26*GU26/(EXP(-1*Minerals!$E$5/'Other Constants'!$B$2*(1/(273.15+'ppm-mgL-1'!$D26)-1/298.15)+LN(Minerals!$C$5)))),"")</f>
        <v/>
      </c>
      <c r="HI26" s="94" t="str">
        <f>IF(HC26&lt;&gt;"",LOG(GQ26*GX26^2/(EXP(-1*Minerals!$E$2/'Other Constants'!$B$2*(1/(273.15+'ppm-mgL-1'!$D26)-1/298.15)+LN(Minerals!$C$2)))),"")</f>
        <v/>
      </c>
      <c r="HJ26" s="94">
        <f>IF(HD26&lt;&gt;"",LOG($FF26*$FN26/(EXP(-1*Minerals!$E$3/'Other Constants'!$B$2*(1/(273.15+'ppm-mgL-1'!$D26)-1/298.15)+LN(Minerals!$C$3)))),"")</f>
        <v>2.6267957200091541</v>
      </c>
      <c r="HK26" s="95">
        <f>IF(HE26&lt;&gt;"",LOG($FF26*$FN26/(EXP(-1*Minerals!$E$4/'Other Constants'!$B$2*(1/(273.15+'ppm-mgL-1'!$D26)-1/298.15)+LN(Minerals!$C$4)))),"")</f>
        <v>-9.2211319527452693E-2</v>
      </c>
      <c r="HL26" s="199"/>
      <c r="HM26" s="199"/>
    </row>
    <row r="27" spans="1:221" customFormat="1" x14ac:dyDescent="0.25">
      <c r="A27" s="3"/>
      <c r="B27" s="6"/>
      <c r="C27" s="218"/>
      <c r="D27" s="3"/>
      <c r="E27" s="4"/>
      <c r="F27" s="4"/>
      <c r="G27" s="4"/>
      <c r="H27" s="5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4"/>
      <c r="AD27" s="83"/>
      <c r="AE27" s="84"/>
      <c r="AF27" s="212"/>
      <c r="AG27" s="152"/>
      <c r="AH27" s="222"/>
      <c r="AI27" s="85"/>
      <c r="AJ27" s="84" t="str">
        <f>IF(AI27&lt;&gt;"",AI27*1000*'Elements and ions'!$B$7,"")</f>
        <v/>
      </c>
      <c r="AK27" s="99"/>
      <c r="AL27" s="88"/>
      <c r="AM27" s="199"/>
      <c r="AN27" s="101"/>
      <c r="AO27" s="94"/>
      <c r="AP27" s="95"/>
      <c r="AQ27" s="199"/>
      <c r="AR27" s="199"/>
      <c r="AS27" s="83" t="str">
        <f t="shared" si="66"/>
        <v/>
      </c>
      <c r="AT27" s="83" t="str">
        <f>IF(AN27&lt;&gt;"",AN27/'Henrys law constants'!$B$7*1000000,"")</f>
        <v/>
      </c>
      <c r="AU27" s="3"/>
      <c r="AV27" s="6"/>
      <c r="AW27" s="6"/>
      <c r="AX27" s="6"/>
      <c r="AY27" s="226"/>
      <c r="AZ27" s="6"/>
      <c r="BA27" s="6"/>
      <c r="BB27" s="5"/>
      <c r="BC27" s="222"/>
      <c r="BD27" s="4"/>
      <c r="BE27" s="6"/>
      <c r="BF27" s="6"/>
      <c r="BG27" s="5"/>
      <c r="BH27" s="3"/>
      <c r="BI27" s="4"/>
      <c r="BJ27" s="92"/>
      <c r="BK27" s="229"/>
      <c r="BL27" s="230"/>
      <c r="BM27" s="101"/>
      <c r="BN27" s="4"/>
      <c r="BO27" s="102"/>
      <c r="BP27" s="6"/>
      <c r="BQ27" s="5"/>
      <c r="BR27" s="195"/>
      <c r="BS27" s="238"/>
      <c r="BT27" s="239"/>
      <c r="BU27" s="239"/>
      <c r="BV27" s="240"/>
      <c r="BW27" s="238"/>
      <c r="BX27" s="239"/>
      <c r="BY27" s="239"/>
      <c r="BZ27" s="241"/>
      <c r="CA27" s="91"/>
      <c r="CB27" s="163"/>
      <c r="CC27" s="89"/>
      <c r="CD27" s="249"/>
      <c r="CE27" s="250"/>
      <c r="CF27" s="91"/>
      <c r="CG27" s="89"/>
      <c r="CH27" s="90"/>
      <c r="CI27" s="91"/>
      <c r="CJ27" s="88"/>
      <c r="CK27" s="89"/>
      <c r="CL27" s="163"/>
      <c r="CM27" s="89"/>
      <c r="CN27" s="89"/>
      <c r="CO27" s="104"/>
      <c r="CP27" s="242"/>
      <c r="CQ27" s="238"/>
      <c r="CR27" s="239"/>
      <c r="CS27" s="239"/>
      <c r="CT27" s="241"/>
      <c r="CU27" s="238"/>
      <c r="CV27" s="239"/>
      <c r="CW27" s="239"/>
      <c r="CX27" s="241"/>
      <c r="CY27" s="258"/>
      <c r="CZ27" s="259"/>
      <c r="DA27" s="260"/>
      <c r="DB27" s="261"/>
      <c r="DC27" s="262"/>
      <c r="DD27" s="263"/>
      <c r="DE27" s="259"/>
      <c r="DF27" s="260"/>
      <c r="DG27" s="260"/>
      <c r="DH27" s="264"/>
      <c r="DI27" s="258"/>
      <c r="DJ27" s="260"/>
      <c r="DK27" s="260"/>
      <c r="DL27" s="260"/>
      <c r="DM27" s="265"/>
      <c r="DN27" s="242"/>
      <c r="DO27" s="238"/>
      <c r="DP27" s="239"/>
      <c r="DQ27" s="239"/>
      <c r="DR27" s="241"/>
      <c r="DS27" s="238"/>
      <c r="DT27" s="239"/>
      <c r="DU27" s="239"/>
      <c r="DV27" s="241"/>
      <c r="DW27" s="91"/>
      <c r="DX27" s="89"/>
      <c r="DY27" s="89"/>
      <c r="DZ27" s="89"/>
      <c r="EA27" s="90"/>
      <c r="EB27" s="91"/>
      <c r="EC27" s="89"/>
      <c r="ED27" s="89"/>
      <c r="EE27" s="89"/>
      <c r="EF27" s="90"/>
      <c r="EG27" s="242"/>
      <c r="EH27" s="245"/>
      <c r="EI27" s="246"/>
      <c r="EJ27" s="198"/>
      <c r="EK27" s="198"/>
      <c r="EL27" s="101"/>
      <c r="EM27" s="94"/>
      <c r="EN27" s="94"/>
      <c r="EO27" s="94"/>
      <c r="EP27" s="95"/>
      <c r="EQ27" s="199"/>
      <c r="ER27" s="101"/>
      <c r="ES27" s="94"/>
      <c r="ET27" s="94"/>
      <c r="EU27" s="94"/>
      <c r="EV27" s="95"/>
      <c r="EW27" s="101"/>
      <c r="EX27" s="94"/>
      <c r="EY27" s="94"/>
      <c r="EZ27" s="94"/>
      <c r="FA27" s="94"/>
      <c r="FB27" s="95"/>
      <c r="FC27" s="199"/>
      <c r="FD27" s="101"/>
      <c r="FE27" s="94"/>
      <c r="FF27" s="94"/>
      <c r="FG27" s="94"/>
      <c r="FH27" s="95"/>
      <c r="FI27" s="101"/>
      <c r="FJ27" s="94"/>
      <c r="FK27" s="94"/>
      <c r="FL27" s="94"/>
      <c r="FM27" s="94"/>
      <c r="FN27" s="95"/>
      <c r="FO27" s="199"/>
      <c r="FP27" s="101"/>
      <c r="FQ27" s="94"/>
      <c r="FR27" s="94"/>
      <c r="FS27" s="94"/>
      <c r="FT27" s="95"/>
      <c r="FU27" s="96"/>
      <c r="FV27" s="101"/>
      <c r="FW27" s="94"/>
      <c r="FX27" s="94"/>
      <c r="FY27" s="94"/>
      <c r="FZ27" s="95"/>
      <c r="GA27" s="96"/>
      <c r="GB27" s="96"/>
      <c r="GC27" s="101"/>
      <c r="GD27" s="94"/>
      <c r="GE27" s="94"/>
      <c r="GF27" s="94"/>
      <c r="GG27" s="95"/>
      <c r="GH27" s="101"/>
      <c r="GI27" s="94"/>
      <c r="GJ27" s="94"/>
      <c r="GK27" s="94"/>
      <c r="GL27" s="94"/>
      <c r="GM27" s="95"/>
      <c r="GN27" s="96"/>
      <c r="GO27" s="101"/>
      <c r="GP27" s="94"/>
      <c r="GQ27" s="94"/>
      <c r="GR27" s="94"/>
      <c r="GS27" s="95"/>
      <c r="GT27" s="101"/>
      <c r="GU27" s="94"/>
      <c r="GV27" s="94"/>
      <c r="GW27" s="94"/>
      <c r="GX27" s="94"/>
      <c r="GY27" s="102"/>
      <c r="GZ27" s="199"/>
      <c r="HA27" s="92"/>
      <c r="HB27" s="94"/>
      <c r="HC27" s="94"/>
      <c r="HD27" s="94"/>
      <c r="HE27" s="102"/>
      <c r="HF27" s="199"/>
      <c r="HG27" s="92"/>
      <c r="HH27" s="94"/>
      <c r="HI27" s="94"/>
      <c r="HJ27" s="94"/>
      <c r="HK27" s="95"/>
      <c r="HL27" s="199"/>
      <c r="HM27" s="199"/>
    </row>
    <row r="28" spans="1:221" x14ac:dyDescent="0.25">
      <c r="A28" s="217" t="s">
        <v>339</v>
      </c>
      <c r="C28" s="266">
        <v>41727</v>
      </c>
      <c r="D28" s="217">
        <v>23.9</v>
      </c>
      <c r="E28" s="6">
        <v>7.35</v>
      </c>
      <c r="H28" s="5"/>
      <c r="AD28" s="83">
        <f>IF(E28&lt;&gt;"",10^(-2*$E28)/(10^(-2*$E28)+10^(-$E28-pKa!$B$2)+(10^(-pKa!$B$2-pKa!$C$2))),"")</f>
        <v>8.1747608235345243E-2</v>
      </c>
      <c r="AE28" s="84">
        <f>IF(E28&lt;&gt;"",10^(-$E28-pKa!$B$2)/(10^(-2*$E28)+10^(-$E28-pKa!$B$2)+10^(-pKa!$B$2-pKa!$C$2)),"")</f>
        <v>0.9172232503510459</v>
      </c>
      <c r="AF28" s="212">
        <f>IF(E28&lt;&gt;"",10^(-pKa!$B$2-pKa!$C$2)/(10^(-2*$E28)+10^(-$E28-pKa!$B$2)+10^(-pKa!$B$2-pKa!$C$2)),"")</f>
        <v>1.0291414136086995E-3</v>
      </c>
      <c r="AG28" s="152"/>
      <c r="AH28" s="222">
        <f>IF($AK28&lt;&gt;"",$AK28/'Elements and ions'!$G$3,IF($E28="","",""))</f>
        <v>4.1627852245380135</v>
      </c>
      <c r="AI28" s="85">
        <f t="shared" ref="AI28" si="362">IF($AH28&lt;&gt;"",($AH28-10^(-14+$E28)+10^(-$E28))/1000/(AE28+2*AF28),IF($E28="","",""))</f>
        <v>4.5283026962829546E-3</v>
      </c>
      <c r="AJ28" s="84">
        <f>IF(AI28&lt;&gt;"",AI28*1000*'Elements and ions'!$B$7,"")</f>
        <v>54.388085194245683</v>
      </c>
      <c r="AK28" s="99">
        <v>254</v>
      </c>
      <c r="AL28" s="88">
        <f>IF($AK28&lt;&gt;"",$AK28/'Elements and ions'!$G$3*Minerals!$B$6/2,IF($E28="","","Enter Alk(HCO3-)"))</f>
        <v>208.32013424490685</v>
      </c>
      <c r="AM28" s="199"/>
      <c r="AN28" s="101">
        <f>IF(AND($E28&lt;&gt;"",AI28&lt;&gt;""),AI28*AD28,"")</f>
        <v>3.7017791478679651E-4</v>
      </c>
      <c r="AO28" s="94">
        <f>IF(AND($E28&lt;&gt;"",AI28&lt;&gt;""),AI28*AE28,"")</f>
        <v>4.153464517658057E-3</v>
      </c>
      <c r="AP28" s="95">
        <f>IF(AND($E28&lt;&gt;"",AI28&lt;&gt;""),AI28*AF28,"")</f>
        <v>4.6602638381007253E-6</v>
      </c>
      <c r="AQ28" s="199"/>
      <c r="AR28" s="199"/>
      <c r="AS28" s="83">
        <f t="shared" si="66"/>
        <v>1.0887585729023428</v>
      </c>
      <c r="AT28" s="83">
        <f>IF(AN28&lt;&gt;"",AN28/'Henrys law constants'!$B$7*1000000,"")</f>
        <v>10887.585729023427</v>
      </c>
      <c r="AU28" s="3">
        <v>12.8032</v>
      </c>
      <c r="AV28" s="6">
        <v>2.6715</v>
      </c>
      <c r="AW28" s="6">
        <v>77.275400000000005</v>
      </c>
      <c r="AX28" s="6">
        <v>12.663500000000001</v>
      </c>
      <c r="AY28" s="226">
        <f>AO28*'Elements and ions'!$G$3*1000</f>
        <v>253.43127991961885</v>
      </c>
      <c r="AZ28" s="6">
        <v>19.8429</v>
      </c>
      <c r="BA28" s="6">
        <v>24.202999999999999</v>
      </c>
      <c r="BB28" s="5">
        <v>13.9884</v>
      </c>
      <c r="BC28" s="222">
        <f>IF($E28&lt;&gt;"",10^-$E28*'Elements and ions'!B30*1000,"")</f>
        <v>0</v>
      </c>
      <c r="BE28" s="6"/>
      <c r="BF28" s="6"/>
      <c r="BG28" s="5">
        <v>0</v>
      </c>
      <c r="BH28" s="3"/>
      <c r="BJ28" s="92">
        <f>IF($AN28&lt;&gt;"",$AN28*'Elements and ions'!$G$2*1000,"")</f>
        <v>22.960203725509796</v>
      </c>
      <c r="BK28" s="229"/>
      <c r="BL28" s="230"/>
      <c r="BM28" s="101">
        <f>IF($E28&lt;&gt;"",(10^-14+$E28)*'Elements and ions'!$G$8,"")</f>
        <v>125.00394900000015</v>
      </c>
      <c r="BO28" s="102">
        <f>IF($AP28&lt;&gt;"",$AP28*'Elements and ions'!$G$4*1000,"")</f>
        <v>0.27965730663420263</v>
      </c>
      <c r="BP28" s="6">
        <v>0.1197</v>
      </c>
      <c r="BQ28" s="5">
        <v>0</v>
      </c>
      <c r="BR28" s="195"/>
      <c r="BS28" s="238">
        <f>IF($AU28&lt;&gt;"",$AU28/'Elements and ions'!$B$12,"")</f>
        <v>0.55690859025445605</v>
      </c>
      <c r="BT28" s="239">
        <f>IF($AV28&lt;&gt;"",$AV28/'Elements and ions'!$B$20,"")</f>
        <v>6.8327778957141358E-2</v>
      </c>
      <c r="BU28" s="239">
        <f>IF($AW28&lt;&gt;"",$AW28/'Elements and ions'!$B$21, "")</f>
        <v>1.9281251559459054</v>
      </c>
      <c r="BV28" s="240">
        <f>IF($AX28&lt;&gt;"",$AX28/'Elements and ions'!$B$13, "")</f>
        <v>0.52102448055955564</v>
      </c>
      <c r="BW28" s="238">
        <f>IF($AY28&lt;&gt;"",$AY28/'Elements and ions'!$G$3,"")</f>
        <v>4.1534645176580574</v>
      </c>
      <c r="BX28" s="239">
        <f>IF($AZ28&lt;&gt;"",$AZ28/'Elements and ions'!$B$18,"")</f>
        <v>0.55969593546385354</v>
      </c>
      <c r="BY28" s="239">
        <f>IF($BA28&lt;&gt;"",$BA28/'Elements and ions'!$G$7,"")</f>
        <v>0.39034011828097459</v>
      </c>
      <c r="BZ28" s="241">
        <f>IF($BB28&lt;&gt;"",$BB28/'Elements and ions'!$G$5,"")</f>
        <v>0.1456175452257174</v>
      </c>
      <c r="CA28" s="91">
        <f t="shared" si="67"/>
        <v>4.466835921509628E-5</v>
      </c>
      <c r="CB28" s="163" t="str">
        <f>IF($BD28&lt;&gt;"",$BD28/'Elements and ions'!$B$14,"")</f>
        <v/>
      </c>
      <c r="CC28" s="89" t="str">
        <f>IF($BE28&lt;&gt;"",$BE28/'Elements and ions'!$B$27, "")</f>
        <v/>
      </c>
      <c r="CD28" s="249" t="str">
        <f>IF($BF28&lt;&gt;"",$BF28/'Elements and ions'!$B$26,"")</f>
        <v/>
      </c>
      <c r="CE28" s="250">
        <f>IF($BG28&lt;&gt;"",$BG28/'Elements and ions'!$G$6,"")</f>
        <v>0</v>
      </c>
      <c r="CF28" s="91" t="str">
        <f>IF($BH28&lt;&gt;"",$BH28/'Elements and ions'!$G$15,"")</f>
        <v/>
      </c>
      <c r="CG28" s="89" t="str">
        <f>IF($BI28&lt;&gt;"",$BI28/'Elements and ions'!$G$16,"")</f>
        <v/>
      </c>
      <c r="CH28" s="90">
        <f>IF($BJ28&lt;&gt;"",$BJ28/'Elements and ions'!$G$2,"")</f>
        <v>0.37017791478679646</v>
      </c>
      <c r="CI28" s="91" t="str">
        <f>IF($BK28&lt;&gt;"",$BK28/'Elements and ions'!$B$15, "")</f>
        <v/>
      </c>
      <c r="CJ28" s="88" t="str">
        <f>IF($BL28&lt;&gt;"", $BL28/'Elements and ions'!$G$17,"")</f>
        <v/>
      </c>
      <c r="CK28" s="89">
        <f t="shared" si="68"/>
        <v>2.2387211385683345E-4</v>
      </c>
      <c r="CL28" s="163" t="str">
        <f>IF($BN28&lt;&gt;"", $BN28/'Elements and ions'!$G$19,"")</f>
        <v/>
      </c>
      <c r="CM28" s="89">
        <f>IF($BO28&lt;&gt;"",$BO28/'Elements and ions'!$G$4,"")</f>
        <v>4.6602638381007255E-3</v>
      </c>
      <c r="CN28" s="89">
        <f>IF($BP28&lt;&gt;"",$BP28/'Elements and ions'!$B$10,"")</f>
        <v>6.3005295097642734E-3</v>
      </c>
      <c r="CO28" s="104">
        <f>IF($BQ28&lt;&gt;"",$BQ28/'Elements and ions'!$G$18,"")</f>
        <v>0</v>
      </c>
      <c r="CP28" s="242"/>
      <c r="CQ28" s="238">
        <f t="shared" ref="CQ28" si="363">IF($BS28&lt;&gt;"",BS28/1000,"")</f>
        <v>5.5690859025445604E-4</v>
      </c>
      <c r="CR28" s="239">
        <f t="shared" ref="CR28" si="364">IF($BT28&lt;&gt;"",BT28/1000,"")</f>
        <v>6.8327778957141355E-5</v>
      </c>
      <c r="CS28" s="239">
        <f t="shared" ref="CS28" si="365">IF($BU28&lt;&gt;"",BU28/1000,"")</f>
        <v>1.9281251559459054E-3</v>
      </c>
      <c r="CT28" s="241">
        <f t="shared" ref="CT28" si="366">IF($BV28&lt;&gt;"",BV28/1000,"")</f>
        <v>5.2102448055955561E-4</v>
      </c>
      <c r="CU28" s="238">
        <f t="shared" ref="CU28" si="367">IF($BW28&lt;&gt;"",BW28/1000,"")</f>
        <v>4.153464517658057E-3</v>
      </c>
      <c r="CV28" s="239">
        <f t="shared" ref="CV28" si="368">IF($BX28&lt;&gt;"",BX28/1000,"")</f>
        <v>5.5969593546385354E-4</v>
      </c>
      <c r="CW28" s="239">
        <f t="shared" ref="CW28" si="369">IF($BY28&lt;&gt;"",BY28/1000,"")</f>
        <v>3.9034011828097457E-4</v>
      </c>
      <c r="CX28" s="241">
        <f t="shared" ref="CX28" si="370">IF(BZ28&lt;&gt;"",BZ28/1000,"")</f>
        <v>1.456175452257174E-4</v>
      </c>
      <c r="CY28" s="258">
        <f t="shared" si="98"/>
        <v>4.466835921509628E-8</v>
      </c>
      <c r="CZ28" s="259" t="str">
        <f t="shared" ref="CZ28" si="371">IF(CB28&lt;&gt;"",CB28/1000,"")</f>
        <v/>
      </c>
      <c r="DA28" s="260" t="str">
        <f t="shared" ref="DA28" si="372">IF(CC28&lt;&gt;"",CC28/1000,"")</f>
        <v/>
      </c>
      <c r="DB28" s="261" t="str">
        <f t="shared" ref="DB28" si="373">IF(CD28&lt;&gt;"",CD28/1000,"")</f>
        <v/>
      </c>
      <c r="DC28" s="262">
        <f t="shared" ref="DC28" si="374">IF(CE28&lt;&gt;"",CE28/1000,"")</f>
        <v>0</v>
      </c>
      <c r="DD28" s="263" t="str">
        <f t="shared" ref="DD28" si="375">IF(CF28&lt;&gt;"",CF28/1000,"")</f>
        <v/>
      </c>
      <c r="DE28" s="259" t="str">
        <f t="shared" ref="DE28" si="376">IF(CG28&lt;&gt;"",CG28/1000,"")</f>
        <v/>
      </c>
      <c r="DF28" s="260">
        <f t="shared" ref="DF28" si="377">IF(CH28&lt;&gt;"",CH28/1000,"")</f>
        <v>3.7017791478679646E-4</v>
      </c>
      <c r="DG28" s="260" t="str">
        <f t="shared" ref="DG28" si="378">IF(CI28&lt;&gt;"",CI28/1000,"")</f>
        <v/>
      </c>
      <c r="DH28" s="264" t="str">
        <f t="shared" ref="DH28" si="379">IF(CJ28&lt;&gt;"",CJ28/1000,"")</f>
        <v/>
      </c>
      <c r="DI28" s="258">
        <f t="shared" si="108"/>
        <v>2.2387211385683346E-7</v>
      </c>
      <c r="DJ28" s="260" t="str">
        <f t="shared" ref="DJ28" si="380">IF(CL28&lt;&gt;"",CL28/1000,"")</f>
        <v/>
      </c>
      <c r="DK28" s="260">
        <f t="shared" ref="DK28" si="381">IF(CM28&lt;&gt;"",CM28/1000,"")</f>
        <v>4.6602638381007253E-6</v>
      </c>
      <c r="DL28" s="260">
        <f t="shared" ref="DL28" si="382">IF(CN28&lt;&gt;"",CN28/1000,"")</f>
        <v>6.300529509764273E-6</v>
      </c>
      <c r="DM28" s="265">
        <f t="shared" ref="DM28" si="383">IF(CO28&lt;&gt;"",CO28/1000,"")</f>
        <v>0</v>
      </c>
      <c r="DN28" s="242"/>
      <c r="DO28" s="238">
        <f t="shared" ref="DO28" si="384">IF($BS28&lt;&gt;"",BS28,0)</f>
        <v>0.55690859025445605</v>
      </c>
      <c r="DP28" s="239">
        <f t="shared" ref="DP28" si="385">IF($BT28&lt;&gt;"",BT28,0)</f>
        <v>6.8327778957141358E-2</v>
      </c>
      <c r="DQ28" s="239">
        <f t="shared" ref="DQ28" si="386">IF($BU28&lt;&gt;"",BU28*2,0)</f>
        <v>3.8562503118918108</v>
      </c>
      <c r="DR28" s="241">
        <f t="shared" ref="DR28" si="387">IF($BV28&lt;&gt;"",BV28*2,0)</f>
        <v>1.0420489611191113</v>
      </c>
      <c r="DS28" s="238">
        <f t="shared" ref="DS28" si="388">IF($BW28&lt;&gt;"",BW28*-1,0)</f>
        <v>-4.1534645176580574</v>
      </c>
      <c r="DT28" s="239">
        <f t="shared" ref="DT28" si="389">IF($BX28&lt;&gt;"",BX28*-1,0)</f>
        <v>-0.55969593546385354</v>
      </c>
      <c r="DU28" s="239">
        <f t="shared" ref="DU28" si="390">IF($BY28&lt;&gt;"",BY28*-1,0)</f>
        <v>-0.39034011828097459</v>
      </c>
      <c r="DV28" s="241">
        <f t="shared" ref="DV28" si="391">IF($BZ28&lt;&gt;"",BZ28*-2,0)</f>
        <v>-0.29123509045143481</v>
      </c>
      <c r="DW28" s="91">
        <f t="shared" si="113"/>
        <v>4.466835921509628E-5</v>
      </c>
      <c r="DX28" s="89">
        <f t="shared" ref="DX28" si="392">IF(CB28&lt;&gt;"",CB28*3,0)</f>
        <v>0</v>
      </c>
      <c r="DY28" s="89">
        <f t="shared" ref="DY28" si="393">IF(CC28&lt;&gt;"",CC28*2,0)</f>
        <v>0</v>
      </c>
      <c r="DZ28" s="89">
        <f t="shared" ref="DZ28" si="394">IF(CD28&lt;&gt;"",CD28*2,0)</f>
        <v>0</v>
      </c>
      <c r="EA28" s="90">
        <f t="shared" ref="EA28" si="395">IF(CE28&lt;&gt;"",CE28,0)</f>
        <v>0</v>
      </c>
      <c r="EB28" s="91">
        <f t="shared" si="118"/>
        <v>-2.2387211385683345E-4</v>
      </c>
      <c r="EC28" s="89">
        <f t="shared" ref="EC28" si="396">IF(CL28&lt;&gt;"",CL28*-1,0)</f>
        <v>0</v>
      </c>
      <c r="ED28" s="89">
        <f t="shared" ref="ED28" si="397">IF(CM28&lt;&gt;"",CM28*-2,0)</f>
        <v>-9.3205276762014511E-3</v>
      </c>
      <c r="EE28" s="89">
        <f t="shared" ref="EE28" si="398">IF(CN28&lt;&gt;"",CN28*-1,0)</f>
        <v>-6.3005295097642734E-3</v>
      </c>
      <c r="EF28" s="90">
        <f t="shared" ref="EF28" si="399">IF(CO28&lt;&gt;"",CO28*-2,0)</f>
        <v>0</v>
      </c>
      <c r="EG28" s="242"/>
      <c r="EH28" s="245">
        <f t="shared" ref="EH28" si="400">SUM(DO28:DR28,DW28:EA28)</f>
        <v>5.5235803105817345</v>
      </c>
      <c r="EI28" s="246">
        <f t="shared" ref="EI28" si="401">SUM(DS28:DV28,EB28:EF28)</f>
        <v>-5.4105805911541429</v>
      </c>
      <c r="EJ28" s="198">
        <f t="shared" ref="EJ28" si="402">IF(EH28&lt;&gt;EI28,(EH28+EI28)/(EH28-EI28)*100,0)</f>
        <v>1.0334557945790979</v>
      </c>
      <c r="EK28" s="198">
        <f t="shared" ref="EK28" si="403">0.5*(DO28+DP28+4*DQ28+4*DR28+4*DY28-DS28-DT28-4*DV28-DU28-EE28)/1000</f>
        <v>1.324658746198684E-2</v>
      </c>
      <c r="EL28" s="101">
        <f>IF(AND(CS28&lt;&gt;"",DK28&lt;&gt;""),LOG(CS28*DK28/Minerals!$C$6),"")</f>
        <v>0.43371773177626682</v>
      </c>
      <c r="EM28" s="94">
        <f>IF(AND(CS28&lt;&gt;"",DK28&lt;&gt;""),LOG(CS28*DK28/Minerals!$C$5),"")</f>
        <v>0.30323820242004912</v>
      </c>
      <c r="EN28" s="94">
        <f>IF(AND(CS28&lt;&gt;"",DL28&lt;&gt;""),LOG(CS28*DL28^2/Minerals!$C$2),"")</f>
        <v>-2.5461857346931409</v>
      </c>
      <c r="EO28" s="94">
        <f>IF(AND(CS28&lt;&gt;"",CX28&lt;&gt;""),LOG($CS28*$CX28/Minerals!$C$3),"")</f>
        <v>-1.9516707086472946</v>
      </c>
      <c r="EP28" s="95">
        <f>IF(AND(CS28&lt;&gt;"",CX28&lt;&gt;""),LOG($CS28*$CX28/Minerals!$C$4),"")</f>
        <v>-2.1916552201131969</v>
      </c>
      <c r="EQ28" s="199"/>
      <c r="ER28" s="101">
        <f t="shared" si="315"/>
        <v>0.8879586941333355</v>
      </c>
      <c r="ES28" s="94">
        <f t="shared" si="315"/>
        <v>0.8879586941333355</v>
      </c>
      <c r="ET28" s="94">
        <f t="shared" si="316"/>
        <v>0.62168595406382887</v>
      </c>
      <c r="EU28" s="94">
        <f t="shared" si="316"/>
        <v>0.62168595406382887</v>
      </c>
      <c r="EV28" s="95">
        <f t="shared" si="316"/>
        <v>0.62168595406382887</v>
      </c>
      <c r="EW28" s="101">
        <f t="shared" si="317"/>
        <v>0.8879586941333355</v>
      </c>
      <c r="EX28" s="94">
        <f t="shared" si="31"/>
        <v>0.62168595406382887</v>
      </c>
      <c r="EY28" s="94">
        <f t="shared" si="317"/>
        <v>0.8879586941333355</v>
      </c>
      <c r="EZ28" s="94">
        <f t="shared" si="317"/>
        <v>0.8879586941333355</v>
      </c>
      <c r="FA28" s="94">
        <f t="shared" si="165"/>
        <v>0.8879586941333355</v>
      </c>
      <c r="FB28" s="95">
        <f t="shared" si="32"/>
        <v>0.62168595406382887</v>
      </c>
      <c r="FC28" s="199"/>
      <c r="FD28" s="101">
        <f t="shared" ref="FD28" si="404">IF($CQ28&lt;&gt;"",ER28*$CQ28,"")</f>
        <v>4.9451182455398357E-4</v>
      </c>
      <c r="FE28" s="94">
        <f t="shared" ref="FE28" si="405">IF($CR28&lt;&gt;"",ES28*$CR28,"")</f>
        <v>6.0672245375814439E-5</v>
      </c>
      <c r="FF28" s="94">
        <f t="shared" ref="FF28" si="406">IF($CS28&lt;&gt;"",ET28*$CS28,"")</f>
        <v>1.198688327128699E-3</v>
      </c>
      <c r="FG28" s="94">
        <f t="shared" ref="FG28" si="407">IF($CT28&lt;&gt;"",EU28*$CT28,"")</f>
        <v>3.2391360128727821E-4</v>
      </c>
      <c r="FH28" s="95" t="str">
        <f t="shared" ref="FH28" si="408">IF($DA28&lt;&gt;"",EV28*$DA28,"")</f>
        <v/>
      </c>
      <c r="FI28" s="101">
        <f t="shared" ref="FI28" si="409">IF($CU28&lt;&gt;"",EW28*$CU28,"")</f>
        <v>3.6881049292287926E-3</v>
      </c>
      <c r="FJ28" s="94">
        <f t="shared" ref="FJ28" si="410">IF($DK28&lt;&gt;"",EX28*$DK28,"")</f>
        <v>2.8972205703788103E-6</v>
      </c>
      <c r="FK28" s="94">
        <f t="shared" ref="FK28" si="411">IF($CV28&lt;&gt;"",EY28*$CV28,"")</f>
        <v>4.96986871966219E-4</v>
      </c>
      <c r="FL28" s="94">
        <f t="shared" ref="FL28" si="412">IF($CW28&lt;&gt;"",EZ28*$CW28,"")</f>
        <v>3.4660590169662589E-4</v>
      </c>
      <c r="FM28" s="94">
        <f t="shared" ref="FM28" si="413">IF($DL28&lt;&gt;"",FA28*$DL28,"")</f>
        <v>5.5946099558388281E-6</v>
      </c>
      <c r="FN28" s="95">
        <f t="shared" ref="FN28" si="414">IF($CX28&lt;&gt;"",FB28*$CX28,"")</f>
        <v>9.0528382532082871E-5</v>
      </c>
      <c r="FO28" s="199"/>
      <c r="FP28" s="101">
        <f>IF(EL28&lt;&gt;"",LOG(FF28*FJ28/Minerals!$C$6),"")</f>
        <v>2.0859842444757432E-2</v>
      </c>
      <c r="FQ28" s="94">
        <f>IF(EL28&lt;&gt;"",LOG(FF28*FJ28/Minerals!$C$5),"")</f>
        <v>-0.10961968691146026</v>
      </c>
      <c r="FR28" s="94">
        <f>IF(EN28&lt;&gt;"",LOG(FF28*FM28^2/Minerals!$C$2),"")</f>
        <v>-2.8558291516917729</v>
      </c>
      <c r="FS28" s="94">
        <f>IF(EO28&lt;&gt;"",LOG($FF28*$FN28/Minerals!$C$3),"")</f>
        <v>-2.3645285979788042</v>
      </c>
      <c r="FT28" s="95">
        <f>IF(EP28&lt;&gt;"",LOG($FF28*$FN28/Minerals!$C$4),"")</f>
        <v>-2.6045131094447065</v>
      </c>
      <c r="FU28" s="96"/>
      <c r="FV28" s="101">
        <f>IF(FP28&lt;&gt;"",LOG(FF28*FJ28/(EXP(-1*Minerals!$E$6/'Other Constants'!$B$2*(1/(273.15+'ppm-mgL-1'!$D28)-1/298.15)+LN(Minerals!$C$6)))),"")</f>
        <v>-0.40973715905829705</v>
      </c>
      <c r="FW28" s="94">
        <f>IF(FP28&lt;&gt;"",LOG(FF28*FJ28/(EXP(-1*Minerals!$E$5/'Other Constants'!$B$2*(1/(273.15+'ppm-mgL-1'!$D28)-1/298.15)+LN(Minerals!$C$5)))),"")</f>
        <v>-0.54025561567635016</v>
      </c>
      <c r="FX28" s="94">
        <f>IF(FR28&lt;&gt;"",LOG(FF28*FM28^2/(EXP(-1*Minerals!$E$2/'Other Constants'!$B$2*(1/(273.15+'ppm-mgL-1'!$D28)-1/298.15)+LN(Minerals!$C$2)))),"")</f>
        <v>-2.8376241689070278</v>
      </c>
      <c r="FY28" s="94">
        <f>IF(FS28&lt;&gt;"",LOG($FF28*$FN28/(EXP(-1*Minerals!$E$3/'Other Constants'!$B$2*(1/(273.15+'ppm-mgL-1'!$D28)-1/298.15)+LN(Minerals!$C$3)))),"")</f>
        <v>-1.9933389903283774</v>
      </c>
      <c r="FZ28" s="95">
        <f>IF(FT28&lt;&gt;"",LOG($FF28*$FN28/(EXP(-1*Minerals!$E$4/'Other Constants'!$B$2*(1/(273.15+'ppm-mgL-1'!$D28)-1/298.15)+LN(Minerals!$C$4)))),"")</f>
        <v>-2.6151467398025816</v>
      </c>
      <c r="GA28" s="96"/>
      <c r="GB28" s="96"/>
      <c r="GC28" s="101">
        <f>10^(-1825000*(79.755*EXP(-0.0046*($D28-20))*($D28+273.15))^-1.5*$EK28^0.5/(1+'Elements and ions'!$D$12*$EK28^0.5/(2*(79.755*EXP(-0.0046*($D28-20))*($D28+273.15))^0.5)))</f>
        <v>0.88835332947289469</v>
      </c>
      <c r="GD28" s="94">
        <f>10^(-1825000*(79.755*EXP(-0.0046*($D28-20))*($D28+273.15))^-1.5*$EK28^0.5/(1+'Elements and ions'!$D$20*$EK28^0.5/(2*(79.755*EXP(-0.0046*($D28-20))*($D28+273.15))^0.5)))</f>
        <v>0.88479640084118572</v>
      </c>
      <c r="GE28" s="94">
        <f>10^(-1825000*(79.755*EXP(-0.0046*($D28-20))*($D28+273.15))^-1.5*4*$EK28^0.5/(1+'Elements and ions'!$D$21*$EK28^0.5/(2*(79.755*EXP(-0.0046*($D28-20))*($D28+273.15))^0.5)))</f>
        <v>0.64120317266042548</v>
      </c>
      <c r="GF28" s="94">
        <f>10^(-1825000*(79.755*EXP(-0.0046*($D28-20))*($D28+273.15))^-1.5*4*$EK28^0.5/(1+'Elements and ions'!$D$13*$EK28^0.5/(2*(79.755*EXP(-0.0046*($D28-20))*($D28+273.15))^0.5)))</f>
        <v>0.65793311055584747</v>
      </c>
      <c r="GG28" s="95">
        <f>10^(-1825000*(79.755*EXP(-0.0046*($D28-20))*($D28+273.15))^-1.5*4*$EK28^0.5/(1+'Elements and ions'!$D$27*$EK28^0.5/(2*(79.755*EXP(-0.0046*($D28-20))*($D28+273.15))^0.5)))</f>
        <v>0.64120317266042548</v>
      </c>
      <c r="GH28" s="101">
        <f>10^(-1825000*(79.755*EXP(-0.0046*($D28-20))*($D28+273.15))^-1.5*$EK28^0.5/(1+'Elements and ions'!$G$3*$EK28^0.5/(2*(79.755*EXP(-0.0046*($D28-20))*($D28+273.15))^0.5)))</f>
        <v>0.87530382038092291</v>
      </c>
      <c r="GI28" s="94">
        <f>10^(-1825000*(79.755*EXP(-0.0046*($D28-20))*($D28+273.15))^-1.5*4*$EK28^0.5/(1+'Elements and ions'!$G$4*$EK28^0.5/(2*(79.755*EXP(-0.0046*($D28-20))*($D28+273.15))^0.5)))</f>
        <v>0.58687994539005761</v>
      </c>
      <c r="GJ28" s="94">
        <f>10^(-1825000*(79.755*EXP(-0.0046*($D28-20))*($D28+273.15))^-1.5*$EK28^0.5/(1+'Elements and ions'!$D$18*$EK28^0.5/(2*(79.755*EXP(-0.0046*($D28-20))*($D28+273.15))^0.5)))</f>
        <v>0.88479640084118572</v>
      </c>
      <c r="GK28" s="94">
        <f>10^(-1825000*(79.755*EXP(-0.0046*($D28-20))*($D28+273.15))^-1.5*$EK28^0.5/(1+'Elements and ions'!$I$7*$EK28^0.5/(2*(79.755*EXP(-0.0046*($D28-20))*($D28+273.15))^0.5)))</f>
        <v>0.88479640084118572</v>
      </c>
      <c r="GL28" s="94">
        <f>10^(-1825000*(79.755*EXP(-0.0046*($D28-20))*($D28+273.15))^-1.5*$EK28^0.5/(1+'Elements and ions'!$D$10*$EK28^0.5/(2*(79.755*EXP(-0.0046*($D28-20))*($D28+273.15))^0.5)))</f>
        <v>0.88660271505709232</v>
      </c>
      <c r="GM28" s="95">
        <f>10^(-1825000*(79.755*EXP(-0.0046*($D28-20))*($D28+273.15))^-1.5*4*$EK28^0.5/(1+'Elements and ions'!$I$5*$EK28^0.5/(2*(79.755*EXP(-0.0046*($D28-20))*($D28+273.15))^0.5)))</f>
        <v>0.62279187420083926</v>
      </c>
      <c r="GN28" s="96"/>
      <c r="GO28" s="101">
        <f t="shared" ref="GO28" si="415">IF($CQ28&lt;&gt;"",GC28*$CQ28,"")</f>
        <v>4.947316003646021E-4</v>
      </c>
      <c r="GP28" s="94">
        <f t="shared" ref="GP28" si="416">IF($CR28&lt;&gt;"",GD28*$CR28,"")</f>
        <v>6.0456172898750776E-5</v>
      </c>
      <c r="GQ28" s="94">
        <f t="shared" ref="GQ28" si="417">IF($CS28&lt;&gt;"",GE28*$CS28,"")</f>
        <v>1.2363199672788922E-3</v>
      </c>
      <c r="GR28" s="94">
        <f t="shared" ref="GR28" si="418">IF($CT28&lt;&gt;"",GF28*$CT28,"")</f>
        <v>3.4279925717029311E-4</v>
      </c>
      <c r="GS28" s="95" t="str">
        <f t="shared" ref="GS28" si="419">IF($DA28&lt;&gt;"",GG28*$DA28,"")</f>
        <v/>
      </c>
      <c r="GT28" s="101">
        <f t="shared" ref="GT28" si="420">IF($CU28&lt;&gt;"",GH28*$CU28,"")</f>
        <v>3.6355433601227044E-3</v>
      </c>
      <c r="GU28" s="94">
        <f t="shared" ref="GU28" si="421">IF($DK28&lt;&gt;"",GI28*$DK28,"")</f>
        <v>2.7350153868078138E-6</v>
      </c>
      <c r="GV28" s="94">
        <f t="shared" ref="GV28" si="422">IF($CV28&lt;&gt;"",GJ28*$CV28,"")</f>
        <v>4.952169492638582E-4</v>
      </c>
      <c r="GW28" s="94">
        <f t="shared" ref="GW28" si="423">IF($CW28&lt;&gt;"",GK28*$CW28,"")</f>
        <v>3.4537153175892901E-4</v>
      </c>
      <c r="GX28" s="94">
        <f t="shared" ref="GX28" si="424">IF($DL28&lt;&gt;"",GL28*$DL28,"")</f>
        <v>5.5860665696543354E-6</v>
      </c>
      <c r="GY28" s="102">
        <f t="shared" ref="GY28" si="425">IF($CX28&lt;&gt;"",GM28*$CX28,"")</f>
        <v>9.0689423907650015E-5</v>
      </c>
      <c r="GZ28" s="199"/>
      <c r="HA28" s="92">
        <f>IF(AND(GQ28&lt;&gt;"",GU28&lt;&gt;""),LOG(GQ28*GU28/Minerals!$C$6),"")</f>
        <v>9.2626635863114933E-3</v>
      </c>
      <c r="HB28" s="94">
        <f>IF(AND(GQ28&lt;&gt;"",GU28&lt;&gt;""),LOG(GQ28*GU28/Minerals!$C$5),"")</f>
        <v>-0.12121686576990627</v>
      </c>
      <c r="HC28" s="94">
        <f>IF(AND(GQ28&lt;&gt;"",GX28&lt;&gt;""),LOG(GQ28*GX28^2/Minerals!$C$2),"")</f>
        <v>-2.8437319583013299</v>
      </c>
      <c r="HD28" s="94">
        <f>IF(AND(GQ28&lt;&gt;"",GY28&lt;&gt;""),LOG($GQ28*$GY28/Minerals!$C$3),"")</f>
        <v>-2.3503321085494329</v>
      </c>
      <c r="HE28" s="102">
        <f>IF(AND(GQ28&lt;&gt;"",GY28&lt;&gt;""),LOG($GQ28*$GY28/Minerals!$C$3),"")</f>
        <v>-2.3503321085494329</v>
      </c>
      <c r="HF28" s="199"/>
      <c r="HG28" s="92">
        <f>IF(HA28&lt;&gt;"",LOG(GQ28*GU28/(EXP(-1*Minerals!$E$6/'Other Constants'!$B$2*(1/(273.15+'ppm-mgL-1'!$D28)-1/298.15)+LN(Minerals!$C$6)))),"")</f>
        <v>-0.42133433791674302</v>
      </c>
      <c r="HH28" s="94">
        <f>IF(HA28&lt;&gt;"",LOG(GQ28*GU28/(EXP(-1*Minerals!$E$5/'Other Constants'!$B$2*(1/(273.15+'ppm-mgL-1'!$D28)-1/298.15)+LN(Minerals!$C$5)))),"")</f>
        <v>-0.55185279453479619</v>
      </c>
      <c r="HI28" s="94">
        <f>IF(HC28&lt;&gt;"",LOG(GQ28*GX28^2/(EXP(-1*Minerals!$E$2/'Other Constants'!$B$2*(1/(273.15+'ppm-mgL-1'!$D28)-1/298.15)+LN(Minerals!$C$2)))),"")</f>
        <v>-2.8255269755165848</v>
      </c>
      <c r="HJ28" s="94">
        <f>IF(HD28&lt;&gt;"",LOG($FF28*$FN28/(EXP(-1*Minerals!$E$3/'Other Constants'!$B$2*(1/(273.15+'ppm-mgL-1'!$D28)-1/298.15)+LN(Minerals!$C$3)))),"")</f>
        <v>-1.9933389903283774</v>
      </c>
      <c r="HK28" s="95">
        <f>IF(HE28&lt;&gt;"",LOG($FF28*$FN28/(EXP(-1*Minerals!$E$4/'Other Constants'!$B$2*(1/(273.15+'ppm-mgL-1'!$D28)-1/298.15)+LN(Minerals!$C$4)))),"")</f>
        <v>-2.6151467398025816</v>
      </c>
      <c r="HL28" s="199"/>
      <c r="HM28" s="199"/>
    </row>
    <row r="29" spans="1:221" x14ac:dyDescent="0.25">
      <c r="A29" s="217" t="s">
        <v>340</v>
      </c>
      <c r="C29" s="266">
        <v>41727</v>
      </c>
      <c r="D29" s="217">
        <v>21.8</v>
      </c>
      <c r="E29" s="6">
        <v>8.24</v>
      </c>
      <c r="H29" s="5"/>
      <c r="AD29" s="83">
        <f>IF(E29&lt;&gt;"",10^(-2*$E29)/(10^(-2*$E29)+10^(-$E29-pKa!$B$2)+(10^(-pKa!$B$2-pKa!$C$2))),"")</f>
        <v>1.1254298732237848E-2</v>
      </c>
      <c r="AE29" s="84">
        <f>IF(E29&lt;&gt;"",10^(-$E29-pKa!$B$2)/(10^(-2*$E29)+10^(-$E29-pKa!$B$2)+10^(-pKa!$B$2-pKa!$C$2)),"")</f>
        <v>0.98020844262680717</v>
      </c>
      <c r="AF29" s="212">
        <f>IF(E29&lt;&gt;"",10^(-pKa!$B$2-pKa!$C$2)/(10^(-2*$E29)+10^(-$E29-pKa!$B$2)+10^(-pKa!$B$2-pKa!$C$2)),"")</f>
        <v>8.5372586409550137E-3</v>
      </c>
      <c r="AG29" s="152"/>
      <c r="AH29" s="222">
        <f>IF($AK29&lt;&gt;"",$AK29/'Elements and ions'!$G$3,IF($E29="","",""))</f>
        <v>3.4180727812190868</v>
      </c>
      <c r="AI29" s="85">
        <f t="shared" ref="AI29" si="426">IF($AH29&lt;&gt;"",($AH29-10^(-14+$E29)+10^(-$E29))/1000/(AE29+2*AF29),IF($E29="","",""))</f>
        <v>3.427383387243996E-3</v>
      </c>
      <c r="AJ29" s="84">
        <f>IF(AI29&lt;&gt;"",AI29*1000*'Elements and ions'!$B$7,"")</f>
        <v>41.165273649171461</v>
      </c>
      <c r="AK29" s="99">
        <v>208.56</v>
      </c>
      <c r="AL29" s="88">
        <f>IF($AK29&lt;&gt;"",$AK29/'Elements and ions'!$G$3*Minerals!$B$6/2,IF($E29="","","Enter Alk(HCO3-)"))</f>
        <v>171.05215432329831</v>
      </c>
      <c r="AM29" s="199"/>
      <c r="AN29" s="101">
        <f>IF(AND($E29&lt;&gt;"",AI29&lt;&gt;""),AI29*AD29,"")</f>
        <v>3.8572796509953164E-5</v>
      </c>
      <c r="AO29" s="94">
        <f>IF(AND($E29&lt;&gt;"",AI29&lt;&gt;""),AI29*AE29,"")</f>
        <v>3.3595501322954283E-3</v>
      </c>
      <c r="AP29" s="95">
        <f>IF(AND($E29&lt;&gt;"",AI29&lt;&gt;""),AI29*AF29,"")</f>
        <v>2.9260458438614467E-5</v>
      </c>
      <c r="AQ29" s="199"/>
      <c r="AR29" s="199"/>
      <c r="AS29" s="83">
        <f t="shared" si="66"/>
        <v>0.11344940149986224</v>
      </c>
      <c r="AT29" s="83">
        <f>IF(AN29&lt;&gt;"",AN29/'Henrys law constants'!$B$7*1000000,"")</f>
        <v>1134.4940149986223</v>
      </c>
      <c r="AU29" s="3">
        <v>12.807</v>
      </c>
      <c r="AV29" s="6">
        <v>2.6629</v>
      </c>
      <c r="AW29" s="6">
        <v>63.488599999999998</v>
      </c>
      <c r="AX29" s="6">
        <v>12.6021</v>
      </c>
      <c r="AY29" s="226">
        <f>AO29*'Elements and ions'!$G$3*1000</f>
        <v>204.98913289424897</v>
      </c>
      <c r="AZ29" s="6">
        <v>19.87</v>
      </c>
      <c r="BA29" s="6">
        <v>24.176300000000001</v>
      </c>
      <c r="BB29" s="5">
        <v>13.913399999999999</v>
      </c>
      <c r="BC29" s="222">
        <f>IF($E29&lt;&gt;"",10^-$E29*'Elements and ions'!B31*1000,"")</f>
        <v>0</v>
      </c>
      <c r="BE29" s="6"/>
      <c r="BF29" s="6"/>
      <c r="BG29" s="5">
        <v>0</v>
      </c>
      <c r="BH29" s="3"/>
      <c r="BJ29" s="92">
        <f>IF($AN29&lt;&gt;"",$AN29*'Elements and ions'!$G$2*1000,"")</f>
        <v>2.3924692175146127</v>
      </c>
      <c r="BK29" s="229"/>
      <c r="BL29" s="230"/>
      <c r="BM29" s="101">
        <f>IF($E29&lt;&gt;"",(10^-14+$E29)*'Elements and ions'!$G$8,"")</f>
        <v>140.14048160000019</v>
      </c>
      <c r="BO29" s="102">
        <f>IF($AP29&lt;&gt;"",$AP29*'Elements and ions'!$G$4*1000,"")</f>
        <v>1.7558879243969716</v>
      </c>
      <c r="BP29" s="6">
        <v>0.1087</v>
      </c>
      <c r="BQ29" s="5">
        <v>0</v>
      </c>
      <c r="BR29" s="195"/>
      <c r="BS29" s="238">
        <f>IF($AU29&lt;&gt;"",$AU29/'Elements and ions'!$B$12,"")</f>
        <v>0.557073881169459</v>
      </c>
      <c r="BT29" s="239">
        <f>IF($AV29&lt;&gt;"",$AV29/'Elements and ions'!$B$20,"")</f>
        <v>6.8107820544627259E-2</v>
      </c>
      <c r="BU29" s="239">
        <f>IF($AW29&lt;&gt;"",$AW29/'Elements and ions'!$B$21, "")</f>
        <v>1.5841259543889414</v>
      </c>
      <c r="BV29" s="240">
        <f>IF($AX29&lt;&gt;"",$AX29/'Elements and ions'!$B$13, "")</f>
        <v>0.51849825138860317</v>
      </c>
      <c r="BW29" s="238">
        <f>IF($AY29&lt;&gt;"",$AY29/'Elements and ions'!$G$3,"")</f>
        <v>3.3595501322954284</v>
      </c>
      <c r="BX29" s="239">
        <f>IF($AZ29&lt;&gt;"",$AZ29/'Elements and ions'!$B$18,"")</f>
        <v>0.56046032775787658</v>
      </c>
      <c r="BY29" s="239">
        <f>IF($BA29&lt;&gt;"",$BA29/'Elements and ions'!$G$7,"")</f>
        <v>0.38990950715185413</v>
      </c>
      <c r="BZ29" s="241">
        <f>IF($BB29&lt;&gt;"",$BB29/'Elements and ions'!$G$5,"")</f>
        <v>0.14483680433384064</v>
      </c>
      <c r="CA29" s="91">
        <f t="shared" si="67"/>
        <v>5.7543993733715523E-6</v>
      </c>
      <c r="CB29" s="163" t="str">
        <f>IF($BD29&lt;&gt;"",$BD29/'Elements and ions'!$B$14,"")</f>
        <v/>
      </c>
      <c r="CC29" s="89" t="str">
        <f>IF($BE29&lt;&gt;"",$BE29/'Elements and ions'!$B$27, "")</f>
        <v/>
      </c>
      <c r="CD29" s="249" t="str">
        <f>IF($BF29&lt;&gt;"",$BF29/'Elements and ions'!$B$26,"")</f>
        <v/>
      </c>
      <c r="CE29" s="250">
        <f>IF($BG29&lt;&gt;"",$BG29/'Elements and ions'!$G$6,"")</f>
        <v>0</v>
      </c>
      <c r="CF29" s="91" t="str">
        <f>IF($BH29&lt;&gt;"",$BH29/'Elements and ions'!$G$15,"")</f>
        <v/>
      </c>
      <c r="CG29" s="89" t="str">
        <f>IF($BI29&lt;&gt;"",$BI29/'Elements and ions'!$G$16,"")</f>
        <v/>
      </c>
      <c r="CH29" s="90">
        <f>IF($BJ29&lt;&gt;"",$BJ29/'Elements and ions'!$G$2,"")</f>
        <v>3.8572796509953169E-2</v>
      </c>
      <c r="CI29" s="91" t="str">
        <f>IF($BK29&lt;&gt;"",$BK29/'Elements and ions'!$B$15, "")</f>
        <v/>
      </c>
      <c r="CJ29" s="88" t="str">
        <f>IF($BL29&lt;&gt;"", $BL29/'Elements and ions'!$G$17,"")</f>
        <v/>
      </c>
      <c r="CK29" s="89">
        <f t="shared" si="68"/>
        <v>1.7378008287493752E-3</v>
      </c>
      <c r="CL29" s="163" t="str">
        <f>IF($BN29&lt;&gt;"", $BN29/'Elements and ions'!$G$19,"")</f>
        <v/>
      </c>
      <c r="CM29" s="89">
        <f>IF($BO29&lt;&gt;"",$BO29/'Elements and ions'!$G$4,"")</f>
        <v>2.9260458438614467E-2</v>
      </c>
      <c r="CN29" s="89">
        <f>IF($BP29&lt;&gt;"",$BP29/'Elements and ions'!$B$10,"")</f>
        <v>5.72153348129805E-3</v>
      </c>
      <c r="CO29" s="104">
        <f>IF($BQ29&lt;&gt;"",$BQ29/'Elements and ions'!$G$18,"")</f>
        <v>0</v>
      </c>
      <c r="CP29" s="242"/>
      <c r="CQ29" s="238">
        <f t="shared" ref="CQ29" si="427">IF($BS29&lt;&gt;"",BS29/1000,"")</f>
        <v>5.5707388116945896E-4</v>
      </c>
      <c r="CR29" s="239">
        <f t="shared" ref="CR29" si="428">IF($BT29&lt;&gt;"",BT29/1000,"")</f>
        <v>6.8107820544627257E-5</v>
      </c>
      <c r="CS29" s="239">
        <f t="shared" ref="CS29" si="429">IF($BU29&lt;&gt;"",BU29/1000,"")</f>
        <v>1.5841259543889414E-3</v>
      </c>
      <c r="CT29" s="241">
        <f t="shared" ref="CT29" si="430">IF($BV29&lt;&gt;"",BV29/1000,"")</f>
        <v>5.1849825138860313E-4</v>
      </c>
      <c r="CU29" s="238">
        <f t="shared" ref="CU29" si="431">IF($BW29&lt;&gt;"",BW29/1000,"")</f>
        <v>3.3595501322954283E-3</v>
      </c>
      <c r="CV29" s="239">
        <f t="shared" ref="CV29" si="432">IF($BX29&lt;&gt;"",BX29/1000,"")</f>
        <v>5.6046032775787654E-4</v>
      </c>
      <c r="CW29" s="239">
        <f t="shared" ref="CW29" si="433">IF($BY29&lt;&gt;"",BY29/1000,"")</f>
        <v>3.8990950715185412E-4</v>
      </c>
      <c r="CX29" s="241">
        <f t="shared" ref="CX29" si="434">IF(BZ29&lt;&gt;"",BZ29/1000,"")</f>
        <v>1.4483680433384063E-4</v>
      </c>
      <c r="CY29" s="258">
        <f t="shared" si="98"/>
        <v>5.754399373371552E-9</v>
      </c>
      <c r="CZ29" s="259" t="str">
        <f t="shared" ref="CZ29" si="435">IF(CB29&lt;&gt;"",CB29/1000,"")</f>
        <v/>
      </c>
      <c r="DA29" s="260" t="str">
        <f t="shared" ref="DA29" si="436">IF(CC29&lt;&gt;"",CC29/1000,"")</f>
        <v/>
      </c>
      <c r="DB29" s="261" t="str">
        <f t="shared" ref="DB29" si="437">IF(CD29&lt;&gt;"",CD29/1000,"")</f>
        <v/>
      </c>
      <c r="DC29" s="262">
        <f t="shared" ref="DC29" si="438">IF(CE29&lt;&gt;"",CE29/1000,"")</f>
        <v>0</v>
      </c>
      <c r="DD29" s="263" t="str">
        <f t="shared" ref="DD29" si="439">IF(CF29&lt;&gt;"",CF29/1000,"")</f>
        <v/>
      </c>
      <c r="DE29" s="259" t="str">
        <f t="shared" ref="DE29" si="440">IF(CG29&lt;&gt;"",CG29/1000,"")</f>
        <v/>
      </c>
      <c r="DF29" s="260">
        <f t="shared" ref="DF29" si="441">IF(CH29&lt;&gt;"",CH29/1000,"")</f>
        <v>3.8572796509953171E-5</v>
      </c>
      <c r="DG29" s="260" t="str">
        <f t="shared" ref="DG29" si="442">IF(CI29&lt;&gt;"",CI29/1000,"")</f>
        <v/>
      </c>
      <c r="DH29" s="264" t="str">
        <f t="shared" ref="DH29" si="443">IF(CJ29&lt;&gt;"",CJ29/1000,"")</f>
        <v/>
      </c>
      <c r="DI29" s="258">
        <f t="shared" si="108"/>
        <v>1.7378008287493753E-6</v>
      </c>
      <c r="DJ29" s="260" t="str">
        <f t="shared" ref="DJ29" si="444">IF(CL29&lt;&gt;"",CL29/1000,"")</f>
        <v/>
      </c>
      <c r="DK29" s="260">
        <f t="shared" ref="DK29" si="445">IF(CM29&lt;&gt;"",CM29/1000,"")</f>
        <v>2.9260458438614467E-5</v>
      </c>
      <c r="DL29" s="260">
        <f t="shared" ref="DL29" si="446">IF(CN29&lt;&gt;"",CN29/1000,"")</f>
        <v>5.7215334812980497E-6</v>
      </c>
      <c r="DM29" s="265">
        <f t="shared" ref="DM29" si="447">IF(CO29&lt;&gt;"",CO29/1000,"")</f>
        <v>0</v>
      </c>
      <c r="DN29" s="242"/>
      <c r="DO29" s="238">
        <f t="shared" ref="DO29" si="448">IF($BS29&lt;&gt;"",BS29,0)</f>
        <v>0.557073881169459</v>
      </c>
      <c r="DP29" s="239">
        <f t="shared" ref="DP29" si="449">IF($BT29&lt;&gt;"",BT29,0)</f>
        <v>6.8107820544627259E-2</v>
      </c>
      <c r="DQ29" s="239">
        <f t="shared" ref="DQ29" si="450">IF($BU29&lt;&gt;"",BU29*2,0)</f>
        <v>3.1682519087778829</v>
      </c>
      <c r="DR29" s="241">
        <f t="shared" ref="DR29" si="451">IF($BV29&lt;&gt;"",BV29*2,0)</f>
        <v>1.0369965027772063</v>
      </c>
      <c r="DS29" s="238">
        <f t="shared" ref="DS29" si="452">IF($BW29&lt;&gt;"",BW29*-1,0)</f>
        <v>-3.3595501322954284</v>
      </c>
      <c r="DT29" s="239">
        <f t="shared" ref="DT29" si="453">IF($BX29&lt;&gt;"",BX29*-1,0)</f>
        <v>-0.56046032775787658</v>
      </c>
      <c r="DU29" s="239">
        <f t="shared" ref="DU29" si="454">IF($BY29&lt;&gt;"",BY29*-1,0)</f>
        <v>-0.38990950715185413</v>
      </c>
      <c r="DV29" s="241">
        <f t="shared" ref="DV29" si="455">IF($BZ29&lt;&gt;"",BZ29*-2,0)</f>
        <v>-0.28967360866768127</v>
      </c>
      <c r="DW29" s="91">
        <f t="shared" si="113"/>
        <v>5.7543993733715523E-6</v>
      </c>
      <c r="DX29" s="89">
        <f t="shared" ref="DX29" si="456">IF(CB29&lt;&gt;"",CB29*3,0)</f>
        <v>0</v>
      </c>
      <c r="DY29" s="89">
        <f t="shared" ref="DY29" si="457">IF(CC29&lt;&gt;"",CC29*2,0)</f>
        <v>0</v>
      </c>
      <c r="DZ29" s="89">
        <f t="shared" ref="DZ29" si="458">IF(CD29&lt;&gt;"",CD29*2,0)</f>
        <v>0</v>
      </c>
      <c r="EA29" s="90">
        <f t="shared" ref="EA29" si="459">IF(CE29&lt;&gt;"",CE29,0)</f>
        <v>0</v>
      </c>
      <c r="EB29" s="91">
        <f t="shared" si="118"/>
        <v>-1.7378008287493752E-3</v>
      </c>
      <c r="EC29" s="89">
        <f t="shared" ref="EC29" si="460">IF(CL29&lt;&gt;"",CL29*-1,0)</f>
        <v>0</v>
      </c>
      <c r="ED29" s="89">
        <f t="shared" ref="ED29" si="461">IF(CM29&lt;&gt;"",CM29*-2,0)</f>
        <v>-5.8520916877228935E-2</v>
      </c>
      <c r="EE29" s="89">
        <f t="shared" ref="EE29" si="462">IF(CN29&lt;&gt;"",CN29*-1,0)</f>
        <v>-5.72153348129805E-3</v>
      </c>
      <c r="EF29" s="90">
        <f t="shared" ref="EF29" si="463">IF(CO29&lt;&gt;"",CO29*-2,0)</f>
        <v>0</v>
      </c>
      <c r="EG29" s="242"/>
      <c r="EH29" s="245">
        <f t="shared" ref="EH29" si="464">SUM(DO29:DR29,DW29:EA29)</f>
        <v>4.8304358676685482</v>
      </c>
      <c r="EI29" s="246">
        <f t="shared" ref="EI29" si="465">SUM(DS29:DV29,EB29:EF29)</f>
        <v>-4.6655738270601166</v>
      </c>
      <c r="EJ29" s="198">
        <f t="shared" ref="EJ29" si="466">IF(EH29&lt;&gt;EI29,(EH29+EI29)/(EH29-EI29)*100,0)</f>
        <v>1.7361191269628571</v>
      </c>
      <c r="EK29" s="198">
        <f t="shared" ref="EK29" si="467">0.5*(DO29+DP29+4*DQ29+4*DR29+4*DY29-DS29-DT29-4*DV29-DU29-EE29)/1000</f>
        <v>1.1460255641645812E-2</v>
      </c>
      <c r="EL29" s="101">
        <f>IF(AND(CS29&lt;&gt;"",DK29&lt;&gt;""),LOG(CS29*DK29/Minerals!$C$6),"")</f>
        <v>1.1462428419084085</v>
      </c>
      <c r="EM29" s="94">
        <f>IF(AND(CS29&lt;&gt;"",DK29&lt;&gt;""),LOG(CS29*DK29/Minerals!$C$5),"")</f>
        <v>1.0157633125521908</v>
      </c>
      <c r="EN29" s="94">
        <f>IF(AND(CS29&lt;&gt;"",DL29&lt;&gt;""),LOG(CS29*DL29^2/Minerals!$C$2),"")</f>
        <v>-2.7152604586451869</v>
      </c>
      <c r="EO29" s="94">
        <f>IF(AND(CS29&lt;&gt;"",CX29&lt;&gt;""),LOG($CS29*$CX29/Minerals!$C$3),"")</f>
        <v>-2.039350991521601</v>
      </c>
      <c r="EP29" s="95">
        <f>IF(AND(CS29&lt;&gt;"",CX29&lt;&gt;""),LOG($CS29*$CX29/Minerals!$C$4),"")</f>
        <v>-2.2793355029875033</v>
      </c>
      <c r="EQ29" s="199"/>
      <c r="ER29" s="101">
        <f t="shared" si="315"/>
        <v>0.89464292045212312</v>
      </c>
      <c r="ES29" s="94">
        <f t="shared" si="315"/>
        <v>0.89464292045212312</v>
      </c>
      <c r="ET29" s="94">
        <f t="shared" si="316"/>
        <v>0.64061767714551732</v>
      </c>
      <c r="EU29" s="94">
        <f t="shared" si="316"/>
        <v>0.64061767714551732</v>
      </c>
      <c r="EV29" s="95">
        <f t="shared" si="316"/>
        <v>0.64061767714551732</v>
      </c>
      <c r="EW29" s="101">
        <f t="shared" si="317"/>
        <v>0.89464292045212312</v>
      </c>
      <c r="EX29" s="94">
        <f t="shared" si="31"/>
        <v>0.64061767714551732</v>
      </c>
      <c r="EY29" s="94">
        <f t="shared" si="317"/>
        <v>0.89464292045212312</v>
      </c>
      <c r="EZ29" s="94">
        <f t="shared" si="317"/>
        <v>0.89464292045212312</v>
      </c>
      <c r="FA29" s="94">
        <f t="shared" si="165"/>
        <v>0.89464292045212312</v>
      </c>
      <c r="FB29" s="95">
        <f t="shared" si="32"/>
        <v>0.64061767714551732</v>
      </c>
      <c r="FC29" s="199"/>
      <c r="FD29" s="101">
        <f t="shared" ref="FD29" si="468">IF($CQ29&lt;&gt;"",ER29*$CQ29,"")</f>
        <v>4.9838220395704376E-4</v>
      </c>
      <c r="FE29" s="94">
        <f t="shared" ref="FE29" si="469">IF($CR29&lt;&gt;"",ES29*$CR29,"")</f>
        <v>6.0932179477674441E-5</v>
      </c>
      <c r="FF29" s="94">
        <f t="shared" ref="FF29" si="470">IF($CS29&lt;&gt;"",ET29*$CS29,"")</f>
        <v>1.0148190892065694E-3</v>
      </c>
      <c r="FG29" s="94">
        <f t="shared" ref="FG29" si="471">IF($CT29&lt;&gt;"",EU29*$CT29,"")</f>
        <v>3.3215914540857944E-4</v>
      </c>
      <c r="FH29" s="95" t="str">
        <f t="shared" ref="FH29" si="472">IF($DA29&lt;&gt;"",EV29*$DA29,"")</f>
        <v/>
      </c>
      <c r="FI29" s="101">
        <f t="shared" ref="FI29" si="473">IF($CU29&lt;&gt;"",EW29*$CU29,"")</f>
        <v>3.0055977417620984E-3</v>
      </c>
      <c r="FJ29" s="94">
        <f t="shared" ref="FJ29" si="474">IF($DK29&lt;&gt;"",EX29*$DK29,"")</f>
        <v>1.8744766917158152E-5</v>
      </c>
      <c r="FK29" s="94">
        <f t="shared" ref="FK29" si="475">IF($CV29&lt;&gt;"",EY29*$CV29,"")</f>
        <v>5.0141186442286077E-4</v>
      </c>
      <c r="FL29" s="94">
        <f t="shared" ref="FL29" si="476">IF($CW29&lt;&gt;"",EZ29*$CW29,"")</f>
        <v>3.4882978019038277E-4</v>
      </c>
      <c r="FM29" s="94">
        <f t="shared" ref="FM29" si="477">IF($DL29&lt;&gt;"",FA29*$DL29,"")</f>
        <v>5.1187294231730898E-6</v>
      </c>
      <c r="FN29" s="95">
        <f t="shared" ref="FN29" si="478">IF($CX29&lt;&gt;"",FB29*$CX29,"")</f>
        <v>9.2785017157524777E-5</v>
      </c>
      <c r="FO29" s="199"/>
      <c r="FP29" s="101">
        <f>IF(EL29&lt;&gt;"",LOG(FF29*FJ29/Minerals!$C$6),"")</f>
        <v>0.7594406786590272</v>
      </c>
      <c r="FQ29" s="94">
        <f>IF(EL29&lt;&gt;"",LOG(FF29*FJ29/Minerals!$C$5),"")</f>
        <v>0.62896114930280944</v>
      </c>
      <c r="FR29" s="94">
        <f>IF(EN29&lt;&gt;"",LOG(FF29*FM29^2/Minerals!$C$2),"")</f>
        <v>-3.005362081082223</v>
      </c>
      <c r="FS29" s="94">
        <f>IF(EO29&lt;&gt;"",LOG($FF29*$FN29/Minerals!$C$3),"")</f>
        <v>-2.4261531547709825</v>
      </c>
      <c r="FT29" s="95">
        <f>IF(EP29&lt;&gt;"",LOG($FF29*$FN29/Minerals!$C$4),"")</f>
        <v>-2.6661376662368848</v>
      </c>
      <c r="FU29" s="96"/>
      <c r="FV29" s="101">
        <f>IF(FP29&lt;&gt;"",LOG(FF29*FJ29/(EXP(-1*Minerals!$E$6/'Other Constants'!$B$2*(1/(273.15+'ppm-mgL-1'!$D29)-1/298.15)+LN(Minerals!$C$6)))),"")</f>
        <v>-0.50212379528491891</v>
      </c>
      <c r="FW29" s="94">
        <f>IF(FP29&lt;&gt;"",LOG(FF29*FJ29/(EXP(-1*Minerals!$E$5/'Other Constants'!$B$2*(1/(273.15+'ppm-mgL-1'!$D29)-1/298.15)+LN(Minerals!$C$5)))),"")</f>
        <v>-0.63271737385752014</v>
      </c>
      <c r="FX29" s="94">
        <f>IF(FR29&lt;&gt;"",LOG(FF29*FM29^2/(EXP(-1*Minerals!$E$2/'Other Constants'!$B$2*(1/(273.15+'ppm-mgL-1'!$D29)-1/298.15)+LN(Minerals!$C$2)))),"")</f>
        <v>-2.9520250642199874</v>
      </c>
      <c r="FY29" s="94">
        <f>IF(FS29&lt;&gt;"",LOG($FF29*$FN29/(EXP(-1*Minerals!$E$3/'Other Constants'!$B$2*(1/(273.15+'ppm-mgL-1'!$D29)-1/298.15)+LN(Minerals!$C$3)))),"")</f>
        <v>-1.3386406535822168</v>
      </c>
      <c r="FZ29" s="95">
        <f>IF(FT29&lt;&gt;"",LOG($FF29*$FN29/(EXP(-1*Minerals!$E$4/'Other Constants'!$B$2*(1/(273.15+'ppm-mgL-1'!$D29)-1/298.15)+LN(Minerals!$C$4)))),"")</f>
        <v>-2.6972921105124379</v>
      </c>
      <c r="GA29" s="96"/>
      <c r="GB29" s="96"/>
      <c r="GC29" s="101">
        <f>10^(-1825000*(79.755*EXP(-0.0046*($D29-20))*($D29+273.15))^-1.5*$EK29^0.5/(1+'Elements and ions'!$D$12*$EK29^0.5/(2*(79.755*EXP(-0.0046*($D29-20))*($D29+273.15))^0.5)))</f>
        <v>0.8951865359532708</v>
      </c>
      <c r="GD29" s="94">
        <f>10^(-1825000*(79.755*EXP(-0.0046*($D29-20))*($D29+273.15))^-1.5*$EK29^0.5/(1+'Elements and ions'!$D$20*$EK29^0.5/(2*(79.755*EXP(-0.0046*($D29-20))*($D29+273.15))^0.5)))</f>
        <v>0.89204900647347429</v>
      </c>
      <c r="GE29" s="94">
        <f>10^(-1825000*(79.755*EXP(-0.0046*($D29-20))*($D29+273.15))^-1.5*4*$EK29^0.5/(1+'Elements and ions'!$D$21*$EK29^0.5/(2*(79.755*EXP(-0.0046*($D29-20))*($D29+273.15))^0.5)))</f>
        <v>0.65885998755183972</v>
      </c>
      <c r="GF29" s="94">
        <f>10^(-1825000*(79.755*EXP(-0.0046*($D29-20))*($D29+273.15))^-1.5*4*$EK29^0.5/(1+'Elements and ions'!$D$13*$EK29^0.5/(2*(79.755*EXP(-0.0046*($D29-20))*($D29+273.15))^0.5)))</f>
        <v>0.67408177301254646</v>
      </c>
      <c r="GG29" s="95">
        <f>10^(-1825000*(79.755*EXP(-0.0046*($D29-20))*($D29+273.15))^-1.5*4*$EK29^0.5/(1+'Elements and ions'!$D$27*$EK29^0.5/(2*(79.755*EXP(-0.0046*($D29-20))*($D29+273.15))^0.5)))</f>
        <v>0.65885998755183972</v>
      </c>
      <c r="GH29" s="101">
        <f>10^(-1825000*(79.755*EXP(-0.0046*($D29-20))*($D29+273.15))^-1.5*$EK29^0.5/(1+'Elements and ions'!$G$3*$EK29^0.5/(2*(79.755*EXP(-0.0046*($D29-20))*($D29+273.15))^0.5)))</f>
        <v>0.88373245428057301</v>
      </c>
      <c r="GI29" s="94">
        <f>10^(-1825000*(79.755*EXP(-0.0046*($D29-20))*($D29+273.15))^-1.5*4*$EK29^0.5/(1+'Elements and ions'!$G$4*$EK29^0.5/(2*(79.755*EXP(-0.0046*($D29-20))*($D29+273.15))^0.5)))</f>
        <v>0.60983021310565422</v>
      </c>
      <c r="GJ29" s="94">
        <f>10^(-1825000*(79.755*EXP(-0.0046*($D29-20))*($D29+273.15))^-1.5*$EK29^0.5/(1+'Elements and ions'!$D$18*$EK29^0.5/(2*(79.755*EXP(-0.0046*($D29-20))*($D29+273.15))^0.5)))</f>
        <v>0.89204900647347429</v>
      </c>
      <c r="GK29" s="94">
        <f>10^(-1825000*(79.755*EXP(-0.0046*($D29-20))*($D29+273.15))^-1.5*$EK29^0.5/(1+'Elements and ions'!$I$7*$EK29^0.5/(2*(79.755*EXP(-0.0046*($D29-20))*($D29+273.15))^0.5)))</f>
        <v>0.89204900647347429</v>
      </c>
      <c r="GL29" s="94">
        <f>10^(-1825000*(79.755*EXP(-0.0046*($D29-20))*($D29+273.15))^-1.5*$EK29^0.5/(1+'Elements and ions'!$D$10*$EK29^0.5/(2*(79.755*EXP(-0.0046*($D29-20))*($D29+273.15))^0.5)))</f>
        <v>0.89364087919431423</v>
      </c>
      <c r="GM29" s="95">
        <f>10^(-1825000*(79.755*EXP(-0.0046*($D29-20))*($D29+273.15))^-1.5*4*$EK29^0.5/(1+'Elements and ions'!$I$5*$EK29^0.5/(2*(79.755*EXP(-0.0046*($D29-20))*($D29+273.15))^0.5)))</f>
        <v>0.64217614134525614</v>
      </c>
      <c r="GN29" s="96"/>
      <c r="GO29" s="101">
        <f t="shared" ref="GO29" si="479">IF($CQ29&lt;&gt;"",GC29*$CQ29,"")</f>
        <v>4.9868503795413193E-4</v>
      </c>
      <c r="GP29" s="94">
        <f t="shared" ref="GP29" si="480">IF($CR29&lt;&gt;"",GD29*$CR29,"")</f>
        <v>6.0755513649908425E-5</v>
      </c>
      <c r="GQ29" s="94">
        <f t="shared" ref="GQ29" si="481">IF($CS29&lt;&gt;"",GE29*$CS29,"")</f>
        <v>1.0437172065892442E-3</v>
      </c>
      <c r="GR29" s="94">
        <f t="shared" ref="GR29" si="482">IF($CT29&lt;&gt;"",GF29*$CT29,"")</f>
        <v>3.4951022059993462E-4</v>
      </c>
      <c r="GS29" s="95" t="str">
        <f t="shared" ref="GS29" si="483">IF($DA29&lt;&gt;"",GG29*$DA29,"")</f>
        <v/>
      </c>
      <c r="GT29" s="101">
        <f t="shared" ref="GT29" si="484">IF($CU29&lt;&gt;"",GH29*$CU29,"")</f>
        <v>2.9689434836920625E-3</v>
      </c>
      <c r="GU29" s="94">
        <f t="shared" ref="GU29" si="485">IF($DK29&lt;&gt;"",GI29*$DK29,"")</f>
        <v>1.7843911605189398E-5</v>
      </c>
      <c r="GV29" s="94">
        <f t="shared" ref="GV29" si="486">IF($CV29&lt;&gt;"",GJ29*$CV29,"")</f>
        <v>4.999580785442115E-4</v>
      </c>
      <c r="GW29" s="94">
        <f t="shared" ref="GW29" si="487">IF($CW29&lt;&gt;"",GK29*$CW29,"")</f>
        <v>3.4781838846937349E-4</v>
      </c>
      <c r="GX29" s="94">
        <f t="shared" ref="GX29" si="488">IF($DL29&lt;&gt;"",GL29*$DL29,"")</f>
        <v>5.1129962105668942E-6</v>
      </c>
      <c r="GY29" s="102">
        <f t="shared" ref="GY29" si="489">IF($CX29&lt;&gt;"",GM29*$CX29,"")</f>
        <v>9.3010740131883643E-5</v>
      </c>
      <c r="GZ29" s="199"/>
      <c r="HA29" s="92">
        <f>IF(AND(GQ29&lt;&gt;"",GU29&lt;&gt;""),LOG(GQ29*GU29/Minerals!$C$6),"")</f>
        <v>0.75024491264982773</v>
      </c>
      <c r="HB29" s="94">
        <f>IF(AND(GQ29&lt;&gt;"",GU29&lt;&gt;""),LOG(GQ29*GU29/Minerals!$C$5),"")</f>
        <v>0.61976538329360997</v>
      </c>
      <c r="HC29" s="94">
        <f>IF(AND(GQ29&lt;&gt;"",GX29&lt;&gt;""),LOG(GQ29*GX29^2/Minerals!$C$2),"")</f>
        <v>-2.9941412705925461</v>
      </c>
      <c r="HD29" s="94">
        <f>IF(AND(GQ29&lt;&gt;"",GY29&lt;&gt;""),LOG($GQ29*$GY29/Minerals!$C$3),"")</f>
        <v>-2.4129036915333635</v>
      </c>
      <c r="HE29" s="102">
        <f>IF(AND(GQ29&lt;&gt;"",GY29&lt;&gt;""),LOG($GQ29*$GY29/Minerals!$C$3),"")</f>
        <v>-2.4129036915333635</v>
      </c>
      <c r="HF29" s="199"/>
      <c r="HG29" s="92">
        <f>IF(HA29&lt;&gt;"",LOG(GQ29*GU29/(EXP(-1*Minerals!$E$6/'Other Constants'!$B$2*(1/(273.15+'ppm-mgL-1'!$D29)-1/298.15)+LN(Minerals!$C$6)))),"")</f>
        <v>-0.51131956129411837</v>
      </c>
      <c r="HH29" s="94">
        <f>IF(HA29&lt;&gt;"",LOG(GQ29*GU29/(EXP(-1*Minerals!$E$5/'Other Constants'!$B$2*(1/(273.15+'ppm-mgL-1'!$D29)-1/298.15)+LN(Minerals!$C$5)))),"")</f>
        <v>-0.64191313986671961</v>
      </c>
      <c r="HI29" s="94">
        <f>IF(HC29&lt;&gt;"",LOG(GQ29*GX29^2/(EXP(-1*Minerals!$E$2/'Other Constants'!$B$2*(1/(273.15+'ppm-mgL-1'!$D29)-1/298.15)+LN(Minerals!$C$2)))),"")</f>
        <v>-2.940804253730311</v>
      </c>
      <c r="HJ29" s="94">
        <f>IF(HD29&lt;&gt;"",LOG($FF29*$FN29/(EXP(-1*Minerals!$E$3/'Other Constants'!$B$2*(1/(273.15+'ppm-mgL-1'!$D29)-1/298.15)+LN(Minerals!$C$3)))),"")</f>
        <v>-1.3386406535822168</v>
      </c>
      <c r="HK29" s="95">
        <f>IF(HE29&lt;&gt;"",LOG($FF29*$FN29/(EXP(-1*Minerals!$E$4/'Other Constants'!$B$2*(1/(273.15+'ppm-mgL-1'!$D29)-1/298.15)+LN(Minerals!$C$4)))),"")</f>
        <v>-2.6972921105124379</v>
      </c>
      <c r="HL29" s="199"/>
      <c r="HM29" s="199"/>
    </row>
    <row r="30" spans="1:221" x14ac:dyDescent="0.25">
      <c r="A30" s="217"/>
      <c r="C30" s="266"/>
      <c r="D30" s="6"/>
      <c r="E30" s="6"/>
      <c r="AD30" s="83"/>
      <c r="AE30" s="84"/>
      <c r="AF30" s="212"/>
      <c r="AG30" s="152"/>
      <c r="AH30" s="222"/>
      <c r="AI30" s="85"/>
      <c r="AJ30" s="84" t="str">
        <f>IF(AI30&lt;&gt;"",AI30*1000*'Elements and ions'!$B$7,"")</f>
        <v/>
      </c>
      <c r="AK30" s="275"/>
      <c r="AL30" s="88"/>
      <c r="AM30" s="199"/>
      <c r="AN30" s="101"/>
      <c r="AO30" s="94"/>
      <c r="AP30" s="95"/>
      <c r="AQ30" s="199"/>
      <c r="AR30" s="199"/>
      <c r="AS30" s="83" t="str">
        <f t="shared" si="66"/>
        <v/>
      </c>
      <c r="AT30" s="83" t="str">
        <f>IF(AN30&lt;&gt;"",AN30/'Henrys law constants'!$B$7*1000000,"")</f>
        <v/>
      </c>
      <c r="AU30" s="3"/>
      <c r="AV30" s="6"/>
      <c r="AW30" s="6"/>
      <c r="AX30" s="6"/>
      <c r="AY30" s="226"/>
      <c r="AZ30" s="6"/>
      <c r="BA30" s="6"/>
      <c r="BB30" s="5"/>
      <c r="BC30" s="222"/>
      <c r="BE30" s="6"/>
      <c r="BF30" s="6"/>
      <c r="BG30" s="5"/>
      <c r="BH30" s="3"/>
      <c r="BJ30" s="92"/>
      <c r="BK30" s="229"/>
      <c r="BL30" s="230"/>
      <c r="BM30" s="101"/>
      <c r="BO30" s="102"/>
      <c r="BP30" s="6"/>
      <c r="BQ30" s="5"/>
      <c r="BR30" s="195"/>
      <c r="BS30" s="238"/>
      <c r="BT30" s="239"/>
      <c r="BU30" s="239"/>
      <c r="BV30" s="240"/>
      <c r="BW30" s="238"/>
      <c r="BX30" s="239"/>
      <c r="BY30" s="239"/>
      <c r="BZ30" s="241"/>
      <c r="CA30" s="91"/>
      <c r="CB30" s="163"/>
      <c r="CC30" s="89"/>
      <c r="CD30" s="249"/>
      <c r="CE30" s="250"/>
      <c r="CF30" s="91"/>
      <c r="CG30" s="89"/>
      <c r="CH30" s="90"/>
      <c r="CI30" s="91"/>
      <c r="CJ30" s="88"/>
      <c r="CK30" s="89"/>
      <c r="CL30" s="163"/>
      <c r="CM30" s="89"/>
      <c r="CN30" s="89"/>
      <c r="CO30" s="104"/>
      <c r="CP30" s="242"/>
      <c r="CQ30" s="238"/>
      <c r="CR30" s="239"/>
      <c r="CS30" s="239"/>
      <c r="CT30" s="241"/>
      <c r="CU30" s="238"/>
      <c r="CV30" s="239"/>
      <c r="CW30" s="239"/>
      <c r="CX30" s="241"/>
      <c r="CY30" s="258"/>
      <c r="CZ30" s="259"/>
      <c r="DA30" s="260"/>
      <c r="DB30" s="261"/>
      <c r="DC30" s="262"/>
      <c r="DD30" s="263"/>
      <c r="DE30" s="259"/>
      <c r="DF30" s="260"/>
      <c r="DG30" s="260"/>
      <c r="DH30" s="264"/>
      <c r="DI30" s="258"/>
      <c r="DJ30" s="260"/>
      <c r="DK30" s="260"/>
      <c r="DL30" s="260"/>
      <c r="DM30" s="265"/>
      <c r="DN30" s="242"/>
      <c r="DO30" s="238"/>
      <c r="DP30" s="239"/>
      <c r="DQ30" s="239"/>
      <c r="DR30" s="241"/>
      <c r="DS30" s="238"/>
      <c r="DT30" s="239"/>
      <c r="DU30" s="239"/>
      <c r="DV30" s="241"/>
      <c r="DW30" s="91"/>
      <c r="DX30" s="89"/>
      <c r="DY30" s="89"/>
      <c r="DZ30" s="89"/>
      <c r="EA30" s="90"/>
      <c r="EB30" s="91"/>
      <c r="EC30" s="89"/>
      <c r="ED30" s="89"/>
      <c r="EE30" s="89"/>
      <c r="EF30" s="90"/>
      <c r="EG30" s="242"/>
      <c r="EH30" s="245"/>
      <c r="EI30" s="246"/>
      <c r="EJ30" s="198"/>
      <c r="EK30" s="198"/>
      <c r="EL30" s="101"/>
      <c r="EM30" s="94"/>
      <c r="EN30" s="94"/>
      <c r="EO30" s="94"/>
      <c r="EP30" s="95"/>
      <c r="EQ30" s="199"/>
      <c r="ER30" s="101"/>
      <c r="ES30" s="94"/>
      <c r="ET30" s="94"/>
      <c r="EU30" s="94"/>
      <c r="EV30" s="95"/>
      <c r="EW30" s="101"/>
      <c r="EX30" s="94"/>
      <c r="EY30" s="94"/>
      <c r="EZ30" s="94"/>
      <c r="FA30" s="94"/>
      <c r="FB30" s="95"/>
      <c r="FC30" s="199"/>
      <c r="FD30" s="101"/>
      <c r="FE30" s="94"/>
      <c r="FF30" s="94"/>
      <c r="FG30" s="94"/>
      <c r="FH30" s="95"/>
      <c r="FI30" s="101"/>
      <c r="FJ30" s="94"/>
      <c r="FK30" s="94"/>
      <c r="FL30" s="94"/>
      <c r="FM30" s="94"/>
      <c r="FN30" s="95"/>
      <c r="FO30" s="199"/>
      <c r="FP30" s="101"/>
      <c r="FQ30" s="94"/>
      <c r="FR30" s="94"/>
      <c r="FS30" s="94"/>
      <c r="FT30" s="95"/>
      <c r="FU30" s="96"/>
      <c r="FV30" s="101"/>
      <c r="FW30" s="94"/>
      <c r="FX30" s="94"/>
      <c r="FY30" s="94"/>
      <c r="FZ30" s="95"/>
      <c r="GA30" s="96"/>
      <c r="GB30" s="96"/>
      <c r="GC30" s="101"/>
      <c r="GD30" s="94"/>
      <c r="GE30" s="94"/>
      <c r="GF30" s="94"/>
      <c r="GG30" s="95"/>
      <c r="GH30" s="101"/>
      <c r="GI30" s="94"/>
      <c r="GJ30" s="94"/>
      <c r="GK30" s="94"/>
      <c r="GL30" s="94"/>
      <c r="GM30" s="95"/>
      <c r="GN30" s="96"/>
      <c r="GO30" s="101"/>
      <c r="GP30" s="94"/>
      <c r="GQ30" s="94"/>
      <c r="GR30" s="94"/>
      <c r="GS30" s="95"/>
      <c r="GT30" s="101"/>
      <c r="GU30" s="94"/>
      <c r="GV30" s="94"/>
      <c r="GW30" s="94"/>
      <c r="GX30" s="94"/>
      <c r="GY30" s="102"/>
      <c r="GZ30" s="199"/>
      <c r="HA30" s="92"/>
      <c r="HB30" s="94"/>
      <c r="HC30" s="94"/>
      <c r="HD30" s="94"/>
      <c r="HE30" s="102"/>
      <c r="HF30" s="199"/>
      <c r="HG30" s="92"/>
      <c r="HH30" s="94"/>
      <c r="HI30" s="94"/>
      <c r="HJ30" s="94"/>
      <c r="HK30" s="95"/>
      <c r="HL30" s="199"/>
      <c r="HM30" s="199"/>
    </row>
    <row r="31" spans="1:221" x14ac:dyDescent="0.25">
      <c r="A31" s="267" t="str">
        <f>'WC samples'!B2</f>
        <v>WC 1</v>
      </c>
      <c r="C31" s="266">
        <f>'WC samples'!A2</f>
        <v>41471</v>
      </c>
      <c r="D31" s="4">
        <f>'WC samples'!I2</f>
        <v>24.1</v>
      </c>
      <c r="E31" s="4">
        <f>'WC samples'!F2</f>
        <v>8.25</v>
      </c>
      <c r="AD31" s="83">
        <f>IF(E31&lt;&gt;"",10^(-2*$E31)/(10^(-2*$E31)+10^(-$E31-pKa!$B$2)+(10^(-pKa!$B$2-pKa!$C$2))),"")</f>
        <v>1.0998750074224737E-2</v>
      </c>
      <c r="AE31" s="84">
        <f>IF(E31&lt;&gt;"",10^(-$E31-pKa!$B$2)/(10^(-2*$E31)+10^(-$E31-pKa!$B$2)+10^(-pKa!$B$2-pKa!$C$2)),"")</f>
        <v>0.9802646321951427</v>
      </c>
      <c r="AF31" s="212">
        <f>IF(E31&lt;&gt;"",10^(-pKa!$B$2-pKa!$C$2)/(10^(-2*$E31)+10^(-$E31-pKa!$B$2)+10^(-pKa!$B$2-pKa!$C$2)),"")</f>
        <v>8.7366177306325045E-3</v>
      </c>
      <c r="AG31" s="152"/>
      <c r="AH31" s="222">
        <f>IF($AK31&lt;&gt;"",$AK31/'Elements and ions'!$G$3,IF($E31="","",""))</f>
        <v>5.7459547233190058</v>
      </c>
      <c r="AI31" s="85">
        <f t="shared" ref="AI31" si="490">IF($AH31&lt;&gt;"",($AH31-10^(-14+$E31)+10^(-$E31))/1000/(AE31+2*AF31),IF($E31="","",""))</f>
        <v>5.7589805267787529E-3</v>
      </c>
      <c r="AJ31" s="84">
        <f>IF(AI31&lt;&gt;"",AI31*1000*'Elements and ions'!$B$7,"")</f>
        <v>69.169387412981578</v>
      </c>
      <c r="AK31" s="99">
        <f>'WC samples'!H2</f>
        <v>350.6</v>
      </c>
      <c r="AL31" s="88">
        <f>IF($AK31&lt;&gt;"",$AK31/'Elements and ions'!$G$3*Minerals!$B$6/2,IF($E31="","","Enter Alk(HCO3-)"))</f>
        <v>287.54739789867853</v>
      </c>
      <c r="AM31" s="199"/>
      <c r="AN31" s="101">
        <f t="shared" ref="AN31:AN62" si="491">IF(AND($E31&lt;&gt;"",AI31&lt;&gt;""),AI31*AD31,"")</f>
        <v>6.3341587496366621E-5</v>
      </c>
      <c r="AO31" s="94">
        <f t="shared" ref="AO31:AO62" si="492">IF(AND($E31&lt;&gt;"",AI31&lt;&gt;""),AI31*AE31,"")</f>
        <v>5.6453249279017634E-3</v>
      </c>
      <c r="AP31" s="95">
        <f t="shared" ref="AP31:AP62" si="493">IF(AND($E31&lt;&gt;"",AI31&lt;&gt;""),AI31*AF31,"")</f>
        <v>5.0314011380622573E-5</v>
      </c>
      <c r="AQ31" s="199"/>
      <c r="AR31" s="199"/>
      <c r="AS31" s="83">
        <f t="shared" si="66"/>
        <v>0.18629878675401945</v>
      </c>
      <c r="AT31" s="83">
        <f>IF(AN31&lt;&gt;"",AN31/'Henrys law constants'!$B$7*1000000,"")</f>
        <v>1862.9878675401947</v>
      </c>
      <c r="AU31" s="268">
        <f>'WC samples'!K2</f>
        <v>11.645</v>
      </c>
      <c r="AV31" s="269">
        <f>'WC samples'!M2</f>
        <v>1.1973</v>
      </c>
      <c r="AW31" s="269">
        <f>'WC samples'!O2</f>
        <v>54.591900000000003</v>
      </c>
      <c r="AX31" s="269">
        <f>'WC samples'!N2</f>
        <v>33.6419</v>
      </c>
      <c r="AY31" s="226">
        <f>AO31*'Elements and ions'!$G$3*1000</f>
        <v>344.45988787379338</v>
      </c>
      <c r="AZ31" s="269">
        <f>'WC samples'!Q2</f>
        <v>16.674700000000001</v>
      </c>
      <c r="BA31" s="269">
        <f>'WC samples'!T2</f>
        <v>1.8113999999999999</v>
      </c>
      <c r="BB31" s="270">
        <f>'WC samples'!V2</f>
        <v>18.133700000000001</v>
      </c>
      <c r="BC31" s="222">
        <f>IF($E31&lt;&gt;"",10^-$E31*'Elements and ions'!B32*1000,"")</f>
        <v>0</v>
      </c>
      <c r="BE31" s="6"/>
      <c r="BF31" s="6"/>
      <c r="BG31" s="270">
        <f>'WC samples'!L2</f>
        <v>0</v>
      </c>
      <c r="BH31" s="3"/>
      <c r="BJ31" s="92">
        <f>IF($AN31&lt;&gt;"",$AN31*'Elements and ions'!$G$2*1000,"")</f>
        <v>3.92874802931289</v>
      </c>
      <c r="BK31" s="229"/>
      <c r="BL31" s="230"/>
      <c r="BM31" s="101">
        <f>IF($E31&lt;&gt;"",(10^-14+$E31)*'Elements and ions'!$G$8,"")</f>
        <v>140.31055500000016</v>
      </c>
      <c r="BO31" s="102">
        <f>IF($AP31&lt;&gt;"",$AP31*'Elements and ions'!$G$4*1000,"")</f>
        <v>3.0192884775386415</v>
      </c>
      <c r="BP31" s="269">
        <f>'WC samples'!P2</f>
        <v>0.30180000000000001</v>
      </c>
      <c r="BQ31" s="270">
        <f>'WC samples'!R2</f>
        <v>0</v>
      </c>
      <c r="BR31" s="195"/>
      <c r="BS31" s="238">
        <f>IF($AU31&lt;&gt;"",$AU31/'Elements and ions'!$B$12,"")</f>
        <v>0.50652965926589755</v>
      </c>
      <c r="BT31" s="239">
        <f>IF($AV31&lt;&gt;"",$AV31/'Elements and ions'!$B$20,"")</f>
        <v>3.0622814802689632E-2</v>
      </c>
      <c r="BU31" s="239">
        <f>IF($AW31&lt;&gt;"",$AW31/'Elements and ions'!$B$21, "")</f>
        <v>1.3621413244173861</v>
      </c>
      <c r="BV31" s="240">
        <f>IF($AX31&lt;&gt;"",$AX31/'Elements and ions'!$B$13, "")</f>
        <v>1.3841555235548242</v>
      </c>
      <c r="BW31" s="238">
        <f>IF($AY31&lt;&gt;"",$AY31/'Elements and ions'!$G$3,"")</f>
        <v>5.645324927901763</v>
      </c>
      <c r="BX31" s="239">
        <f>IF($AZ31&lt;&gt;"",$AZ31/'Elements and ions'!$B$18,"")</f>
        <v>0.47033255295743659</v>
      </c>
      <c r="BY31" s="239">
        <f>IF($BA31&lt;&gt;"",$BA31/'Elements and ions'!$G$7,"")</f>
        <v>2.9213820198081119E-2</v>
      </c>
      <c r="BZ31" s="241">
        <f>IF($BB31&lt;&gt;"",$BB31/'Elements and ions'!$G$5,"")</f>
        <v>0.18876961481367358</v>
      </c>
      <c r="CA31" s="91">
        <f t="shared" si="67"/>
        <v>5.6234132519034743E-6</v>
      </c>
      <c r="CB31" s="163" t="str">
        <f>IF($BD31&lt;&gt;"",$BD31/'Elements and ions'!$B$14,"")</f>
        <v/>
      </c>
      <c r="CC31" s="89" t="str">
        <f>IF($BE31&lt;&gt;"",$BE31/'Elements and ions'!$B$27, "")</f>
        <v/>
      </c>
      <c r="CD31" s="249" t="str">
        <f>IF($BF31&lt;&gt;"",$BF31/'Elements and ions'!$B$26,"")</f>
        <v/>
      </c>
      <c r="CE31" s="250">
        <f>IF($BG31&lt;&gt;"",$BG31/'Elements and ions'!$G$6,"")</f>
        <v>0</v>
      </c>
      <c r="CF31" s="91" t="str">
        <f>IF($BH31&lt;&gt;"",$BH31/'Elements and ions'!$G$15,"")</f>
        <v/>
      </c>
      <c r="CG31" s="89" t="str">
        <f>IF($BI31&lt;&gt;"",$BI31/'Elements and ions'!$G$16,"")</f>
        <v/>
      </c>
      <c r="CH31" s="90">
        <f>IF($BJ31&lt;&gt;"",$BJ31/'Elements and ions'!$G$2,"")</f>
        <v>6.3341587496366619E-2</v>
      </c>
      <c r="CI31" s="91" t="str">
        <f>IF($BK31&lt;&gt;"",$BK31/'Elements and ions'!$B$15, "")</f>
        <v/>
      </c>
      <c r="CJ31" s="88" t="str">
        <f>IF($BL31&lt;&gt;"", $BL31/'Elements and ions'!$G$17,"")</f>
        <v/>
      </c>
      <c r="CK31" s="89">
        <f t="shared" si="68"/>
        <v>1.7782794100389193E-3</v>
      </c>
      <c r="CL31" s="163" t="str">
        <f>IF($BN31&lt;&gt;"", $BN31/'Elements and ions'!$G$19,"")</f>
        <v/>
      </c>
      <c r="CM31" s="89">
        <f>IF($BO31&lt;&gt;"",$BO31/'Elements and ions'!$G$4,"")</f>
        <v>5.0314011380622567E-2</v>
      </c>
      <c r="CN31" s="89">
        <f>IF($BP31&lt;&gt;"",$BP31/'Elements and ions'!$B$10,"")</f>
        <v>1.5885545581009672E-2</v>
      </c>
      <c r="CO31" s="104">
        <f>IF($BQ31&lt;&gt;"",$BQ31/'Elements and ions'!$G$18,"")</f>
        <v>0</v>
      </c>
      <c r="CP31" s="242"/>
      <c r="CQ31" s="238">
        <f t="shared" ref="CQ31" si="494">IF($BS31&lt;&gt;"",BS31/1000,"")</f>
        <v>5.0652965926589754E-4</v>
      </c>
      <c r="CR31" s="239">
        <f t="shared" ref="CR31" si="495">IF($BT31&lt;&gt;"",BT31/1000,"")</f>
        <v>3.0622814802689633E-5</v>
      </c>
      <c r="CS31" s="239">
        <f t="shared" ref="CS31" si="496">IF($BU31&lt;&gt;"",BU31/1000,"")</f>
        <v>1.3621413244173861E-3</v>
      </c>
      <c r="CT31" s="241">
        <f t="shared" ref="CT31" si="497">IF($BV31&lt;&gt;"",BV31/1000,"")</f>
        <v>1.3841555235548243E-3</v>
      </c>
      <c r="CU31" s="238">
        <f t="shared" ref="CU31" si="498">IF($BW31&lt;&gt;"",BW31/1000,"")</f>
        <v>5.6453249279017634E-3</v>
      </c>
      <c r="CV31" s="239">
        <f t="shared" ref="CV31" si="499">IF($BX31&lt;&gt;"",BX31/1000,"")</f>
        <v>4.7033255295743658E-4</v>
      </c>
      <c r="CW31" s="239">
        <f t="shared" ref="CW31" si="500">IF($BY31&lt;&gt;"",BY31/1000,"")</f>
        <v>2.9213820198081117E-5</v>
      </c>
      <c r="CX31" s="241">
        <f t="shared" ref="CX31" si="501">IF(BZ31&lt;&gt;"",BZ31/1000,"")</f>
        <v>1.8876961481367359E-4</v>
      </c>
      <c r="CY31" s="258">
        <f t="shared" si="98"/>
        <v>5.6234132519034744E-9</v>
      </c>
      <c r="CZ31" s="259" t="str">
        <f t="shared" ref="CZ31" si="502">IF(CB31&lt;&gt;"",CB31/1000,"")</f>
        <v/>
      </c>
      <c r="DA31" s="260" t="str">
        <f t="shared" ref="DA31" si="503">IF(CC31&lt;&gt;"",CC31/1000,"")</f>
        <v/>
      </c>
      <c r="DB31" s="261" t="str">
        <f t="shared" ref="DB31" si="504">IF(CD31&lt;&gt;"",CD31/1000,"")</f>
        <v/>
      </c>
      <c r="DC31" s="262">
        <f t="shared" ref="DC31" si="505">IF(CE31&lt;&gt;"",CE31/1000,"")</f>
        <v>0</v>
      </c>
      <c r="DD31" s="263" t="str">
        <f t="shared" ref="DD31" si="506">IF(CF31&lt;&gt;"",CF31/1000,"")</f>
        <v/>
      </c>
      <c r="DE31" s="259" t="str">
        <f t="shared" ref="DE31" si="507">IF(CG31&lt;&gt;"",CG31/1000,"")</f>
        <v/>
      </c>
      <c r="DF31" s="260">
        <f t="shared" ref="DF31" si="508">IF(CH31&lt;&gt;"",CH31/1000,"")</f>
        <v>6.3341587496366621E-5</v>
      </c>
      <c r="DG31" s="260" t="str">
        <f t="shared" ref="DG31" si="509">IF(CI31&lt;&gt;"",CI31/1000,"")</f>
        <v/>
      </c>
      <c r="DH31" s="264" t="str">
        <f t="shared" ref="DH31" si="510">IF(CJ31&lt;&gt;"",CJ31/1000,"")</f>
        <v/>
      </c>
      <c r="DI31" s="258">
        <f t="shared" si="108"/>
        <v>1.7782794100389193E-6</v>
      </c>
      <c r="DJ31" s="260" t="str">
        <f t="shared" ref="DJ31" si="511">IF(CL31&lt;&gt;"",CL31/1000,"")</f>
        <v/>
      </c>
      <c r="DK31" s="260">
        <f t="shared" ref="DK31" si="512">IF(CM31&lt;&gt;"",CM31/1000,"")</f>
        <v>5.0314011380622566E-5</v>
      </c>
      <c r="DL31" s="260">
        <f t="shared" ref="DL31" si="513">IF(CN31&lt;&gt;"",CN31/1000,"")</f>
        <v>1.5885545581009672E-5</v>
      </c>
      <c r="DM31" s="265">
        <f t="shared" ref="DM31" si="514">IF(CO31&lt;&gt;"",CO31/1000,"")</f>
        <v>0</v>
      </c>
      <c r="DN31" s="242"/>
      <c r="DO31" s="238">
        <f t="shared" ref="DO31" si="515">IF($BS31&lt;&gt;"",BS31,0)</f>
        <v>0.50652965926589755</v>
      </c>
      <c r="DP31" s="239">
        <f t="shared" ref="DP31" si="516">IF($BT31&lt;&gt;"",BT31,0)</f>
        <v>3.0622814802689632E-2</v>
      </c>
      <c r="DQ31" s="239">
        <f t="shared" ref="DQ31" si="517">IF($BU31&lt;&gt;"",BU31*2,0)</f>
        <v>2.7242826488347722</v>
      </c>
      <c r="DR31" s="241">
        <f t="shared" ref="DR31" si="518">IF($BV31&lt;&gt;"",BV31*2,0)</f>
        <v>2.7683110471096484</v>
      </c>
      <c r="DS31" s="238">
        <f t="shared" ref="DS31" si="519">IF($BW31&lt;&gt;"",BW31*-1,0)</f>
        <v>-5.645324927901763</v>
      </c>
      <c r="DT31" s="239">
        <f t="shared" ref="DT31" si="520">IF($BX31&lt;&gt;"",BX31*-1,0)</f>
        <v>-0.47033255295743659</v>
      </c>
      <c r="DU31" s="239">
        <f t="shared" ref="DU31" si="521">IF($BY31&lt;&gt;"",BY31*-1,0)</f>
        <v>-2.9213820198081119E-2</v>
      </c>
      <c r="DV31" s="241">
        <f t="shared" ref="DV31" si="522">IF($BZ31&lt;&gt;"",BZ31*-2,0)</f>
        <v>-0.37753922962734715</v>
      </c>
      <c r="DW31" s="91">
        <f t="shared" si="113"/>
        <v>5.6234132519034743E-6</v>
      </c>
      <c r="DX31" s="89">
        <f t="shared" ref="DX31" si="523">IF(CB31&lt;&gt;"",CB31*3,0)</f>
        <v>0</v>
      </c>
      <c r="DY31" s="89">
        <f t="shared" ref="DY31" si="524">IF(CC31&lt;&gt;"",CC31*2,0)</f>
        <v>0</v>
      </c>
      <c r="DZ31" s="89">
        <f t="shared" ref="DZ31" si="525">IF(CD31&lt;&gt;"",CD31*2,0)</f>
        <v>0</v>
      </c>
      <c r="EA31" s="90">
        <f t="shared" ref="EA31" si="526">IF(CE31&lt;&gt;"",CE31,0)</f>
        <v>0</v>
      </c>
      <c r="EB31" s="91">
        <f t="shared" si="118"/>
        <v>-1.7782794100389193E-3</v>
      </c>
      <c r="EC31" s="89">
        <f t="shared" ref="EC31" si="527">IF(CL31&lt;&gt;"",CL31*-1,0)</f>
        <v>0</v>
      </c>
      <c r="ED31" s="89">
        <f t="shared" ref="ED31" si="528">IF(CM31&lt;&gt;"",CM31*-2,0)</f>
        <v>-0.10062802276124513</v>
      </c>
      <c r="EE31" s="89">
        <f t="shared" ref="EE31" si="529">IF(CN31&lt;&gt;"",CN31*-1,0)</f>
        <v>-1.5885545581009672E-2</v>
      </c>
      <c r="EF31" s="90">
        <f t="shared" ref="EF31" si="530">IF(CO31&lt;&gt;"",CO31*-2,0)</f>
        <v>0</v>
      </c>
      <c r="EG31" s="242"/>
      <c r="EH31" s="245">
        <f t="shared" ref="EH31" si="531">SUM(DO31:DR31,DW31:EA31)</f>
        <v>6.029751793426259</v>
      </c>
      <c r="EI31" s="246">
        <f t="shared" ref="EI31" si="532">SUM(DS31:DV31,EB31:EF31)</f>
        <v>-6.640702378436921</v>
      </c>
      <c r="EJ31" s="198">
        <f t="shared" ref="EJ31" si="533">IF(EH31&lt;&gt;EI31,(EH31+EI31)/(EH31-EI31)*100,0)</f>
        <v>-4.8218522929302559</v>
      </c>
      <c r="EK31" s="198">
        <f t="shared" ref="EK31" si="534">0.5*(DO31+DP31+4*DQ31+4*DR31+4*DY31-DS31-DT31-4*DV31-DU31-EE31)/1000</f>
        <v>1.5089220511496974E-2</v>
      </c>
      <c r="EL31" s="101">
        <f>IF(AND(CS31&lt;&gt;"",DK31&lt;&gt;""),LOG(CS31*DK31/Minerals!$C$6),"")</f>
        <v>1.3160831185729935</v>
      </c>
      <c r="EM31" s="94">
        <f>IF(AND(CS31&lt;&gt;"",DK31&lt;&gt;""),LOG(CS31*DK31/Minerals!$C$5),"")</f>
        <v>1.1856035892167758</v>
      </c>
      <c r="EN31" s="94">
        <f>IF(AND(CS31&lt;&gt;"",DL31&lt;&gt;""),LOG(CS31*DL31^2/Minerals!$C$2),"")</f>
        <v>-1.8938486167798558</v>
      </c>
      <c r="EO31" s="94">
        <f>IF(AND(CS31&lt;&gt;"",CX31&lt;&gt;""),LOG($CS31*$CX31/Minerals!$C$3),"")</f>
        <v>-1.9898653767390251</v>
      </c>
      <c r="EP31" s="95">
        <f>IF(AND(CS31&lt;&gt;"",CX31&lt;&gt;""),LOG($CS31*$CX31/Minerals!$C$4),"")</f>
        <v>-2.2298498882049276</v>
      </c>
      <c r="EQ31" s="199"/>
      <c r="ER31" s="101">
        <f t="shared" si="315"/>
        <v>0.8816579700284497</v>
      </c>
      <c r="ES31" s="94">
        <f t="shared" si="315"/>
        <v>0.8816579700284497</v>
      </c>
      <c r="ET31" s="94">
        <f t="shared" si="316"/>
        <v>0.60422758897953899</v>
      </c>
      <c r="EU31" s="94">
        <f t="shared" si="316"/>
        <v>0.60422758897953899</v>
      </c>
      <c r="EV31" s="95">
        <f t="shared" si="316"/>
        <v>0.60422758897953899</v>
      </c>
      <c r="EW31" s="101">
        <f t="shared" si="317"/>
        <v>0.8816579700284497</v>
      </c>
      <c r="EX31" s="94">
        <f t="shared" si="31"/>
        <v>0.60422758897953899</v>
      </c>
      <c r="EY31" s="94">
        <f t="shared" si="317"/>
        <v>0.8816579700284497</v>
      </c>
      <c r="EZ31" s="94">
        <f t="shared" si="317"/>
        <v>0.8816579700284497</v>
      </c>
      <c r="FA31" s="94">
        <f t="shared" si="165"/>
        <v>0.8816579700284497</v>
      </c>
      <c r="FB31" s="95">
        <f t="shared" si="32"/>
        <v>0.60422758897953899</v>
      </c>
      <c r="FC31" s="199"/>
      <c r="FD31" s="101">
        <f t="shared" ref="FD31" si="535">IF($CQ31&lt;&gt;"",ER31*$CQ31,"")</f>
        <v>4.4658591114757356E-4</v>
      </c>
      <c r="FE31" s="94">
        <f t="shared" ref="FE31" si="536">IF($CR31&lt;&gt;"",ES31*$CR31,"")</f>
        <v>2.6998848735496504E-5</v>
      </c>
      <c r="FF31" s="94">
        <f t="shared" ref="FF31" si="537">IF($CS31&lt;&gt;"",ET31*$CS31,"")</f>
        <v>8.2304336830211317E-4</v>
      </c>
      <c r="FG31" s="94">
        <f t="shared" ref="FG31" si="538">IF($CT31&lt;&gt;"",EU31*$CT31,"")</f>
        <v>8.3634495477024294E-4</v>
      </c>
      <c r="FH31" s="95" t="str">
        <f t="shared" ref="FH31" si="539">IF($DA31&lt;&gt;"",EV31*$DA31,"")</f>
        <v/>
      </c>
      <c r="FI31" s="101">
        <f t="shared" ref="FI31" si="540">IF($CU31&lt;&gt;"",EW31*$CU31,"")</f>
        <v>4.9772457160848728E-3</v>
      </c>
      <c r="FJ31" s="94">
        <f t="shared" ref="FJ31" si="541">IF($DK31&lt;&gt;"",EX31*$DK31,"")</f>
        <v>3.040111378840266E-5</v>
      </c>
      <c r="FK31" s="94">
        <f t="shared" ref="FK31" si="542">IF($CV31&lt;&gt;"",EY31*$CV31,"")</f>
        <v>4.1467244387875183E-4</v>
      </c>
      <c r="FL31" s="94">
        <f t="shared" ref="FL31" si="543">IF($CW31&lt;&gt;"",EZ31*$CW31,"")</f>
        <v>2.575659741261632E-5</v>
      </c>
      <c r="FM31" s="94">
        <f t="shared" ref="FM31" si="544">IF($DL31&lt;&gt;"",FA31*$DL31,"")</f>
        <v>1.4005617869747398E-5</v>
      </c>
      <c r="FN31" s="95">
        <f t="shared" ref="FN31" si="545">IF($CX31&lt;&gt;"",FB31*$CX31,"")</f>
        <v>1.1405980923146226E-4</v>
      </c>
      <c r="FO31" s="199"/>
      <c r="FP31" s="101">
        <f>IF(EL31&lt;&gt;"",LOG(FF31*FJ31/Minerals!$C$6),"")</f>
        <v>0.87848422105006008</v>
      </c>
      <c r="FQ31" s="94">
        <f>IF(EL31&lt;&gt;"",LOG(FF31*FJ31/Minerals!$C$5),"")</f>
        <v>0.74800469169384232</v>
      </c>
      <c r="FR31" s="94">
        <f>IF(EN31&lt;&gt;"",LOG(FF31*FM31^2/Minerals!$C$2),"")</f>
        <v>-2.2220477899220561</v>
      </c>
      <c r="FS31" s="94">
        <f>IF(EO31&lt;&gt;"",LOG($FF31*$FN31/Minerals!$C$3),"")</f>
        <v>-2.4274642742619585</v>
      </c>
      <c r="FT31" s="95">
        <f>IF(EP31&lt;&gt;"",LOG($FF31*$FN31/Minerals!$C$4),"")</f>
        <v>-2.6674487857278608</v>
      </c>
      <c r="FU31" s="96"/>
      <c r="FV31" s="101">
        <f>IF(FP31&lt;&gt;"",LOG(FF31*FJ31/(EXP(-1*Minerals!$E$6/'Other Constants'!$B$2*(1/(273.15+'ppm-mgL-1'!$D31)-1/298.15)+LN(Minerals!$C$6)))),"")</f>
        <v>0.52641462745168632</v>
      </c>
      <c r="FW31" s="94">
        <f>IF(FP31&lt;&gt;"",LOG(FF31*FJ31/(EXP(-1*Minerals!$E$5/'Other Constants'!$B$2*(1/(273.15+'ppm-mgL-1'!$D31)-1/298.15)+LN(Minerals!$C$5)))),"")</f>
        <v>0.39590326994709141</v>
      </c>
      <c r="FX31" s="94">
        <f>IF(FR31&lt;&gt;"",LOG(FF31*FM31^2/(EXP(-1*Minerals!$E$2/'Other Constants'!$B$2*(1/(273.15+'ppm-mgL-1'!$D31)-1/298.15)+LN(Minerals!$C$2)))),"")</f>
        <v>-2.207162825864903</v>
      </c>
      <c r="FY31" s="94">
        <f>IF(FS31&lt;&gt;"",LOG($FF31*$FN31/(EXP(-1*Minerals!$E$3/'Other Constants'!$B$2*(1/(273.15+'ppm-mgL-1'!$D31)-1/298.15)+LN(Minerals!$C$3)))),"")</f>
        <v>-2.1239680263613594</v>
      </c>
      <c r="FZ31" s="95">
        <f>IF(FT31&lt;&gt;"",LOG($FF31*$FN31/(EXP(-1*Minerals!$E$4/'Other Constants'!$B$2*(1/(273.15+'ppm-mgL-1'!$D31)-1/298.15)+LN(Minerals!$C$4)))),"")</f>
        <v>-2.6761431749258913</v>
      </c>
      <c r="GA31" s="96"/>
      <c r="GB31" s="96"/>
      <c r="GC31" s="101">
        <f>10^(-1825000*(79.755*EXP(-0.0046*($D31-20))*($D31+273.15))^-1.5*$EK31^0.5/(1+'Elements and ions'!$D$12*$EK31^0.5/(2*(79.755*EXP(-0.0046*($D31-20))*($D31+273.15))^0.5)))</f>
        <v>0.88224023292254339</v>
      </c>
      <c r="GD31" s="94">
        <f>10^(-1825000*(79.755*EXP(-0.0046*($D31-20))*($D31+273.15))^-1.5*$EK31^0.5/(1+'Elements and ions'!$D$20*$EK31^0.5/(2*(79.755*EXP(-0.0046*($D31-20))*($D31+273.15))^0.5)))</f>
        <v>0.87827783027881023</v>
      </c>
      <c r="GE31" s="94">
        <f>10^(-1825000*(79.755*EXP(-0.0046*($D31-20))*($D31+273.15))^-1.5*4*$EK31^0.5/(1+'Elements and ions'!$D$21*$EK31^0.5/(2*(79.755*EXP(-0.0046*($D31-20))*($D31+273.15))^0.5)))</f>
        <v>0.62584283069465385</v>
      </c>
      <c r="GF31" s="94">
        <f>10^(-1825000*(79.755*EXP(-0.0046*($D31-20))*($D31+273.15))^-1.5*4*$EK31^0.5/(1+'Elements and ions'!$D$13*$EK31^0.5/(2*(79.755*EXP(-0.0046*($D31-20))*($D31+273.15))^0.5)))</f>
        <v>0.64396639481400364</v>
      </c>
      <c r="GG31" s="95">
        <f>10^(-1825000*(79.755*EXP(-0.0046*($D31-20))*($D31+273.15))^-1.5*4*$EK31^0.5/(1+'Elements and ions'!$D$27*$EK31^0.5/(2*(79.755*EXP(-0.0046*($D31-20))*($D31+273.15))^0.5)))</f>
        <v>0.62584283069465385</v>
      </c>
      <c r="GH31" s="101">
        <f>10^(-1825000*(79.755*EXP(-0.0046*($D31-20))*($D31+273.15))^-1.5*$EK31^0.5/(1+'Elements and ions'!$G$3*$EK31^0.5/(2*(79.755*EXP(-0.0046*($D31-20))*($D31+273.15))^0.5)))</f>
        <v>0.86763588979917639</v>
      </c>
      <c r="GI31" s="94">
        <f>10^(-1825000*(79.755*EXP(-0.0046*($D31-20))*($D31+273.15))^-1.5*4*$EK31^0.5/(1+'Elements and ions'!$G$4*$EK31^0.5/(2*(79.755*EXP(-0.0046*($D31-20))*($D31+273.15))^0.5)))</f>
        <v>0.56656831858321732</v>
      </c>
      <c r="GJ31" s="94">
        <f>10^(-1825000*(79.755*EXP(-0.0046*($D31-20))*($D31+273.15))^-1.5*$EK31^0.5/(1+'Elements and ions'!$D$18*$EK31^0.5/(2*(79.755*EXP(-0.0046*($D31-20))*($D31+273.15))^0.5)))</f>
        <v>0.87827783027881023</v>
      </c>
      <c r="GK31" s="94">
        <f>10^(-1825000*(79.755*EXP(-0.0046*($D31-20))*($D31+273.15))^-1.5*$EK31^0.5/(1+'Elements and ions'!$I$7*$EK31^0.5/(2*(79.755*EXP(-0.0046*($D31-20))*($D31+273.15))^0.5)))</f>
        <v>0.87827783027881023</v>
      </c>
      <c r="GL31" s="94">
        <f>10^(-1825000*(79.755*EXP(-0.0046*($D31-20))*($D31+273.15))^-1.5*$EK31^0.5/(1+'Elements and ions'!$D$10*$EK31^0.5/(2*(79.755*EXP(-0.0046*($D31-20))*($D31+273.15))^0.5)))</f>
        <v>0.88029176466315484</v>
      </c>
      <c r="GM31" s="95">
        <f>10^(-1825000*(79.755*EXP(-0.0046*($D31-20))*($D31+273.15))^-1.5*4*$EK31^0.5/(1+'Elements and ions'!$I$5*$EK31^0.5/(2*(79.755*EXP(-0.0046*($D31-20))*($D31+273.15))^0.5)))</f>
        <v>0.60582534226644602</v>
      </c>
      <c r="GN31" s="96"/>
      <c r="GO31" s="101">
        <f t="shared" ref="GO31" si="546">IF($CQ31&lt;&gt;"",GC31*$CQ31,"")</f>
        <v>4.4688084457292199E-4</v>
      </c>
      <c r="GP31" s="94">
        <f t="shared" ref="GP31" si="547">IF($CR31&lt;&gt;"",GD31*$CR31,"")</f>
        <v>2.6895339341936084E-5</v>
      </c>
      <c r="GQ31" s="94">
        <f t="shared" ref="GQ31" si="548">IF($CS31&lt;&gt;"",GE31*$CS31,"")</f>
        <v>8.5248638227954174E-4</v>
      </c>
      <c r="GR31" s="94">
        <f t="shared" ref="GR31" si="549">IF($CT31&lt;&gt;"",GF31*$CT31,"")</f>
        <v>8.9134964236548984E-4</v>
      </c>
      <c r="GS31" s="95" t="str">
        <f t="shared" ref="GS31" si="550">IF($DA31&lt;&gt;"",GG31*$DA31,"")</f>
        <v/>
      </c>
      <c r="GT31" s="101">
        <f t="shared" ref="GT31" si="551">IF($CU31&lt;&gt;"",GH31*$CU31,"")</f>
        <v>4.8980865170255182E-3</v>
      </c>
      <c r="GU31" s="94">
        <f t="shared" ref="GU31" si="552">IF($DK31&lt;&gt;"",GI31*$DK31,"")</f>
        <v>2.8506324829096189E-5</v>
      </c>
      <c r="GV31" s="94">
        <f t="shared" ref="GV31" si="553">IF($CV31&lt;&gt;"",GJ31*$CV31,"")</f>
        <v>4.1308265412095098E-4</v>
      </c>
      <c r="GW31" s="94">
        <f t="shared" ref="GW31" si="554">IF($CW31&lt;&gt;"",GK31*$CW31,"")</f>
        <v>2.5657850617725967E-5</v>
      </c>
      <c r="GX31" s="94">
        <f t="shared" ref="GX31" si="555">IF($DL31&lt;&gt;"",GL31*$DL31,"")</f>
        <v>1.3983914952143986E-5</v>
      </c>
      <c r="GY31" s="102">
        <f t="shared" ref="GY31" si="556">IF($CX31&lt;&gt;"",GM31*$CX31,"")</f>
        <v>1.1436141650399897E-4</v>
      </c>
      <c r="GZ31" s="199"/>
      <c r="HA31" s="92">
        <f>IF(AND(GQ31&lt;&gt;"",GU31&lt;&gt;""),LOG(GQ31*GU31/Minerals!$C$6),"")</f>
        <v>0.86580068608113148</v>
      </c>
      <c r="HB31" s="94">
        <f>IF(AND(GQ31&lt;&gt;"",GU31&lt;&gt;""),LOG(GQ31*GU31/Minerals!$C$5),"")</f>
        <v>0.73532115672491383</v>
      </c>
      <c r="HC31" s="94">
        <f>IF(AND(GQ31&lt;&gt;"",GX31&lt;&gt;""),LOG(GQ31*GX31^2/Minerals!$C$2),"")</f>
        <v>-2.2081300573220979</v>
      </c>
      <c r="HD31" s="94">
        <f>IF(AND(GQ31&lt;&gt;"",GY31&lt;&gt;""),LOG($GQ31*$GY31/Minerals!$C$3),"")</f>
        <v>-2.4110526588377952</v>
      </c>
      <c r="HE31" s="102">
        <f>IF(AND(GQ31&lt;&gt;"",GY31&lt;&gt;""),LOG($GQ31*$GY31/Minerals!$C$3),"")</f>
        <v>-2.4110526588377952</v>
      </c>
      <c r="HF31" s="199"/>
      <c r="HG31" s="92">
        <f>IF(HA31&lt;&gt;"",LOG(GQ31*GU31/(EXP(-1*Minerals!$E$6/'Other Constants'!$B$2*(1/(273.15+'ppm-mgL-1'!$D31)-1/298.15)+LN(Minerals!$C$6)))),"")</f>
        <v>0.51373109248275772</v>
      </c>
      <c r="HH31" s="94">
        <f>IF(HA31&lt;&gt;"",LOG(GQ31*GU31/(EXP(-1*Minerals!$E$5/'Other Constants'!$B$2*(1/(273.15+'ppm-mgL-1'!$D31)-1/298.15)+LN(Minerals!$C$5)))),"")</f>
        <v>0.38321973497816292</v>
      </c>
      <c r="HI31" s="94">
        <f>IF(HC31&lt;&gt;"",LOG(GQ31*GX31^2/(EXP(-1*Minerals!$E$2/'Other Constants'!$B$2*(1/(273.15+'ppm-mgL-1'!$D31)-1/298.15)+LN(Minerals!$C$2)))),"")</f>
        <v>-2.1932450932649448</v>
      </c>
      <c r="HJ31" s="94">
        <f>IF(HD31&lt;&gt;"",LOG($FF31*$FN31/(EXP(-1*Minerals!$E$3/'Other Constants'!$B$2*(1/(273.15+'ppm-mgL-1'!$D31)-1/298.15)+LN(Minerals!$C$3)))),"")</f>
        <v>-2.1239680263613594</v>
      </c>
      <c r="HK31" s="95">
        <f>IF(HE31&lt;&gt;"",LOG($FF31*$FN31/(EXP(-1*Minerals!$E$4/'Other Constants'!$B$2*(1/(273.15+'ppm-mgL-1'!$D31)-1/298.15)+LN(Minerals!$C$4)))),"")</f>
        <v>-2.6761431749258913</v>
      </c>
      <c r="HL31" s="199"/>
      <c r="HM31" s="199"/>
    </row>
    <row r="32" spans="1:221" x14ac:dyDescent="0.25">
      <c r="A32" s="267" t="str">
        <f>'WC samples'!B3</f>
        <v>WC 1</v>
      </c>
      <c r="C32" s="266">
        <f>'WC samples'!A3</f>
        <v>41530</v>
      </c>
      <c r="D32" s="4">
        <f>'WC samples'!I3</f>
        <v>24</v>
      </c>
      <c r="E32" s="4">
        <f>'WC samples'!F3</f>
        <v>8.39</v>
      </c>
      <c r="AD32" s="83">
        <f>IF(E32&lt;&gt;"",10^(-2*$E32)/(10^(-2*$E32)+10^(-$E32-pKa!$B$2)+(10^(-pKa!$B$2-pKa!$C$2))),"")</f>
        <v>7.9655608448169074E-3</v>
      </c>
      <c r="AE32" s="84">
        <f>IF(E32&lt;&gt;"",10^(-$E32-pKa!$B$2)/(10^(-2*$E32)+10^(-$E32-pKa!$B$2)+10^(-pKa!$B$2-pKa!$C$2)),"")</f>
        <v>0.97997807493840738</v>
      </c>
      <c r="AF32" s="212">
        <f>IF(E32&lt;&gt;"",10^(-pKa!$B$2-pKa!$C$2)/(10^(-2*$E32)+10^(-$E32-pKa!$B$2)+10^(-pKa!$B$2-pKa!$C$2)),"")</f>
        <v>1.2056364216775632E-2</v>
      </c>
      <c r="AG32" s="152"/>
      <c r="AH32" s="88">
        <f>IF($AI32&lt;&gt;"",$AI32*1000*(AE32+2*AF32)+10^(-14+$E32)-10^(-$E32),IF($E32="","","Enter Alk(HCO3-)"))</f>
        <v>5.7907838013790736</v>
      </c>
      <c r="AI32" s="99">
        <f>'WC samples'!E3/1000/12.0107</f>
        <v>5.7671889148842295E-3</v>
      </c>
      <c r="AJ32" s="84">
        <f>IF(AI32&lt;&gt;"",AI32*1000*'Elements and ions'!$B$7,"")</f>
        <v>69.26797590000001</v>
      </c>
      <c r="AK32" s="89">
        <f>IF($AI32&lt;&gt;"",$AH32*'Elements and ions'!$G$3,IF($E32="","","Enter DIC"))</f>
        <v>353.33532868333867</v>
      </c>
      <c r="AL32" s="94">
        <f>IF($AI32&lt;&gt;"",$AH32/2*Minerals!B23,IF($E32="","","Enter DIC"))</f>
        <v>0</v>
      </c>
      <c r="AM32" s="199"/>
      <c r="AN32" s="101">
        <f t="shared" si="491"/>
        <v>4.5938894205063924E-5</v>
      </c>
      <c r="AO32" s="94">
        <f t="shared" si="492"/>
        <v>5.6517186906143695E-3</v>
      </c>
      <c r="AP32" s="95">
        <f t="shared" si="493"/>
        <v>6.9531330064795315E-5</v>
      </c>
      <c r="AQ32" s="199"/>
      <c r="AR32" s="199"/>
      <c r="AS32" s="83">
        <f t="shared" si="66"/>
        <v>0.13511439472077622</v>
      </c>
      <c r="AT32" s="83">
        <f>IF(AN32&lt;&gt;"",AN32/'Henrys law constants'!$B$7*1000000,"")</f>
        <v>1351.1439472077623</v>
      </c>
      <c r="AU32" s="268">
        <f>'WC samples'!K3</f>
        <v>11.836</v>
      </c>
      <c r="AV32" s="269">
        <f>'WC samples'!M3</f>
        <v>1.2407999999999999</v>
      </c>
      <c r="AW32" s="269">
        <f>'WC samples'!O3</f>
        <v>67.916399999999996</v>
      </c>
      <c r="AX32" s="269">
        <f>'WC samples'!N3</f>
        <v>33.761299999999999</v>
      </c>
      <c r="AY32" s="226">
        <f>AO32*'Elements and ions'!$G$3*1000</f>
        <v>344.85001507022645</v>
      </c>
      <c r="AZ32" s="269">
        <f>'WC samples'!Q3</f>
        <v>16.995100000000001</v>
      </c>
      <c r="BA32" s="269">
        <f>'WC samples'!T3</f>
        <v>1.9015</v>
      </c>
      <c r="BB32" s="270">
        <f>'WC samples'!V3</f>
        <v>18.310700000000001</v>
      </c>
      <c r="BC32" s="222">
        <f>IF($E32&lt;&gt;"",10^-$E32*'Elements and ions'!B33*1000,"")</f>
        <v>0</v>
      </c>
      <c r="BE32" s="6"/>
      <c r="BF32" s="6"/>
      <c r="BG32" s="270">
        <f>'WC samples'!L3</f>
        <v>0</v>
      </c>
      <c r="BH32" s="3"/>
      <c r="BJ32" s="92">
        <f>IF($AN32&lt;&gt;"",$AN32*'Elements and ions'!$G$2*1000,"")</f>
        <v>2.8493498065123646</v>
      </c>
      <c r="BK32" s="229"/>
      <c r="BL32" s="230"/>
      <c r="BM32" s="101">
        <f>IF($E32&lt;&gt;"",(10^-14+$E32)*'Elements and ions'!$G$8,"")</f>
        <v>142.69158260000017</v>
      </c>
      <c r="BO32" s="102">
        <f>IF($AP32&lt;&gt;"",$AP32*'Elements and ions'!$G$4*1000,"")</f>
        <v>4.1724986327252953</v>
      </c>
      <c r="BP32" s="269">
        <f>'WC samples'!P3</f>
        <v>0.29859999999999998</v>
      </c>
      <c r="BQ32" s="270">
        <f>'WC samples'!R3</f>
        <v>0</v>
      </c>
      <c r="BR32" s="195"/>
      <c r="BS32" s="238">
        <f>IF($AU32&lt;&gt;"",$AU32/'Elements and ions'!$B$12,"")</f>
        <v>0.51483770262526096</v>
      </c>
      <c r="BT32" s="239">
        <f>IF($AV32&lt;&gt;"",$AV32/'Elements and ions'!$B$20,"")</f>
        <v>3.1735395145057452E-2</v>
      </c>
      <c r="BU32" s="239">
        <f>IF($AW32&lt;&gt;"",$AW32/'Elements and ions'!$B$21, "")</f>
        <v>1.6946055192374867</v>
      </c>
      <c r="BV32" s="240">
        <f>IF($AX32&lt;&gt;"",$AX32/'Elements and ions'!$B$13, "")</f>
        <v>1.3890680929849826</v>
      </c>
      <c r="BW32" s="238">
        <f>IF($AY32&lt;&gt;"",$AY32/'Elements and ions'!$G$3,"")</f>
        <v>5.651718690614369</v>
      </c>
      <c r="BX32" s="239">
        <f>IF($AZ32&lt;&gt;"",$AZ32/'Elements and ions'!$B$18,"")</f>
        <v>0.47936986996869091</v>
      </c>
      <c r="BY32" s="239">
        <f>IF($BA32&lt;&gt;"",$BA32/'Elements and ions'!$G$7,"")</f>
        <v>3.0666931161892043E-2</v>
      </c>
      <c r="BZ32" s="241">
        <f>IF($BB32&lt;&gt;"",$BB32/'Elements and ions'!$G$5,"")</f>
        <v>0.19061216331850273</v>
      </c>
      <c r="CA32" s="91">
        <f t="shared" si="67"/>
        <v>4.0738027780411213E-6</v>
      </c>
      <c r="CB32" s="163" t="str">
        <f>IF($BD32&lt;&gt;"",$BD32/'Elements and ions'!$B$14,"")</f>
        <v/>
      </c>
      <c r="CC32" s="89" t="str">
        <f>IF($BE32&lt;&gt;"",$BE32/'Elements and ions'!$B$27, "")</f>
        <v/>
      </c>
      <c r="CD32" s="249" t="str">
        <f>IF($BF32&lt;&gt;"",$BF32/'Elements and ions'!$B$26,"")</f>
        <v/>
      </c>
      <c r="CE32" s="250">
        <f>IF($BG32&lt;&gt;"",$BG32/'Elements and ions'!$G$6,"")</f>
        <v>0</v>
      </c>
      <c r="CF32" s="91" t="str">
        <f>IF($BH32&lt;&gt;"",$BH32/'Elements and ions'!$G$15,"")</f>
        <v/>
      </c>
      <c r="CG32" s="89" t="str">
        <f>IF($BI32&lt;&gt;"",$BI32/'Elements and ions'!$G$16,"")</f>
        <v/>
      </c>
      <c r="CH32" s="90">
        <f>IF($BJ32&lt;&gt;"",$BJ32/'Elements and ions'!$G$2,"")</f>
        <v>4.5938894205063925E-2</v>
      </c>
      <c r="CI32" s="91" t="str">
        <f>IF($BK32&lt;&gt;"",$BK32/'Elements and ions'!$B$15, "")</f>
        <v/>
      </c>
      <c r="CJ32" s="88" t="str">
        <f>IF($BL32&lt;&gt;"", $BL32/'Elements and ions'!$G$17,"")</f>
        <v/>
      </c>
      <c r="CK32" s="89">
        <f t="shared" si="68"/>
        <v>2.4547089156850312E-3</v>
      </c>
      <c r="CL32" s="163" t="str">
        <f>IF($BN32&lt;&gt;"", $BN32/'Elements and ions'!$G$19,"")</f>
        <v/>
      </c>
      <c r="CM32" s="89">
        <f>IF($BO32&lt;&gt;"",$BO32/'Elements and ions'!$G$4,"")</f>
        <v>6.953133006479531E-2</v>
      </c>
      <c r="CN32" s="89">
        <f>IF($BP32&lt;&gt;"",$BP32/'Elements and ions'!$B$10,"")</f>
        <v>1.5717110372728587E-2</v>
      </c>
      <c r="CO32" s="104">
        <f>IF($BQ32&lt;&gt;"",$BQ32/'Elements and ions'!$G$18,"")</f>
        <v>0</v>
      </c>
      <c r="CP32" s="242"/>
      <c r="CQ32" s="238">
        <f t="shared" ref="CQ32:CQ40" si="557">IF($BS32&lt;&gt;"",BS32/1000,"")</f>
        <v>5.1483770262526101E-4</v>
      </c>
      <c r="CR32" s="239">
        <f t="shared" ref="CR32:CR40" si="558">IF($BT32&lt;&gt;"",BT32/1000,"")</f>
        <v>3.1735395145057449E-5</v>
      </c>
      <c r="CS32" s="239">
        <f t="shared" ref="CS32:CS40" si="559">IF($BU32&lt;&gt;"",BU32/1000,"")</f>
        <v>1.6946055192374866E-3</v>
      </c>
      <c r="CT32" s="241">
        <f t="shared" ref="CT32:CT40" si="560">IF($BV32&lt;&gt;"",BV32/1000,"")</f>
        <v>1.3890680929849826E-3</v>
      </c>
      <c r="CU32" s="238">
        <f t="shared" ref="CU32:CU40" si="561">IF($BW32&lt;&gt;"",BW32/1000,"")</f>
        <v>5.6517186906143687E-3</v>
      </c>
      <c r="CV32" s="239">
        <f t="shared" ref="CV32:CV40" si="562">IF($BX32&lt;&gt;"",BX32/1000,"")</f>
        <v>4.7936986996869089E-4</v>
      </c>
      <c r="CW32" s="239">
        <f t="shared" ref="CW32:CW40" si="563">IF($BY32&lt;&gt;"",BY32/1000,"")</f>
        <v>3.0666931161892046E-5</v>
      </c>
      <c r="CX32" s="241">
        <f t="shared" ref="CX32:CX40" si="564">IF(BZ32&lt;&gt;"",BZ32/1000,"")</f>
        <v>1.9061216331850273E-4</v>
      </c>
      <c r="CY32" s="258">
        <f t="shared" si="98"/>
        <v>4.0738027780411214E-9</v>
      </c>
      <c r="CZ32" s="259" t="str">
        <f t="shared" ref="CZ32:CZ40" si="565">IF(CB32&lt;&gt;"",CB32/1000,"")</f>
        <v/>
      </c>
      <c r="DA32" s="260" t="str">
        <f t="shared" ref="DA32:DA40" si="566">IF(CC32&lt;&gt;"",CC32/1000,"")</f>
        <v/>
      </c>
      <c r="DB32" s="261" t="str">
        <f t="shared" ref="DB32:DB40" si="567">IF(CD32&lt;&gt;"",CD32/1000,"")</f>
        <v/>
      </c>
      <c r="DC32" s="262">
        <f t="shared" ref="DC32:DC40" si="568">IF(CE32&lt;&gt;"",CE32/1000,"")</f>
        <v>0</v>
      </c>
      <c r="DD32" s="263" t="str">
        <f t="shared" ref="DD32:DD40" si="569">IF(CF32&lt;&gt;"",CF32/1000,"")</f>
        <v/>
      </c>
      <c r="DE32" s="259" t="str">
        <f t="shared" ref="DE32:DE40" si="570">IF(CG32&lt;&gt;"",CG32/1000,"")</f>
        <v/>
      </c>
      <c r="DF32" s="260">
        <f t="shared" ref="DF32:DF40" si="571">IF(CH32&lt;&gt;"",CH32/1000,"")</f>
        <v>4.5938894205063924E-5</v>
      </c>
      <c r="DG32" s="260" t="str">
        <f t="shared" ref="DG32:DG40" si="572">IF(CI32&lt;&gt;"",CI32/1000,"")</f>
        <v/>
      </c>
      <c r="DH32" s="264" t="str">
        <f t="shared" ref="DH32:DH40" si="573">IF(CJ32&lt;&gt;"",CJ32/1000,"")</f>
        <v/>
      </c>
      <c r="DI32" s="258">
        <f t="shared" si="108"/>
        <v>2.4547089156850314E-6</v>
      </c>
      <c r="DJ32" s="260" t="str">
        <f t="shared" ref="DJ32:DJ40" si="574">IF(CL32&lt;&gt;"",CL32/1000,"")</f>
        <v/>
      </c>
      <c r="DK32" s="260">
        <f t="shared" ref="DK32:DK40" si="575">IF(CM32&lt;&gt;"",CM32/1000,"")</f>
        <v>6.9531330064795315E-5</v>
      </c>
      <c r="DL32" s="260">
        <f t="shared" ref="DL32:DL40" si="576">IF(CN32&lt;&gt;"",CN32/1000,"")</f>
        <v>1.5717110372728588E-5</v>
      </c>
      <c r="DM32" s="265">
        <f t="shared" ref="DM32:DM40" si="577">IF(CO32&lt;&gt;"",CO32/1000,"")</f>
        <v>0</v>
      </c>
      <c r="DN32" s="242"/>
      <c r="DO32" s="238">
        <f t="shared" ref="DO32:DO40" si="578">IF($BS32&lt;&gt;"",BS32,0)</f>
        <v>0.51483770262526096</v>
      </c>
      <c r="DP32" s="239">
        <f t="shared" ref="DP32:DP40" si="579">IF($BT32&lt;&gt;"",BT32,0)</f>
        <v>3.1735395145057452E-2</v>
      </c>
      <c r="DQ32" s="239">
        <f t="shared" ref="DQ32:DQ40" si="580">IF($BU32&lt;&gt;"",BU32*2,0)</f>
        <v>3.3892110384749734</v>
      </c>
      <c r="DR32" s="241">
        <f t="shared" ref="DR32:DR40" si="581">IF($BV32&lt;&gt;"",BV32*2,0)</f>
        <v>2.7781361859699651</v>
      </c>
      <c r="DS32" s="238">
        <f t="shared" ref="DS32:DS40" si="582">IF($BW32&lt;&gt;"",BW32*-1,0)</f>
        <v>-5.651718690614369</v>
      </c>
      <c r="DT32" s="239">
        <f t="shared" ref="DT32:DT40" si="583">IF($BX32&lt;&gt;"",BX32*-1,0)</f>
        <v>-0.47936986996869091</v>
      </c>
      <c r="DU32" s="239">
        <f t="shared" ref="DU32:DU40" si="584">IF($BY32&lt;&gt;"",BY32*-1,0)</f>
        <v>-3.0666931161892043E-2</v>
      </c>
      <c r="DV32" s="241">
        <f t="shared" ref="DV32:DV40" si="585">IF($BZ32&lt;&gt;"",BZ32*-2,0)</f>
        <v>-0.38122432663700545</v>
      </c>
      <c r="DW32" s="91">
        <f t="shared" si="113"/>
        <v>4.0738027780411213E-6</v>
      </c>
      <c r="DX32" s="89">
        <f t="shared" ref="DX32:DX40" si="586">IF(CB32&lt;&gt;"",CB32*3,0)</f>
        <v>0</v>
      </c>
      <c r="DY32" s="89">
        <f t="shared" ref="DY32:DY40" si="587">IF(CC32&lt;&gt;"",CC32*2,0)</f>
        <v>0</v>
      </c>
      <c r="DZ32" s="89">
        <f t="shared" ref="DZ32:DZ40" si="588">IF(CD32&lt;&gt;"",CD32*2,0)</f>
        <v>0</v>
      </c>
      <c r="EA32" s="90">
        <f t="shared" ref="EA32:EA40" si="589">IF(CE32&lt;&gt;"",CE32,0)</f>
        <v>0</v>
      </c>
      <c r="EB32" s="91">
        <f t="shared" si="118"/>
        <v>-2.4547089156850312E-3</v>
      </c>
      <c r="EC32" s="89">
        <f t="shared" ref="EC32:EC40" si="590">IF(CL32&lt;&gt;"",CL32*-1,0)</f>
        <v>0</v>
      </c>
      <c r="ED32" s="89">
        <f t="shared" ref="ED32:ED40" si="591">IF(CM32&lt;&gt;"",CM32*-2,0)</f>
        <v>-0.13906266012959062</v>
      </c>
      <c r="EE32" s="89">
        <f t="shared" ref="EE32:EE40" si="592">IF(CN32&lt;&gt;"",CN32*-1,0)</f>
        <v>-1.5717110372728587E-2</v>
      </c>
      <c r="EF32" s="90">
        <f t="shared" ref="EF32:EF40" si="593">IF(CO32&lt;&gt;"",CO32*-2,0)</f>
        <v>0</v>
      </c>
      <c r="EG32" s="242"/>
      <c r="EH32" s="245">
        <f t="shared" ref="EH32:EH40" si="594">SUM(DO32:DR32,DW32:EA32)</f>
        <v>6.7139243960180348</v>
      </c>
      <c r="EI32" s="246">
        <f t="shared" ref="EI32:EI40" si="595">SUM(DS32:DV32,EB32:EF32)</f>
        <v>-6.7002142977999615</v>
      </c>
      <c r="EJ32" s="198">
        <f t="shared" ref="EJ32:EJ40" si="596">IF(EH32&lt;&gt;EI32,(EH32+EI32)/(EH32-EI32)*100,0)</f>
        <v>0.10220632521409474</v>
      </c>
      <c r="EK32" s="198">
        <f t="shared" ref="EK32:EK40" si="597">0.5*(DO32+DP32+4*DQ32+4*DR32+4*DY32-DS32-DT32-4*DV32-DU32-EE32)/1000</f>
        <v>1.6459165952107883E-2</v>
      </c>
      <c r="EL32" s="101">
        <f>IF(AND(CS32&lt;&gt;"",DK32&lt;&gt;""),LOG(CS32*DK32/Minerals!$C$6),"")</f>
        <v>1.5514211598549319</v>
      </c>
      <c r="EM32" s="94">
        <f>IF(AND(CS32&lt;&gt;"",DK32&lt;&gt;""),LOG(CS32*DK32/Minerals!$C$5),"")</f>
        <v>1.4209416304987144</v>
      </c>
      <c r="EN32" s="94">
        <f>IF(AND(CS32&lt;&gt;"",DL32&lt;&gt;""),LOG(CS32*DL32^2/Minerals!$C$2),"")</f>
        <v>-1.8082610330202902</v>
      </c>
      <c r="EO32" s="94">
        <f>IF(AND(CS32&lt;&gt;"",CX32&lt;&gt;""),LOG($CS32*$CX32/Minerals!$C$3),"")</f>
        <v>-1.890800408189228</v>
      </c>
      <c r="EP32" s="95">
        <f>IF(AND(CS32&lt;&gt;"",CX32&lt;&gt;""),LOG($CS32*$CX32/Minerals!$C$4),"")</f>
        <v>-2.1307849196551305</v>
      </c>
      <c r="EQ32" s="199"/>
      <c r="ER32" s="101">
        <f t="shared" si="315"/>
        <v>0.87729810785901019</v>
      </c>
      <c r="ES32" s="94">
        <f t="shared" si="315"/>
        <v>0.87729810785901019</v>
      </c>
      <c r="ET32" s="94">
        <f t="shared" si="316"/>
        <v>0.59236415500646344</v>
      </c>
      <c r="EU32" s="94">
        <f t="shared" si="316"/>
        <v>0.59236415500646344</v>
      </c>
      <c r="EV32" s="95">
        <f t="shared" si="316"/>
        <v>0.59236415500646344</v>
      </c>
      <c r="EW32" s="101">
        <f t="shared" si="317"/>
        <v>0.87729810785901019</v>
      </c>
      <c r="EX32" s="94">
        <f t="shared" si="31"/>
        <v>0.59236415500646344</v>
      </c>
      <c r="EY32" s="94">
        <f t="shared" si="317"/>
        <v>0.87729810785901019</v>
      </c>
      <c r="EZ32" s="94">
        <f t="shared" si="317"/>
        <v>0.87729810785901019</v>
      </c>
      <c r="FA32" s="94">
        <f t="shared" si="165"/>
        <v>0.87729810785901019</v>
      </c>
      <c r="FB32" s="95">
        <f t="shared" si="32"/>
        <v>0.59236415500646344</v>
      </c>
      <c r="FC32" s="199"/>
      <c r="FD32" s="101">
        <f t="shared" ref="FD32:FD40" si="598">IF($CQ32&lt;&gt;"",ER32*$CQ32,"")</f>
        <v>4.5166614236762125E-4</v>
      </c>
      <c r="FE32" s="94">
        <f t="shared" ref="FE32:FE40" si="599">IF($CR32&lt;&gt;"",ES32*$CR32,"")</f>
        <v>2.7841402112916918E-5</v>
      </c>
      <c r="FF32" s="94">
        <f t="shared" ref="FF32:FF40" si="600">IF($CS32&lt;&gt;"",ET32*$CS32,"")</f>
        <v>1.0038235664724031E-3</v>
      </c>
      <c r="FG32" s="94">
        <f t="shared" ref="FG32:FG40" si="601">IF($CT32&lt;&gt;"",EU32*$CT32,"")</f>
        <v>8.2283414714748879E-4</v>
      </c>
      <c r="FH32" s="95" t="str">
        <f t="shared" ref="FH32:FH40" si="602">IF($DA32&lt;&gt;"",EV32*$DA32,"")</f>
        <v/>
      </c>
      <c r="FI32" s="101">
        <f t="shared" ref="FI32:FI40" si="603">IF($CU32&lt;&gt;"",EW32*$CU32,"")</f>
        <v>4.958242113427388E-3</v>
      </c>
      <c r="FJ32" s="94">
        <f t="shared" ref="FJ32:FJ40" si="604">IF($DK32&lt;&gt;"",EX32*$DK32,"")</f>
        <v>4.1187867580307987E-5</v>
      </c>
      <c r="FK32" s="94">
        <f t="shared" ref="FK32:FK40" si="605">IF($CV32&lt;&gt;"",EY32*$CV32,"")</f>
        <v>4.2055027988815226E-4</v>
      </c>
      <c r="FL32" s="94">
        <f t="shared" ref="FL32:FL40" si="606">IF($CW32&lt;&gt;"",EZ32*$CW32,"")</f>
        <v>2.690404068217041E-5</v>
      </c>
      <c r="FM32" s="94">
        <f t="shared" ref="FM32:FM40" si="607">IF($DL32&lt;&gt;"",FA32*$DL32,"")</f>
        <v>1.3788591191006012E-5</v>
      </c>
      <c r="FN32" s="95">
        <f t="shared" ref="FN32:FN40" si="608">IF($CX32&lt;&gt;"",FB32*$CX32,"")</f>
        <v>1.1291181305811888E-4</v>
      </c>
      <c r="FO32" s="199"/>
      <c r="FP32" s="101">
        <f>IF(EL32&lt;&gt;"",LOG(FF32*FJ32/Minerals!$C$6),"")</f>
        <v>1.0965987013024667</v>
      </c>
      <c r="FQ32" s="94">
        <f>IF(EL32&lt;&gt;"",LOG(FF32*FJ32/Minerals!$C$5),"")</f>
        <v>0.96611917194624886</v>
      </c>
      <c r="FR32" s="94">
        <f>IF(EN32&lt;&gt;"",LOG(FF32*FM32^2/Minerals!$C$2),"")</f>
        <v>-2.149377876934639</v>
      </c>
      <c r="FS32" s="94">
        <f>IF(EO32&lt;&gt;"",LOG($FF32*$FN32/Minerals!$C$3),"")</f>
        <v>-2.3456228667416932</v>
      </c>
      <c r="FT32" s="95">
        <f>IF(EP32&lt;&gt;"",LOG($FF32*$FN32/Minerals!$C$4),"")</f>
        <v>-2.5856073782075959</v>
      </c>
      <c r="FU32" s="96"/>
      <c r="FV32" s="101">
        <f>IF(FP32&lt;&gt;"",LOG(FF32*FJ32/(EXP(-1*Minerals!$E$6/'Other Constants'!$B$2*(1/(273.15+'ppm-mgL-1'!$D32)-1/298.15)+LN(Minerals!$C$6)))),"")</f>
        <v>0.70527861718063789</v>
      </c>
      <c r="FW32" s="94">
        <f>IF(FP32&lt;&gt;"",LOG(FF32*FJ32/(EXP(-1*Minerals!$E$5/'Other Constants'!$B$2*(1/(273.15+'ppm-mgL-1'!$D32)-1/298.15)+LN(Minerals!$C$5)))),"")</f>
        <v>0.57476371131384951</v>
      </c>
      <c r="FX32" s="94">
        <f>IF(FR32&lt;&gt;"",LOG(FF32*FM32^2/(EXP(-1*Minerals!$E$2/'Other Constants'!$B$2*(1/(273.15+'ppm-mgL-1'!$D32)-1/298.15)+LN(Minerals!$C$2)))),"")</f>
        <v>-2.1328334621572576</v>
      </c>
      <c r="FY32" s="94">
        <f>IF(FS32&lt;&gt;"",LOG($FF32*$FN32/(EXP(-1*Minerals!$E$3/'Other Constants'!$B$2*(1/(273.15+'ppm-mgL-1'!$D32)-1/298.15)+LN(Minerals!$C$3)))),"")</f>
        <v>-2.0082913294019407</v>
      </c>
      <c r="FZ32" s="95">
        <f>IF(FT32&lt;&gt;"",LOG($FF32*$FN32/(EXP(-1*Minerals!$E$4/'Other Constants'!$B$2*(1/(273.15+'ppm-mgL-1'!$D32)-1/298.15)+LN(Minerals!$C$4)))),"")</f>
        <v>-2.595271061678774</v>
      </c>
      <c r="GA32" s="96"/>
      <c r="GB32" s="96"/>
      <c r="GC32" s="101">
        <f>10^(-1825000*(79.755*EXP(-0.0046*($D32-20))*($D32+273.15))^-1.5*$EK32^0.5/(1+'Elements and ions'!$D$12*$EK32^0.5/(2*(79.755*EXP(-0.0046*($D32-20))*($D32+273.15))^0.5)))</f>
        <v>0.87806843590559802</v>
      </c>
      <c r="GD32" s="94">
        <f>10^(-1825000*(79.755*EXP(-0.0046*($D32-20))*($D32+273.15))^-1.5*$EK32^0.5/(1+'Elements and ions'!$D$20*$EK32^0.5/(2*(79.755*EXP(-0.0046*($D32-20))*($D32+273.15))^0.5)))</f>
        <v>0.87381516836791828</v>
      </c>
      <c r="GE32" s="94">
        <f>10^(-1825000*(79.755*EXP(-0.0046*($D32-20))*($D32+273.15))^-1.5*4*$EK32^0.5/(1+'Elements and ions'!$D$21*$EK32^0.5/(2*(79.755*EXP(-0.0046*($D32-20))*($D32+273.15))^0.5)))</f>
        <v>0.61557959817273455</v>
      </c>
      <c r="GF32" s="94">
        <f>10^(-1825000*(79.755*EXP(-0.0046*($D32-20))*($D32+273.15))^-1.5*4*$EK32^0.5/(1+'Elements and ions'!$D$13*$EK32^0.5/(2*(79.755*EXP(-0.0046*($D32-20))*($D32+273.15))^0.5)))</f>
        <v>0.63466632137094436</v>
      </c>
      <c r="GG32" s="95">
        <f>10^(-1825000*(79.755*EXP(-0.0046*($D32-20))*($D32+273.15))^-1.5*4*$EK32^0.5/(1+'Elements and ions'!$D$27*$EK32^0.5/(2*(79.755*EXP(-0.0046*($D32-20))*($D32+273.15))^0.5)))</f>
        <v>0.61557959817273455</v>
      </c>
      <c r="GH32" s="101">
        <f>10^(-1825000*(79.755*EXP(-0.0046*($D32-20))*($D32+273.15))^-1.5*$EK32^0.5/(1+'Elements and ions'!$G$3*$EK32^0.5/(2*(79.755*EXP(-0.0046*($D32-20))*($D32+273.15))^0.5)))</f>
        <v>0.86234189196991518</v>
      </c>
      <c r="GI32" s="94">
        <f>10^(-1825000*(79.755*EXP(-0.0046*($D32-20))*($D32+273.15))^-1.5*4*$EK32^0.5/(1+'Elements and ions'!$G$4*$EK32^0.5/(2*(79.755*EXP(-0.0046*($D32-20))*($D32+273.15))^0.5)))</f>
        <v>0.55285541336721611</v>
      </c>
      <c r="GJ32" s="94">
        <f>10^(-1825000*(79.755*EXP(-0.0046*($D32-20))*($D32+273.15))^-1.5*$EK32^0.5/(1+'Elements and ions'!$D$18*$EK32^0.5/(2*(79.755*EXP(-0.0046*($D32-20))*($D32+273.15))^0.5)))</f>
        <v>0.87381516836791828</v>
      </c>
      <c r="GK32" s="94">
        <f>10^(-1825000*(79.755*EXP(-0.0046*($D32-20))*($D32+273.15))^-1.5*$EK32^0.5/(1+'Elements and ions'!$I$7*$EK32^0.5/(2*(79.755*EXP(-0.0046*($D32-20))*($D32+273.15))^0.5)))</f>
        <v>0.87381516836791828</v>
      </c>
      <c r="GL32" s="94">
        <f>10^(-1825000*(79.755*EXP(-0.0046*($D32-20))*($D32+273.15))^-1.5*$EK32^0.5/(1+'Elements and ions'!$D$10*$EK32^0.5/(2*(79.755*EXP(-0.0046*($D32-20))*($D32+273.15))^0.5)))</f>
        <v>0.87597820043627794</v>
      </c>
      <c r="GM32" s="95">
        <f>10^(-1825000*(79.755*EXP(-0.0046*($D32-20))*($D32+273.15))^-1.5*4*$EK32^0.5/(1+'Elements and ions'!$I$5*$EK32^0.5/(2*(79.755*EXP(-0.0046*($D32-20))*($D32+273.15))^0.5)))</f>
        <v>0.59444744269962757</v>
      </c>
      <c r="GN32" s="96"/>
      <c r="GO32" s="101">
        <f t="shared" ref="GO32:GO40" si="609">IF($CQ32&lt;&gt;"",GC32*$CQ32,"")</f>
        <v>4.5206273628939435E-4</v>
      </c>
      <c r="GP32" s="94">
        <f t="shared" ref="GP32:GP40" si="610">IF($CR32&lt;&gt;"",GD32*$CR32,"")</f>
        <v>2.7730869651900792E-5</v>
      </c>
      <c r="GQ32" s="94">
        <f t="shared" ref="GQ32:GQ40" si="611">IF($CS32&lt;&gt;"",GE32*$CS32,"")</f>
        <v>1.0431645845935102E-3</v>
      </c>
      <c r="GR32" s="94">
        <f t="shared" ref="GR32:GR40" si="612">IF($CT32&lt;&gt;"",GF32*$CT32,"")</f>
        <v>8.8159473670853183E-4</v>
      </c>
      <c r="GS32" s="95" t="str">
        <f t="shared" ref="GS32:GS40" si="613">IF($DA32&lt;&gt;"",GG32*$DA32,"")</f>
        <v/>
      </c>
      <c r="GT32" s="101">
        <f t="shared" ref="GT32:GT40" si="614">IF($CU32&lt;&gt;"",GH32*$CU32,"")</f>
        <v>4.873713788546126E-3</v>
      </c>
      <c r="GU32" s="94">
        <f t="shared" ref="GU32:GU40" si="615">IF($DK32&lt;&gt;"",GI32*$DK32,"")</f>
        <v>3.8440772224944754E-5</v>
      </c>
      <c r="GV32" s="94">
        <f t="shared" ref="GV32:GV40" si="616">IF($CV32&lt;&gt;"",GJ32*$CV32,"")</f>
        <v>4.1888066363719874E-4</v>
      </c>
      <c r="GW32" s="94">
        <f t="shared" ref="GW32:GW40" si="617">IF($CW32&lt;&gt;"",GK32*$CW32,"")</f>
        <v>2.6797229616556059E-5</v>
      </c>
      <c r="GX32" s="94">
        <f t="shared" ref="GX32:GX40" si="618">IF($DL32&lt;&gt;"",GL32*$DL32,"")</f>
        <v>1.3767846060361146E-5</v>
      </c>
      <c r="GY32" s="102">
        <f t="shared" ref="GY32:GY40" si="619">IF($CX32&lt;&gt;"",GM32*$CX32,"")</f>
        <v>1.1330891303212771E-4</v>
      </c>
      <c r="GZ32" s="199"/>
      <c r="HA32" s="92">
        <f>IF(AND(GQ32&lt;&gt;"",GU32&lt;&gt;""),LOG(GQ32*GU32/Minerals!$C$6),"")</f>
        <v>1.0833169440711969</v>
      </c>
      <c r="HB32" s="94">
        <f>IF(AND(GQ32&lt;&gt;"",GU32&lt;&gt;""),LOG(GQ32*GU32/Minerals!$C$5),"")</f>
        <v>0.95283741471497918</v>
      </c>
      <c r="HC32" s="94">
        <f>IF(AND(GQ32&lt;&gt;"",GX32&lt;&gt;""),LOG(GQ32*GX32^2/Minerals!$C$2),"")</f>
        <v>-2.1339902182837065</v>
      </c>
      <c r="HD32" s="94">
        <f>IF(AND(GQ32&lt;&gt;"",GY32&lt;&gt;""),LOG($GQ32*$GY32/Minerals!$C$3),"")</f>
        <v>-2.3274027273141544</v>
      </c>
      <c r="HE32" s="102">
        <f>IF(AND(GQ32&lt;&gt;"",GY32&lt;&gt;""),LOG($GQ32*$GY32/Minerals!$C$3),"")</f>
        <v>-2.3274027273141544</v>
      </c>
      <c r="HF32" s="199"/>
      <c r="HG32" s="92">
        <f>IF(HA32&lt;&gt;"",LOG(GQ32*GU32/(EXP(-1*Minerals!$E$6/'Other Constants'!$B$2*(1/(273.15+'ppm-mgL-1'!$D32)-1/298.15)+LN(Minerals!$C$6)))),"")</f>
        <v>0.6919968599493681</v>
      </c>
      <c r="HH32" s="94">
        <f>IF(HA32&lt;&gt;"",LOG(GQ32*GU32/(EXP(-1*Minerals!$E$5/'Other Constants'!$B$2*(1/(273.15+'ppm-mgL-1'!$D32)-1/298.15)+LN(Minerals!$C$5)))),"")</f>
        <v>0.56148195408257973</v>
      </c>
      <c r="HI32" s="94">
        <f>IF(HC32&lt;&gt;"",LOG(GQ32*GX32^2/(EXP(-1*Minerals!$E$2/'Other Constants'!$B$2*(1/(273.15+'ppm-mgL-1'!$D32)-1/298.15)+LN(Minerals!$C$2)))),"")</f>
        <v>-2.1174458035063246</v>
      </c>
      <c r="HJ32" s="94">
        <f>IF(HD32&lt;&gt;"",LOG($FF32*$FN32/(EXP(-1*Minerals!$E$3/'Other Constants'!$B$2*(1/(273.15+'ppm-mgL-1'!$D32)-1/298.15)+LN(Minerals!$C$3)))),"")</f>
        <v>-2.0082913294019407</v>
      </c>
      <c r="HK32" s="95">
        <f>IF(HE32&lt;&gt;"",LOG($FF32*$FN32/(EXP(-1*Minerals!$E$4/'Other Constants'!$B$2*(1/(273.15+'ppm-mgL-1'!$D32)-1/298.15)+LN(Minerals!$C$4)))),"")</f>
        <v>-2.595271061678774</v>
      </c>
      <c r="HL32" s="199"/>
      <c r="HM32" s="199"/>
    </row>
    <row r="33" spans="1:221" x14ac:dyDescent="0.25">
      <c r="A33" s="267" t="str">
        <f>'WC samples'!B4</f>
        <v>WC 1</v>
      </c>
      <c r="C33" s="266">
        <f>'WC samples'!A4</f>
        <v>41572</v>
      </c>
      <c r="D33" s="4">
        <f>'WC samples'!I4</f>
        <v>16.7</v>
      </c>
      <c r="E33" s="4">
        <f>'WC samples'!F4</f>
        <v>8.17</v>
      </c>
      <c r="AD33" s="83">
        <f>IF(E33&lt;&gt;"",10^(-2*$E33)/(10^(-2*$E33)+10^(-$E33-pKa!$B$2)+(10^(-pKa!$B$2-pKa!$C$2))),"")</f>
        <v>1.3213432007911393E-2</v>
      </c>
      <c r="AE33" s="84">
        <f>IF(E33&lt;&gt;"",10^(-$E33-pKa!$B$2)/(10^(-2*$E33)+10^(-$E33-pKa!$B$2)+10^(-pKa!$B$2-pKa!$C$2)),"")</f>
        <v>0.9795252470198027</v>
      </c>
      <c r="AF33" s="212">
        <f>IF(E33&lt;&gt;"",10^(-pKa!$B$2-pKa!$C$2)/(10^(-2*$E33)+10^(-$E33-pKa!$B$2)+10^(-pKa!$B$2-pKa!$C$2)),"")</f>
        <v>7.2613209722859002E-3</v>
      </c>
      <c r="AG33" s="152"/>
      <c r="AH33" s="222">
        <f>IF($AK33&lt;&gt;"",$AK33/'Elements and ions'!$G$3,IF($E33="","",""))</f>
        <v>7.5208745651200557</v>
      </c>
      <c r="AI33" s="85">
        <f t="shared" ref="AI33:AI40" si="620">IF($AH33&lt;&gt;"",($AH33-10^(-14+$E33)+10^(-$E33))/1000/(AE33+2*AF33),IF($E33="","",""))</f>
        <v>7.5659062065993052E-3</v>
      </c>
      <c r="AJ33" s="84">
        <f>IF(AI33&lt;&gt;"",AI33*1000*'Elements and ions'!$B$7,"")</f>
        <v>90.871829675602271</v>
      </c>
      <c r="AK33" s="99">
        <f>'WC samples'!H4</f>
        <v>458.9</v>
      </c>
      <c r="AL33" s="88">
        <f>IF($AK33&lt;&gt;"",$AK33/'Elements and ions'!$G$3*Minerals!$B$6/2,IF($E33="","","Enter Alk(HCO3-)"))</f>
        <v>376.37051025585725</v>
      </c>
      <c r="AM33" s="199"/>
      <c r="AN33" s="101">
        <f t="shared" si="491"/>
        <v>9.9971587239134729E-5</v>
      </c>
      <c r="AO33" s="94">
        <f t="shared" si="492"/>
        <v>7.4109961459478428E-3</v>
      </c>
      <c r="AP33" s="95">
        <f t="shared" si="493"/>
        <v>5.4938473412327591E-5</v>
      </c>
      <c r="AQ33" s="199"/>
      <c r="AR33" s="199"/>
      <c r="AS33" s="83">
        <f t="shared" si="66"/>
        <v>0.29403408011510213</v>
      </c>
      <c r="AT33" s="83">
        <f>IF(AN33&lt;&gt;"",AN33/'Henrys law constants'!$B$7*1000000,"")</f>
        <v>2940.3408011510214</v>
      </c>
      <c r="AU33" s="268">
        <f>'WC samples'!K4</f>
        <v>11.2242</v>
      </c>
      <c r="AV33" s="269">
        <f>'WC samples'!M4</f>
        <v>1.0839000000000001</v>
      </c>
      <c r="AW33" s="269">
        <f>'WC samples'!O4</f>
        <v>100.152</v>
      </c>
      <c r="AX33" s="269">
        <f>'WC samples'!N4</f>
        <v>34.004300000000001</v>
      </c>
      <c r="AY33" s="226">
        <f>AO33*'Elements and ions'!$G$3*1000</f>
        <v>452.19556607791611</v>
      </c>
      <c r="AZ33" s="269">
        <f>'WC samples'!Q4</f>
        <v>16.905799999999999</v>
      </c>
      <c r="BA33" s="269">
        <f>'WC samples'!T4</f>
        <v>2.4679000000000002</v>
      </c>
      <c r="BB33" s="270">
        <f>'WC samples'!V4</f>
        <v>18.533300000000001</v>
      </c>
      <c r="BC33" s="222">
        <f>IF($E33&lt;&gt;"",10^-$E33*'Elements and ions'!B34*1000,"")</f>
        <v>5.0653488682318043E-4</v>
      </c>
      <c r="BE33" s="6"/>
      <c r="BF33" s="6"/>
      <c r="BG33" s="270">
        <f>'WC samples'!L4</f>
        <v>0</v>
      </c>
      <c r="BH33" s="3"/>
      <c r="BJ33" s="92">
        <f>IF($AN33&lt;&gt;"",$AN33*'Elements and ions'!$G$2*1000,"")</f>
        <v>6.2007157047581378</v>
      </c>
      <c r="BK33" s="229"/>
      <c r="BL33" s="230"/>
      <c r="BM33" s="101">
        <f>IF($E33&lt;&gt;"",(10^-14+$E33)*'Elements and ions'!$G$8,"")</f>
        <v>138.94996780000017</v>
      </c>
      <c r="BO33" s="102">
        <f>IF($AP33&lt;&gt;"",$AP33*'Elements and ions'!$G$4*1000,"")</f>
        <v>3.2967973571530247</v>
      </c>
      <c r="BP33" s="269">
        <f>'WC samples'!P4</f>
        <v>0.28520000000000001</v>
      </c>
      <c r="BQ33" s="270">
        <f>'WC samples'!R4</f>
        <v>0</v>
      </c>
      <c r="BR33" s="195"/>
      <c r="BS33" s="238">
        <f>IF($AU33&lt;&gt;"",$AU33/'Elements and ions'!$B$12,"")</f>
        <v>0.48822586530977136</v>
      </c>
      <c r="BT33" s="239">
        <f>IF($AV33&lt;&gt;"",$AV33/'Elements and ions'!$B$20,"")</f>
        <v>2.7722432944654884E-2</v>
      </c>
      <c r="BU33" s="239">
        <f>IF($AW33&lt;&gt;"",$AW33/'Elements and ions'!$B$21, "")</f>
        <v>2.498927092170268</v>
      </c>
      <c r="BV33" s="240">
        <f>IF($AX33&lt;&gt;"",$AX33/'Elements and ions'!$B$13, "")</f>
        <v>1.3990660357951039</v>
      </c>
      <c r="BW33" s="238">
        <f>IF($AY33&lt;&gt;"",$AY33/'Elements and ions'!$G$3,"")</f>
        <v>7.4109961459478422</v>
      </c>
      <c r="BX33" s="239">
        <f>IF($AZ33&lt;&gt;"",$AZ33/'Elements and ions'!$B$18,"")</f>
        <v>0.47685104222491742</v>
      </c>
      <c r="BY33" s="239">
        <f>IF($BA33&lt;&gt;"",$BA33/'Elements and ions'!$G$7,"")</f>
        <v>3.9801693091997568E-2</v>
      </c>
      <c r="BZ33" s="241">
        <f>IF($BB33&lt;&gt;"",$BB33/'Elements and ions'!$G$5,"")</f>
        <v>0.19292940228559294</v>
      </c>
      <c r="CA33" s="91">
        <f t="shared" si="67"/>
        <v>6.7608297539198163E-6</v>
      </c>
      <c r="CB33" s="163" t="str">
        <f>IF($BD33&lt;&gt;"",$BD33/'Elements and ions'!$B$14,"")</f>
        <v/>
      </c>
      <c r="CC33" s="89" t="str">
        <f>IF($BE33&lt;&gt;"",$BE33/'Elements and ions'!$B$27, "")</f>
        <v/>
      </c>
      <c r="CD33" s="249" t="str">
        <f>IF($BF33&lt;&gt;"",$BF33/'Elements and ions'!$B$26,"")</f>
        <v/>
      </c>
      <c r="CE33" s="250">
        <f>IF($BG33&lt;&gt;"",$BG33/'Elements and ions'!$G$6,"")</f>
        <v>0</v>
      </c>
      <c r="CF33" s="91" t="str">
        <f>IF($BH33&lt;&gt;"",$BH33/'Elements and ions'!$G$15,"")</f>
        <v/>
      </c>
      <c r="CG33" s="89" t="str">
        <f>IF($BI33&lt;&gt;"",$BI33/'Elements and ions'!$G$16,"")</f>
        <v/>
      </c>
      <c r="CH33" s="90">
        <f>IF($BJ33&lt;&gt;"",$BJ33/'Elements and ions'!$G$2,"")</f>
        <v>9.9971587239134727E-2</v>
      </c>
      <c r="CI33" s="91" t="str">
        <f>IF($BK33&lt;&gt;"",$BK33/'Elements and ions'!$B$15, "")</f>
        <v/>
      </c>
      <c r="CJ33" s="88" t="str">
        <f>IF($BL33&lt;&gt;"", $BL33/'Elements and ions'!$G$17,"")</f>
        <v/>
      </c>
      <c r="CK33" s="89">
        <f t="shared" si="68"/>
        <v>1.4791083881682055E-3</v>
      </c>
      <c r="CL33" s="163" t="str">
        <f>IF($BN33&lt;&gt;"", $BN33/'Elements and ions'!$G$19,"")</f>
        <v/>
      </c>
      <c r="CM33" s="89">
        <f>IF($BO33&lt;&gt;"",$BO33/'Elements and ions'!$G$4,"")</f>
        <v>5.4938473412327583E-2</v>
      </c>
      <c r="CN33" s="89">
        <f>IF($BP33&lt;&gt;"",$BP33/'Elements and ions'!$B$10,"")</f>
        <v>1.5011787938051553E-2</v>
      </c>
      <c r="CO33" s="104">
        <f>IF($BQ33&lt;&gt;"",$BQ33/'Elements and ions'!$G$18,"")</f>
        <v>0</v>
      </c>
      <c r="CP33" s="242"/>
      <c r="CQ33" s="238">
        <f t="shared" si="557"/>
        <v>4.8822586530977138E-4</v>
      </c>
      <c r="CR33" s="239">
        <f t="shared" si="558"/>
        <v>2.7722432944654885E-5</v>
      </c>
      <c r="CS33" s="239">
        <f t="shared" si="559"/>
        <v>2.4989270921702681E-3</v>
      </c>
      <c r="CT33" s="241">
        <f t="shared" si="560"/>
        <v>1.3990660357951039E-3</v>
      </c>
      <c r="CU33" s="238">
        <f t="shared" si="561"/>
        <v>7.4109961459478419E-3</v>
      </c>
      <c r="CV33" s="239">
        <f t="shared" si="562"/>
        <v>4.7685104222491744E-4</v>
      </c>
      <c r="CW33" s="239">
        <f t="shared" si="563"/>
        <v>3.9801693091997566E-5</v>
      </c>
      <c r="CX33" s="241">
        <f t="shared" si="564"/>
        <v>1.9292940228559294E-4</v>
      </c>
      <c r="CY33" s="258">
        <f t="shared" si="98"/>
        <v>6.7608297539198166E-9</v>
      </c>
      <c r="CZ33" s="259" t="str">
        <f t="shared" si="565"/>
        <v/>
      </c>
      <c r="DA33" s="260" t="str">
        <f t="shared" si="566"/>
        <v/>
      </c>
      <c r="DB33" s="261" t="str">
        <f t="shared" si="567"/>
        <v/>
      </c>
      <c r="DC33" s="262">
        <f t="shared" si="568"/>
        <v>0</v>
      </c>
      <c r="DD33" s="263" t="str">
        <f t="shared" si="569"/>
        <v/>
      </c>
      <c r="DE33" s="259" t="str">
        <f t="shared" si="570"/>
        <v/>
      </c>
      <c r="DF33" s="260">
        <f t="shared" si="571"/>
        <v>9.9971587239134729E-5</v>
      </c>
      <c r="DG33" s="260" t="str">
        <f t="shared" si="572"/>
        <v/>
      </c>
      <c r="DH33" s="264" t="str">
        <f t="shared" si="573"/>
        <v/>
      </c>
      <c r="DI33" s="258">
        <f t="shared" si="108"/>
        <v>1.4791083881682056E-6</v>
      </c>
      <c r="DJ33" s="260" t="str">
        <f t="shared" si="574"/>
        <v/>
      </c>
      <c r="DK33" s="260">
        <f t="shared" si="575"/>
        <v>5.4938473412327584E-5</v>
      </c>
      <c r="DL33" s="260">
        <f t="shared" si="576"/>
        <v>1.5011787938051554E-5</v>
      </c>
      <c r="DM33" s="265">
        <f t="shared" si="577"/>
        <v>0</v>
      </c>
      <c r="DN33" s="242"/>
      <c r="DO33" s="238">
        <f t="shared" si="578"/>
        <v>0.48822586530977136</v>
      </c>
      <c r="DP33" s="239">
        <f t="shared" si="579"/>
        <v>2.7722432944654884E-2</v>
      </c>
      <c r="DQ33" s="239">
        <f t="shared" si="580"/>
        <v>4.997854184340536</v>
      </c>
      <c r="DR33" s="241">
        <f t="shared" si="581"/>
        <v>2.7981320715902078</v>
      </c>
      <c r="DS33" s="238">
        <f t="shared" si="582"/>
        <v>-7.4109961459478422</v>
      </c>
      <c r="DT33" s="239">
        <f t="shared" si="583"/>
        <v>-0.47685104222491742</v>
      </c>
      <c r="DU33" s="239">
        <f t="shared" si="584"/>
        <v>-3.9801693091997568E-2</v>
      </c>
      <c r="DV33" s="241">
        <f t="shared" si="585"/>
        <v>-0.38585880457118588</v>
      </c>
      <c r="DW33" s="91">
        <f t="shared" si="113"/>
        <v>6.7608297539198163E-6</v>
      </c>
      <c r="DX33" s="89">
        <f t="shared" si="586"/>
        <v>0</v>
      </c>
      <c r="DY33" s="89">
        <f t="shared" si="587"/>
        <v>0</v>
      </c>
      <c r="DZ33" s="89">
        <f t="shared" si="588"/>
        <v>0</v>
      </c>
      <c r="EA33" s="90">
        <f t="shared" si="589"/>
        <v>0</v>
      </c>
      <c r="EB33" s="91">
        <f t="shared" si="118"/>
        <v>-1.4791083881682055E-3</v>
      </c>
      <c r="EC33" s="89">
        <f t="shared" si="590"/>
        <v>0</v>
      </c>
      <c r="ED33" s="89">
        <f t="shared" si="591"/>
        <v>-0.10987694682465517</v>
      </c>
      <c r="EE33" s="89">
        <f t="shared" si="592"/>
        <v>-1.5011787938051553E-2</v>
      </c>
      <c r="EF33" s="90">
        <f t="shared" si="593"/>
        <v>0</v>
      </c>
      <c r="EG33" s="242"/>
      <c r="EH33" s="245">
        <f t="shared" si="594"/>
        <v>8.3119413150149235</v>
      </c>
      <c r="EI33" s="246">
        <f t="shared" si="595"/>
        <v>-8.4398755289868195</v>
      </c>
      <c r="EJ33" s="198">
        <f t="shared" si="596"/>
        <v>-0.7637035144501646</v>
      </c>
      <c r="EK33" s="198">
        <f t="shared" si="597"/>
        <v>2.0592994604732472E-2</v>
      </c>
      <c r="EL33" s="101">
        <f>IF(AND(CS33&lt;&gt;"",DK33&lt;&gt;""),LOG(CS33*DK33/Minerals!$C$6),"")</f>
        <v>1.6178021791245722</v>
      </c>
      <c r="EM33" s="94">
        <f>IF(AND(CS33&lt;&gt;"",DK33&lt;&gt;""),LOG(CS33*DK33/Minerals!$C$5),"")</f>
        <v>1.4873226497683545</v>
      </c>
      <c r="EN33" s="94">
        <f>IF(AND(CS33&lt;&gt;"",DL33&lt;&gt;""),LOG(CS33*DL33^2/Minerals!$C$2),"")</f>
        <v>-1.6794566284990087</v>
      </c>
      <c r="EO33" s="94">
        <f>IF(AND(CS33&lt;&gt;"",CX33&lt;&gt;""),LOG($CS33*$CX33/Minerals!$C$3),"")</f>
        <v>-1.7168676307618072</v>
      </c>
      <c r="EP33" s="95">
        <f>IF(AND(CS33&lt;&gt;"",CX33&lt;&gt;""),LOG($CS33*$CX33/Minerals!$C$4),"")</f>
        <v>-1.9568521422277096</v>
      </c>
      <c r="EQ33" s="199"/>
      <c r="ER33" s="101">
        <f t="shared" si="315"/>
        <v>0.86547206083017092</v>
      </c>
      <c r="ES33" s="94">
        <f t="shared" si="315"/>
        <v>0.86547206083017092</v>
      </c>
      <c r="ET33" s="94">
        <f t="shared" si="316"/>
        <v>0.56106375009489029</v>
      </c>
      <c r="EU33" s="94">
        <f t="shared" si="316"/>
        <v>0.56106375009489029</v>
      </c>
      <c r="EV33" s="95">
        <f t="shared" si="316"/>
        <v>0.56106375009489029</v>
      </c>
      <c r="EW33" s="101">
        <f t="shared" si="317"/>
        <v>0.86547206083017092</v>
      </c>
      <c r="EX33" s="94">
        <f t="shared" si="31"/>
        <v>0.56106375009489029</v>
      </c>
      <c r="EY33" s="94">
        <f t="shared" si="317"/>
        <v>0.86547206083017092</v>
      </c>
      <c r="EZ33" s="94">
        <f t="shared" si="317"/>
        <v>0.86547206083017092</v>
      </c>
      <c r="FA33" s="94">
        <f t="shared" si="165"/>
        <v>0.86547206083017092</v>
      </c>
      <c r="FB33" s="95">
        <f t="shared" si="32"/>
        <v>0.56106375009489029</v>
      </c>
      <c r="FC33" s="199"/>
      <c r="FD33" s="101">
        <f t="shared" si="598"/>
        <v>4.2254584580024129E-4</v>
      </c>
      <c r="FE33" s="94">
        <f t="shared" si="599"/>
        <v>2.3992991171836687E-5</v>
      </c>
      <c r="FF33" s="94">
        <f t="shared" si="600"/>
        <v>1.4020574055467702E-3</v>
      </c>
      <c r="FG33" s="94">
        <f t="shared" si="601"/>
        <v>7.8496523667359304E-4</v>
      </c>
      <c r="FH33" s="95" t="str">
        <f t="shared" si="602"/>
        <v/>
      </c>
      <c r="FI33" s="101">
        <f t="shared" si="603"/>
        <v>6.4140101072379324E-3</v>
      </c>
      <c r="FJ33" s="94">
        <f t="shared" si="604"/>
        <v>3.0823985917208936E-5</v>
      </c>
      <c r="FK33" s="94">
        <f t="shared" si="605"/>
        <v>4.1270125422341415E-4</v>
      </c>
      <c r="FL33" s="94">
        <f t="shared" si="606"/>
        <v>3.4447253344861112E-5</v>
      </c>
      <c r="FM33" s="94">
        <f t="shared" si="607"/>
        <v>1.2992283043490981E-5</v>
      </c>
      <c r="FN33" s="95">
        <f t="shared" si="608"/>
        <v>1.0824569394992047E-4</v>
      </c>
      <c r="FO33" s="199"/>
      <c r="FP33" s="101">
        <f>IF(EL33&lt;&gt;"",LOG(FF33*FJ33/Minerals!$C$6),"")</f>
        <v>1.1158265994674208</v>
      </c>
      <c r="FQ33" s="94">
        <f>IF(EL33&lt;&gt;"",LOG(FF33*FJ33/Minerals!$C$5),"")</f>
        <v>0.98534707011120304</v>
      </c>
      <c r="FR33" s="94">
        <f>IF(EN33&lt;&gt;"",LOG(FF33*FM33^2/Minerals!$C$2),"")</f>
        <v>-2.0559383132418723</v>
      </c>
      <c r="FS33" s="94">
        <f>IF(EO33&lt;&gt;"",LOG($FF33*$FN33/Minerals!$C$3),"")</f>
        <v>-2.2188432104189588</v>
      </c>
      <c r="FT33" s="95">
        <f>IF(EP33&lt;&gt;"",LOG($FF33*$FN33/Minerals!$C$4),"")</f>
        <v>-2.4588277218848611</v>
      </c>
      <c r="FU33" s="96"/>
      <c r="FV33" s="101">
        <f>IF(FP33&lt;&gt;"",LOG(FF33*FJ33/(EXP(-1*Minerals!$E$6/'Other Constants'!$B$2*(1/(273.15+'ppm-mgL-1'!$D33)-1/298.15)+LN(Minerals!$C$6)))),"")</f>
        <v>-2.2139313197096087</v>
      </c>
      <c r="FW33" s="94">
        <f>IF(FP33&lt;&gt;"",LOG(FF33*FJ33/(EXP(-1*Minerals!$E$5/'Other Constants'!$B$2*(1/(273.15+'ppm-mgL-1'!$D33)-1/298.15)+LN(Minerals!$C$5)))),"")</f>
        <v>-2.344711869179561</v>
      </c>
      <c r="FX33" s="94">
        <f>IF(FR33&lt;&gt;"",LOG(FF33*FM33^2/(EXP(-1*Minerals!$E$2/'Other Constants'!$B$2*(1/(273.15+'ppm-mgL-1'!$D33)-1/298.15)+LN(Minerals!$C$2)))),"")</f>
        <v>-1.915161240051876</v>
      </c>
      <c r="FY33" s="94">
        <f>IF(FS33&lt;&gt;"",LOG($FF33*$FN33/(EXP(-1*Minerals!$E$3/'Other Constants'!$B$2*(1/(273.15+'ppm-mgL-1'!$D33)-1/298.15)+LN(Minerals!$C$3)))),"")</f>
        <v>0.65152405009586356</v>
      </c>
      <c r="FZ33" s="95">
        <f>IF(FT33&lt;&gt;"",LOG($FF33*$FN33/(EXP(-1*Minerals!$E$4/'Other Constants'!$B$2*(1/(273.15+'ppm-mgL-1'!$D33)-1/298.15)+LN(Minerals!$C$4)))),"")</f>
        <v>-2.5410563829534292</v>
      </c>
      <c r="GA33" s="96"/>
      <c r="GB33" s="96"/>
      <c r="GC33" s="101">
        <f>10^(-1825000*(79.755*EXP(-0.0046*($D33-20))*($D33+273.15))^-1.5*$EK33^0.5/(1+'Elements and ions'!$D$12*$EK33^0.5/(2*(79.755*EXP(-0.0046*($D33-20))*($D33+273.15))^0.5)))</f>
        <v>0.86827519421430344</v>
      </c>
      <c r="GD33" s="94">
        <f>10^(-1825000*(79.755*EXP(-0.0046*($D33-20))*($D33+273.15))^-1.5*$EK33^0.5/(1+'Elements and ions'!$D$20*$EK33^0.5/(2*(79.755*EXP(-0.0046*($D33-20))*($D33+273.15))^0.5)))</f>
        <v>0.86325353327537013</v>
      </c>
      <c r="GE33" s="94">
        <f>10^(-1825000*(79.755*EXP(-0.0046*($D33-20))*($D33+273.15))^-1.5*4*$EK33^0.5/(1+'Elements and ions'!$D$21*$EK33^0.5/(2*(79.755*EXP(-0.0046*($D33-20))*($D33+273.15))^0.5)))</f>
        <v>0.59234054788289825</v>
      </c>
      <c r="GF33" s="94">
        <f>10^(-1825000*(79.755*EXP(-0.0046*($D33-20))*($D33+273.15))^-1.5*4*$EK33^0.5/(1+'Elements and ions'!$D$13*$EK33^0.5/(2*(79.755*EXP(-0.0046*($D33-20))*($D33+273.15))^0.5)))</f>
        <v>0.61385847876341371</v>
      </c>
      <c r="GG33" s="95">
        <f>10^(-1825000*(79.755*EXP(-0.0046*($D33-20))*($D33+273.15))^-1.5*4*$EK33^0.5/(1+'Elements and ions'!$D$27*$EK33^0.5/(2*(79.755*EXP(-0.0046*($D33-20))*($D33+273.15))^0.5)))</f>
        <v>0.59234054788289825</v>
      </c>
      <c r="GH33" s="101">
        <f>10^(-1825000*(79.755*EXP(-0.0046*($D33-20))*($D33+273.15))^-1.5*$EK33^0.5/(1+'Elements and ions'!$G$3*$EK33^0.5/(2*(79.755*EXP(-0.0046*($D33-20))*($D33+273.15))^0.5)))</f>
        <v>0.8495503202538327</v>
      </c>
      <c r="GI33" s="94">
        <f>10^(-1825000*(79.755*EXP(-0.0046*($D33-20))*($D33+273.15))^-1.5*4*$EK33^0.5/(1+'Elements and ions'!$G$4*$EK33^0.5/(2*(79.755*EXP(-0.0046*($D33-20))*($D33+273.15))^0.5)))</f>
        <v>0.52074652116447284</v>
      </c>
      <c r="GJ33" s="94">
        <f>10^(-1825000*(79.755*EXP(-0.0046*($D33-20))*($D33+273.15))^-1.5*$EK33^0.5/(1+'Elements and ions'!$D$18*$EK33^0.5/(2*(79.755*EXP(-0.0046*($D33-20))*($D33+273.15))^0.5)))</f>
        <v>0.86325353327537013</v>
      </c>
      <c r="GK33" s="94">
        <f>10^(-1825000*(79.755*EXP(-0.0046*($D33-20))*($D33+273.15))^-1.5*$EK33^0.5/(1+'Elements and ions'!$I$7*$EK33^0.5/(2*(79.755*EXP(-0.0046*($D33-20))*($D33+273.15))^0.5)))</f>
        <v>0.86325353327537013</v>
      </c>
      <c r="GL33" s="94">
        <f>10^(-1825000*(79.755*EXP(-0.0046*($D33-20))*($D33+273.15))^-1.5*$EK33^0.5/(1+'Elements and ions'!$D$10*$EK33^0.5/(2*(79.755*EXP(-0.0046*($D33-20))*($D33+273.15))^0.5)))</f>
        <v>0.86581124057374059</v>
      </c>
      <c r="GM33" s="95">
        <f>10^(-1825000*(79.755*EXP(-0.0046*($D33-20))*($D33+273.15))^-1.5*4*$EK33^0.5/(1+'Elements and ions'!$I$5*$EK33^0.5/(2*(79.755*EXP(-0.0046*($D33-20))*($D33+273.15))^0.5)))</f>
        <v>0.56836794347564168</v>
      </c>
      <c r="GN33" s="96"/>
      <c r="GO33" s="101">
        <f t="shared" si="609"/>
        <v>4.2391440802228811E-4</v>
      </c>
      <c r="GP33" s="94">
        <f t="shared" si="610"/>
        <v>2.3931488190462853E-5</v>
      </c>
      <c r="GQ33" s="94">
        <f t="shared" si="611"/>
        <v>1.4802158428955544E-3</v>
      </c>
      <c r="GR33" s="94">
        <f t="shared" si="612"/>
        <v>8.5882854842274218E-4</v>
      </c>
      <c r="GS33" s="95" t="str">
        <f t="shared" si="613"/>
        <v/>
      </c>
      <c r="GT33" s="101">
        <f t="shared" si="614"/>
        <v>6.2960141491899086E-3</v>
      </c>
      <c r="GU33" s="94">
        <f t="shared" si="615"/>
        <v>2.8609018907556476E-5</v>
      </c>
      <c r="GV33" s="94">
        <f t="shared" si="616"/>
        <v>4.1164334704670268E-4</v>
      </c>
      <c r="GW33" s="94">
        <f t="shared" si="617"/>
        <v>3.4358952192008792E-5</v>
      </c>
      <c r="GX33" s="94">
        <f t="shared" si="618"/>
        <v>1.2997374737874332E-5</v>
      </c>
      <c r="GY33" s="102">
        <f t="shared" si="619"/>
        <v>1.0965488761304722E-4</v>
      </c>
      <c r="GZ33" s="199"/>
      <c r="HA33" s="92">
        <f>IF(AND(GQ33&lt;&gt;"",GU33&lt;&gt;""),LOG(GQ33*GU33/Minerals!$C$6),"")</f>
        <v>1.1070000191680136</v>
      </c>
      <c r="HB33" s="94">
        <f>IF(AND(GQ33&lt;&gt;"",GU33&lt;&gt;""),LOG(GQ33*GU33/Minerals!$C$5),"")</f>
        <v>0.97652048981179596</v>
      </c>
      <c r="HC33" s="94">
        <f>IF(AND(GQ33&lt;&gt;"",GX33&lt;&gt;""),LOG(GQ33*GX33^2/Minerals!$C$2),"")</f>
        <v>-2.0320387261268511</v>
      </c>
      <c r="HD33" s="94">
        <f>IF(AND(GQ33&lt;&gt;"",GY33&lt;&gt;""),LOG($GQ33*$GY33/Minerals!$C$3),"")</f>
        <v>-2.1896665927531807</v>
      </c>
      <c r="HE33" s="102">
        <f>IF(AND(GQ33&lt;&gt;"",GY33&lt;&gt;""),LOG($GQ33*$GY33/Minerals!$C$3),"")</f>
        <v>-2.1896665927531807</v>
      </c>
      <c r="HF33" s="199"/>
      <c r="HG33" s="92">
        <f>IF(HA33&lt;&gt;"",LOG(GQ33*GU33/(EXP(-1*Minerals!$E$6/'Other Constants'!$B$2*(1/(273.15+'ppm-mgL-1'!$D33)-1/298.15)+LN(Minerals!$C$6)))),"")</f>
        <v>-2.2227579000090159</v>
      </c>
      <c r="HH33" s="94">
        <f>IF(HA33&lt;&gt;"",LOG(GQ33*GU33/(EXP(-1*Minerals!$E$5/'Other Constants'!$B$2*(1/(273.15+'ppm-mgL-1'!$D33)-1/298.15)+LN(Minerals!$C$5)))),"")</f>
        <v>-2.3535384494789677</v>
      </c>
      <c r="HI33" s="94">
        <f>IF(HC33&lt;&gt;"",LOG(GQ33*GX33^2/(EXP(-1*Minerals!$E$2/'Other Constants'!$B$2*(1/(273.15+'ppm-mgL-1'!$D33)-1/298.15)+LN(Minerals!$C$2)))),"")</f>
        <v>-1.8912616529368551</v>
      </c>
      <c r="HJ33" s="94">
        <f>IF(HD33&lt;&gt;"",LOG($FF33*$FN33/(EXP(-1*Minerals!$E$3/'Other Constants'!$B$2*(1/(273.15+'ppm-mgL-1'!$D33)-1/298.15)+LN(Minerals!$C$3)))),"")</f>
        <v>0.65152405009586356</v>
      </c>
      <c r="HK33" s="95">
        <f>IF(HE33&lt;&gt;"",LOG($FF33*$FN33/(EXP(-1*Minerals!$E$4/'Other Constants'!$B$2*(1/(273.15+'ppm-mgL-1'!$D33)-1/298.15)+LN(Minerals!$C$4)))),"")</f>
        <v>-2.5410563829534292</v>
      </c>
      <c r="HL33" s="199"/>
      <c r="HM33" s="199"/>
    </row>
    <row r="34" spans="1:221" x14ac:dyDescent="0.25">
      <c r="A34" s="267" t="str">
        <f>'WC samples'!B5</f>
        <v>WC 6</v>
      </c>
      <c r="C34" s="266">
        <f>'WC samples'!A5</f>
        <v>41436</v>
      </c>
      <c r="D34" s="4">
        <f>'WC samples'!I5</f>
        <v>22.6</v>
      </c>
      <c r="E34" s="4">
        <f>'WC samples'!F5</f>
        <v>8.32</v>
      </c>
      <c r="AD34" s="83">
        <f>IF(E34&lt;&gt;"",10^(-2*$E34)/(10^(-2*$E34)+10^(-$E34-pKa!$B$2)+(10^(-pKa!$B$2-pKa!$C$2))),"")</f>
        <v>9.3624777152054011E-3</v>
      </c>
      <c r="AE34" s="84">
        <f>IF(E34&lt;&gt;"",10^(-$E34-pKa!$B$2)/(10^(-2*$E34)+10^(-$E34-pKa!$B$2)+10^(-pKa!$B$2-pKa!$C$2)),"")</f>
        <v>0.98037176960819539</v>
      </c>
      <c r="AF34" s="212">
        <f>IF(E34&lt;&gt;"",10^(-pKa!$B$2-pKa!$C$2)/(10^(-2*$E34)+10^(-$E34-pKa!$B$2)+10^(-pKa!$B$2-pKa!$C$2)),"")</f>
        <v>1.0265752676599182E-2</v>
      </c>
      <c r="AG34" s="152"/>
      <c r="AH34" s="222">
        <f>IF($AK34&lt;&gt;"",$AK34/'Elements and ions'!$G$3,IF($E34="","",""))</f>
        <v>5.0313978895006697</v>
      </c>
      <c r="AI34" s="85">
        <f t="shared" si="620"/>
        <v>5.0268551725788967E-3</v>
      </c>
      <c r="AJ34" s="84">
        <f>IF(AI34&lt;&gt;"",AI34*1000*'Elements and ions'!$B$7,"")</f>
        <v>60.376049421293352</v>
      </c>
      <c r="AK34" s="99">
        <f>'WC samples'!H5</f>
        <v>307</v>
      </c>
      <c r="AL34" s="88">
        <f>IF($AK34&lt;&gt;"",$AK34/'Elements and ions'!$G$3*Minerals!$B$6/2,IF($E34="","","Enter Alk(HCO3-)"))</f>
        <v>251.78850871333228</v>
      </c>
      <c r="AM34" s="199"/>
      <c r="AN34" s="101">
        <f t="shared" si="491"/>
        <v>4.7063819530834918E-5</v>
      </c>
      <c r="AO34" s="94">
        <f t="shared" si="492"/>
        <v>4.9281869011052835E-3</v>
      </c>
      <c r="AP34" s="95">
        <f t="shared" si="493"/>
        <v>5.1604451942778255E-5</v>
      </c>
      <c r="AQ34" s="199"/>
      <c r="AR34" s="199"/>
      <c r="AS34" s="83">
        <f t="shared" si="66"/>
        <v>0.13842299862010271</v>
      </c>
      <c r="AT34" s="83">
        <f>IF(AN34&lt;&gt;"",AN34/'Henrys law constants'!$B$7*1000000,"")</f>
        <v>1384.229986201027</v>
      </c>
      <c r="AU34" s="268">
        <f>'WC samples'!K5</f>
        <v>10.869899999999999</v>
      </c>
      <c r="AV34" s="269">
        <f>'WC samples'!M5</f>
        <v>1.1113</v>
      </c>
      <c r="AW34" s="269">
        <f>'WC samples'!O5</f>
        <v>48.844999999999999</v>
      </c>
      <c r="AX34" s="269">
        <f>'WC samples'!N5</f>
        <v>32.681800000000003</v>
      </c>
      <c r="AY34" s="226">
        <f>AO34*'Elements and ions'!$G$3*1000</f>
        <v>300.70239163483689</v>
      </c>
      <c r="AZ34" s="269">
        <f>'WC samples'!Q5</f>
        <v>15.3133</v>
      </c>
      <c r="BA34" s="269">
        <f>'WC samples'!T5</f>
        <v>1.2512000000000001</v>
      </c>
      <c r="BB34" s="270">
        <f>'WC samples'!V5</f>
        <v>16.726099999999999</v>
      </c>
      <c r="BC34" s="222">
        <f>IF($E34&lt;&gt;"",10^-$E34*'Elements and ions'!B35*1000,"")</f>
        <v>0</v>
      </c>
      <c r="BE34" s="6"/>
      <c r="BF34" s="6"/>
      <c r="BG34" s="270">
        <f>'WC samples'!L5</f>
        <v>0</v>
      </c>
      <c r="BH34" s="3"/>
      <c r="BJ34" s="92">
        <f>IF($AN34&lt;&gt;"",$AN34*'Elements and ions'!$G$2*1000,"")</f>
        <v>2.9191230523597387</v>
      </c>
      <c r="BK34" s="229"/>
      <c r="BL34" s="230"/>
      <c r="BM34" s="101">
        <f>IF($E34&lt;&gt;"",(10^-14+$E34)*'Elements and ions'!$G$8,"")</f>
        <v>141.50106880000018</v>
      </c>
      <c r="BO34" s="102">
        <f>IF($AP34&lt;&gt;"",$AP34*'Elements and ions'!$G$4*1000,"")</f>
        <v>3.0967263961889859</v>
      </c>
      <c r="BP34" s="269">
        <f>'WC samples'!P5</f>
        <v>0.28370000000000001</v>
      </c>
      <c r="BQ34" s="270">
        <f>'WC samples'!R5</f>
        <v>0</v>
      </c>
      <c r="BR34" s="195"/>
      <c r="BS34" s="238">
        <f>IF($AU34&lt;&gt;"",$AU34/'Elements and ions'!$B$12,"")</f>
        <v>0.47281466236619835</v>
      </c>
      <c r="BT34" s="239">
        <f>IF($AV34&lt;&gt;"",$AV34/'Elements and ions'!$B$20,"")</f>
        <v>2.8423230677548639E-2</v>
      </c>
      <c r="BU34" s="239">
        <f>IF($AW34&lt;&gt;"",$AW34/'Elements and ions'!$B$21, "")</f>
        <v>1.218748440540945</v>
      </c>
      <c r="BV34" s="240">
        <f>IF($AX34&lt;&gt;"",$AX34/'Elements and ions'!$B$13, "")</f>
        <v>1.3446533635054516</v>
      </c>
      <c r="BW34" s="238">
        <f>IF($AY34&lt;&gt;"",$AY34/'Elements and ions'!$G$3,"")</f>
        <v>4.9281869011052839</v>
      </c>
      <c r="BX34" s="239">
        <f>IF($AZ34&lt;&gt;"",$AZ34/'Elements and ions'!$B$18,"")</f>
        <v>0.43193241756691952</v>
      </c>
      <c r="BY34" s="239">
        <f>IF($BA34&lt;&gt;"",$BA34/'Elements and ions'!$G$7,"")</f>
        <v>2.0179050365374353E-2</v>
      </c>
      <c r="BZ34" s="241">
        <f>IF($BB34&lt;&gt;"",$BB34/'Elements and ions'!$G$5,"")</f>
        <v>0.17411666975493062</v>
      </c>
      <c r="CA34" s="91">
        <f t="shared" si="67"/>
        <v>4.7863009232263724E-6</v>
      </c>
      <c r="CB34" s="163" t="str">
        <f>IF($BD34&lt;&gt;"",$BD34/'Elements and ions'!$B$14,"")</f>
        <v/>
      </c>
      <c r="CC34" s="89" t="str">
        <f>IF($BE34&lt;&gt;"",$BE34/'Elements and ions'!$B$27, "")</f>
        <v/>
      </c>
      <c r="CD34" s="249" t="str">
        <f>IF($BF34&lt;&gt;"",$BF34/'Elements and ions'!$B$26,"")</f>
        <v/>
      </c>
      <c r="CE34" s="250">
        <f>IF($BG34&lt;&gt;"",$BG34/'Elements and ions'!$G$6,"")</f>
        <v>0</v>
      </c>
      <c r="CF34" s="91" t="str">
        <f>IF($BH34&lt;&gt;"",$BH34/'Elements and ions'!$G$15,"")</f>
        <v/>
      </c>
      <c r="CG34" s="89" t="str">
        <f>IF($BI34&lt;&gt;"",$BI34/'Elements and ions'!$G$16,"")</f>
        <v/>
      </c>
      <c r="CH34" s="90">
        <f>IF($BJ34&lt;&gt;"",$BJ34/'Elements and ions'!$G$2,"")</f>
        <v>4.7063819530834917E-2</v>
      </c>
      <c r="CI34" s="91" t="str">
        <f>IF($BK34&lt;&gt;"",$BK34/'Elements and ions'!$B$15, "")</f>
        <v/>
      </c>
      <c r="CJ34" s="88" t="str">
        <f>IF($BL34&lt;&gt;"", $BL34/'Elements and ions'!$G$17,"")</f>
        <v/>
      </c>
      <c r="CK34" s="89">
        <f t="shared" si="68"/>
        <v>2.0892961308540377E-3</v>
      </c>
      <c r="CL34" s="163" t="str">
        <f>IF($BN34&lt;&gt;"", $BN34/'Elements and ions'!$G$19,"")</f>
        <v/>
      </c>
      <c r="CM34" s="89">
        <f>IF($BO34&lt;&gt;"",$BO34/'Elements and ions'!$G$4,"")</f>
        <v>5.1604451942778254E-2</v>
      </c>
      <c r="CN34" s="89">
        <f>IF($BP34&lt;&gt;"",$BP34/'Elements and ions'!$B$10,"")</f>
        <v>1.4932833934169795E-2</v>
      </c>
      <c r="CO34" s="104">
        <f>IF($BQ34&lt;&gt;"",$BQ34/'Elements and ions'!$G$18,"")</f>
        <v>0</v>
      </c>
      <c r="CP34" s="242"/>
      <c r="CQ34" s="238">
        <f t="shared" si="557"/>
        <v>4.7281466236619835E-4</v>
      </c>
      <c r="CR34" s="239">
        <f t="shared" si="558"/>
        <v>2.8423230677548639E-5</v>
      </c>
      <c r="CS34" s="239">
        <f t="shared" si="559"/>
        <v>1.2187484405409451E-3</v>
      </c>
      <c r="CT34" s="241">
        <f t="shared" si="560"/>
        <v>1.3446533635054516E-3</v>
      </c>
      <c r="CU34" s="238">
        <f t="shared" si="561"/>
        <v>4.9281869011052835E-3</v>
      </c>
      <c r="CV34" s="239">
        <f t="shared" si="562"/>
        <v>4.3193241756691952E-4</v>
      </c>
      <c r="CW34" s="239">
        <f t="shared" si="563"/>
        <v>2.0179050365374351E-5</v>
      </c>
      <c r="CX34" s="241">
        <f t="shared" si="564"/>
        <v>1.7411666975493062E-4</v>
      </c>
      <c r="CY34" s="258">
        <f t="shared" si="98"/>
        <v>4.7863009232263728E-9</v>
      </c>
      <c r="CZ34" s="259" t="str">
        <f t="shared" si="565"/>
        <v/>
      </c>
      <c r="DA34" s="260" t="str">
        <f t="shared" si="566"/>
        <v/>
      </c>
      <c r="DB34" s="261" t="str">
        <f t="shared" si="567"/>
        <v/>
      </c>
      <c r="DC34" s="262">
        <f t="shared" si="568"/>
        <v>0</v>
      </c>
      <c r="DD34" s="263" t="str">
        <f t="shared" si="569"/>
        <v/>
      </c>
      <c r="DE34" s="259" t="str">
        <f t="shared" si="570"/>
        <v/>
      </c>
      <c r="DF34" s="260">
        <f t="shared" si="571"/>
        <v>4.7063819530834918E-5</v>
      </c>
      <c r="DG34" s="260" t="str">
        <f t="shared" si="572"/>
        <v/>
      </c>
      <c r="DH34" s="264" t="str">
        <f t="shared" si="573"/>
        <v/>
      </c>
      <c r="DI34" s="258">
        <f t="shared" si="108"/>
        <v>2.0892961308540377E-6</v>
      </c>
      <c r="DJ34" s="260" t="str">
        <f t="shared" si="574"/>
        <v/>
      </c>
      <c r="DK34" s="260">
        <f t="shared" si="575"/>
        <v>5.1604451942778255E-5</v>
      </c>
      <c r="DL34" s="260">
        <f t="shared" si="576"/>
        <v>1.4932833934169795E-5</v>
      </c>
      <c r="DM34" s="265">
        <f t="shared" si="577"/>
        <v>0</v>
      </c>
      <c r="DN34" s="242"/>
      <c r="DO34" s="238">
        <f t="shared" si="578"/>
        <v>0.47281466236619835</v>
      </c>
      <c r="DP34" s="239">
        <f t="shared" si="579"/>
        <v>2.8423230677548639E-2</v>
      </c>
      <c r="DQ34" s="239">
        <f t="shared" si="580"/>
        <v>2.43749688108189</v>
      </c>
      <c r="DR34" s="241">
        <f t="shared" si="581"/>
        <v>2.6893067270109032</v>
      </c>
      <c r="DS34" s="238">
        <f t="shared" si="582"/>
        <v>-4.9281869011052839</v>
      </c>
      <c r="DT34" s="239">
        <f t="shared" si="583"/>
        <v>-0.43193241756691952</v>
      </c>
      <c r="DU34" s="239">
        <f t="shared" si="584"/>
        <v>-2.0179050365374353E-2</v>
      </c>
      <c r="DV34" s="241">
        <f t="shared" si="585"/>
        <v>-0.34823333950986124</v>
      </c>
      <c r="DW34" s="91">
        <f t="shared" si="113"/>
        <v>4.7863009232263724E-6</v>
      </c>
      <c r="DX34" s="89">
        <f t="shared" si="586"/>
        <v>0</v>
      </c>
      <c r="DY34" s="89">
        <f t="shared" si="587"/>
        <v>0</v>
      </c>
      <c r="DZ34" s="89">
        <f t="shared" si="588"/>
        <v>0</v>
      </c>
      <c r="EA34" s="90">
        <f t="shared" si="589"/>
        <v>0</v>
      </c>
      <c r="EB34" s="91">
        <f t="shared" si="118"/>
        <v>-2.0892961308540377E-3</v>
      </c>
      <c r="EC34" s="89">
        <f t="shared" si="590"/>
        <v>0</v>
      </c>
      <c r="ED34" s="89">
        <f t="shared" si="591"/>
        <v>-0.10320890388555651</v>
      </c>
      <c r="EE34" s="89">
        <f t="shared" si="592"/>
        <v>-1.4932833934169795E-2</v>
      </c>
      <c r="EF34" s="90">
        <f t="shared" si="593"/>
        <v>0</v>
      </c>
      <c r="EG34" s="242"/>
      <c r="EH34" s="245">
        <f t="shared" si="594"/>
        <v>5.6280462874374635</v>
      </c>
      <c r="EI34" s="246">
        <f t="shared" si="595"/>
        <v>-5.8487627424980193</v>
      </c>
      <c r="EJ34" s="198">
        <f t="shared" si="596"/>
        <v>-1.9231517618255305</v>
      </c>
      <c r="EK34" s="198">
        <f t="shared" si="597"/>
        <v>1.389830844321306E-2</v>
      </c>
      <c r="EL34" s="101">
        <f>IF(AND(CS34&lt;&gt;"",DK34&lt;&gt;""),LOG(CS34*DK34/Minerals!$C$6),"")</f>
        <v>1.2787732492795232</v>
      </c>
      <c r="EM34" s="94">
        <f>IF(AND(CS34&lt;&gt;"",DK34&lt;&gt;""),LOG(CS34*DK34/Minerals!$C$5),"")</f>
        <v>1.1482937199233054</v>
      </c>
      <c r="EN34" s="94">
        <f>IF(AND(CS34&lt;&gt;"",DL34&lt;&gt;""),LOG(CS34*DL34^2/Minerals!$C$2),"")</f>
        <v>-1.9958765117510757</v>
      </c>
      <c r="EO34" s="94">
        <f>IF(AND(CS34&lt;&gt;"",CX34&lt;&gt;""),LOG($CS34*$CX34/Minerals!$C$3),"")</f>
        <v>-2.0732652100381546</v>
      </c>
      <c r="EP34" s="95">
        <f>IF(AND(CS34&lt;&gt;"",CX34&lt;&gt;""),LOG($CS34*$CX34/Minerals!$C$4),"")</f>
        <v>-2.3132497215040568</v>
      </c>
      <c r="EQ34" s="199"/>
      <c r="ER34" s="101">
        <f t="shared" si="315"/>
        <v>0.88566761236807712</v>
      </c>
      <c r="ES34" s="94">
        <f t="shared" si="315"/>
        <v>0.88566761236807712</v>
      </c>
      <c r="ET34" s="94">
        <f t="shared" si="316"/>
        <v>0.61529452927567108</v>
      </c>
      <c r="EU34" s="94">
        <f t="shared" si="316"/>
        <v>0.61529452927567108</v>
      </c>
      <c r="EV34" s="95">
        <f t="shared" si="316"/>
        <v>0.61529452927567108</v>
      </c>
      <c r="EW34" s="101">
        <f t="shared" si="317"/>
        <v>0.88566761236807712</v>
      </c>
      <c r="EX34" s="94">
        <f t="shared" si="31"/>
        <v>0.61529452927567108</v>
      </c>
      <c r="EY34" s="94">
        <f t="shared" si="317"/>
        <v>0.88566761236807712</v>
      </c>
      <c r="EZ34" s="94">
        <f t="shared" si="317"/>
        <v>0.88566761236807712</v>
      </c>
      <c r="FA34" s="94">
        <f t="shared" si="165"/>
        <v>0.88566761236807712</v>
      </c>
      <c r="FB34" s="95">
        <f t="shared" si="32"/>
        <v>0.61529452927567108</v>
      </c>
      <c r="FC34" s="199"/>
      <c r="FD34" s="101">
        <f t="shared" si="598"/>
        <v>4.1875663311048944E-4</v>
      </c>
      <c r="FE34" s="94">
        <f t="shared" si="599"/>
        <v>2.5173534849971584E-5</v>
      </c>
      <c r="FF34" s="94">
        <f t="shared" si="600"/>
        <v>7.4988924802809904E-4</v>
      </c>
      <c r="FG34" s="94">
        <f t="shared" si="601"/>
        <v>8.2735785833703461E-4</v>
      </c>
      <c r="FH34" s="95" t="str">
        <f t="shared" si="602"/>
        <v/>
      </c>
      <c r="FI34" s="101">
        <f t="shared" si="603"/>
        <v>4.3647355260055497E-3</v>
      </c>
      <c r="FJ34" s="94">
        <f t="shared" si="604"/>
        <v>3.1751936966660734E-5</v>
      </c>
      <c r="FK34" s="94">
        <f t="shared" si="605"/>
        <v>3.8254855297086492E-4</v>
      </c>
      <c r="FL34" s="94">
        <f t="shared" si="606"/>
        <v>1.7871931356956275E-5</v>
      </c>
      <c r="FM34" s="94">
        <f t="shared" si="607"/>
        <v>1.3225527376365163E-5</v>
      </c>
      <c r="FN34" s="95">
        <f t="shared" si="608"/>
        <v>1.0713303435590752E-4</v>
      </c>
      <c r="FO34" s="199"/>
      <c r="FP34" s="101">
        <f>IF(EL34&lt;&gt;"",LOG(FF34*FJ34/Minerals!$C$6),"")</f>
        <v>0.85693935666685839</v>
      </c>
      <c r="FQ34" s="94">
        <f>IF(EL34&lt;&gt;"",LOG(FF34*FJ34/Minerals!$C$5),"")</f>
        <v>0.72645982731064074</v>
      </c>
      <c r="FR34" s="94">
        <f>IF(EN34&lt;&gt;"",LOG(FF34*FM34^2/Minerals!$C$2),"")</f>
        <v>-2.3122519312105743</v>
      </c>
      <c r="FS34" s="94">
        <f>IF(EO34&lt;&gt;"",LOG($FF34*$FN34/Minerals!$C$3),"")</f>
        <v>-2.4950991026508191</v>
      </c>
      <c r="FT34" s="95">
        <f>IF(EP34&lt;&gt;"",LOG($FF34*$FN34/Minerals!$C$4),"")</f>
        <v>-2.7350836141167214</v>
      </c>
      <c r="FU34" s="96"/>
      <c r="FV34" s="101">
        <f>IF(FP34&lt;&gt;"",LOG(FF34*FJ34/(EXP(-1*Minerals!$E$6/'Other Constants'!$B$2*(1/(273.15+'ppm-mgL-1'!$D34)-1/298.15)+LN(Minerals!$C$6)))),"")</f>
        <v>-8.667461186169724E-2</v>
      </c>
      <c r="FW34" s="94">
        <f>IF(FP34&lt;&gt;"",LOG(FF34*FJ34/(EXP(-1*Minerals!$E$5/'Other Constants'!$B$2*(1/(273.15+'ppm-mgL-1'!$D34)-1/298.15)+LN(Minerals!$C$5)))),"")</f>
        <v>-0.21723944675394058</v>
      </c>
      <c r="FX34" s="94">
        <f>IF(FR34&lt;&gt;"",LOG(FF34*FM34^2/(EXP(-1*Minerals!$E$2/'Other Constants'!$B$2*(1/(273.15+'ppm-mgL-1'!$D34)-1/298.15)+LN(Minerals!$C$2)))),"")</f>
        <v>-2.272357375529638</v>
      </c>
      <c r="FY34" s="94">
        <f>IF(FS34&lt;&gt;"",LOG($FF34*$FN34/(EXP(-1*Minerals!$E$3/'Other Constants'!$B$2*(1/(273.15+'ppm-mgL-1'!$D34)-1/298.15)+LN(Minerals!$C$3)))),"")</f>
        <v>-1.6816710074041048</v>
      </c>
      <c r="FZ34" s="95">
        <f>IF(FT34&lt;&gt;"",LOG($FF34*$FN34/(EXP(-1*Minerals!$E$4/'Other Constants'!$B$2*(1/(273.15+'ppm-mgL-1'!$D34)-1/298.15)+LN(Minerals!$C$4)))),"")</f>
        <v>-2.7583862430408317</v>
      </c>
      <c r="GA34" s="96"/>
      <c r="GB34" s="96"/>
      <c r="GC34" s="101">
        <f>10^(-1825000*(79.755*EXP(-0.0046*($D34-20))*($D34+273.15))^-1.5*$EK34^0.5/(1+'Elements and ions'!$D$12*$EK34^0.5/(2*(79.755*EXP(-0.0046*($D34-20))*($D34+273.15))^0.5)))</f>
        <v>0.88638668054148029</v>
      </c>
      <c r="GD34" s="94">
        <f>10^(-1825000*(79.755*EXP(-0.0046*($D34-20))*($D34+273.15))^-1.5*$EK34^0.5/(1+'Elements and ions'!$D$20*$EK34^0.5/(2*(79.755*EXP(-0.0046*($D34-20))*($D34+273.15))^0.5)))</f>
        <v>0.88269537670483789</v>
      </c>
      <c r="GE34" s="94">
        <f>10^(-1825000*(79.755*EXP(-0.0046*($D34-20))*($D34+273.15))^-1.5*4*$EK34^0.5/(1+'Elements and ions'!$D$21*$EK34^0.5/(2*(79.755*EXP(-0.0046*($D34-20))*($D34+273.15))^0.5)))</f>
        <v>0.63625072064413379</v>
      </c>
      <c r="GF34" s="94">
        <f>10^(-1825000*(79.755*EXP(-0.0046*($D34-20))*($D34+273.15))^-1.5*4*$EK34^0.5/(1+'Elements and ions'!$D$13*$EK34^0.5/(2*(79.755*EXP(-0.0046*($D34-20))*($D34+273.15))^0.5)))</f>
        <v>0.65345211989982399</v>
      </c>
      <c r="GG34" s="95">
        <f>10^(-1825000*(79.755*EXP(-0.0046*($D34-20))*($D34+273.15))^-1.5*4*$EK34^0.5/(1+'Elements and ions'!$D$27*$EK34^0.5/(2*(79.755*EXP(-0.0046*($D34-20))*($D34+273.15))^0.5)))</f>
        <v>0.63625072064413379</v>
      </c>
      <c r="GH34" s="101">
        <f>10^(-1825000*(79.755*EXP(-0.0046*($D34-20))*($D34+273.15))^-1.5*$EK34^0.5/(1+'Elements and ions'!$G$3*$EK34^0.5/(2*(79.755*EXP(-0.0046*($D34-20))*($D34+273.15))^0.5)))</f>
        <v>0.87282213535852171</v>
      </c>
      <c r="GI34" s="94">
        <f>10^(-1825000*(79.755*EXP(-0.0046*($D34-20))*($D34+273.15))^-1.5*4*$EK34^0.5/(1+'Elements and ions'!$G$4*$EK34^0.5/(2*(79.755*EXP(-0.0046*($D34-20))*($D34+273.15))^0.5)))</f>
        <v>0.58024730122930723</v>
      </c>
      <c r="GJ34" s="94">
        <f>10^(-1825000*(79.755*EXP(-0.0046*($D34-20))*($D34+273.15))^-1.5*$EK34^0.5/(1+'Elements and ions'!$D$18*$EK34^0.5/(2*(79.755*EXP(-0.0046*($D34-20))*($D34+273.15))^0.5)))</f>
        <v>0.88269537670483789</v>
      </c>
      <c r="GK34" s="94">
        <f>10^(-1825000*(79.755*EXP(-0.0046*($D34-20))*($D34+273.15))^-1.5*$EK34^0.5/(1+'Elements and ions'!$I$7*$EK34^0.5/(2*(79.755*EXP(-0.0046*($D34-20))*($D34+273.15))^0.5)))</f>
        <v>0.88269537670483789</v>
      </c>
      <c r="GL34" s="94">
        <f>10^(-1825000*(79.755*EXP(-0.0046*($D34-20))*($D34+273.15))^-1.5*$EK34^0.5/(1+'Elements and ions'!$D$10*$EK34^0.5/(2*(79.755*EXP(-0.0046*($D34-20))*($D34+273.15))^0.5)))</f>
        <v>0.88457049267037147</v>
      </c>
      <c r="GM34" s="95">
        <f>10^(-1825000*(79.755*EXP(-0.0046*($D34-20))*($D34+273.15))^-1.5*4*$EK34^0.5/(1+'Elements and ions'!$I$5*$EK34^0.5/(2*(79.755*EXP(-0.0046*($D34-20))*($D34+273.15))^0.5)))</f>
        <v>0.61729517971724646</v>
      </c>
      <c r="GN34" s="96"/>
      <c r="GO34" s="101">
        <f t="shared" si="609"/>
        <v>4.1909661908611531E-4</v>
      </c>
      <c r="GP34" s="94">
        <f t="shared" si="610"/>
        <v>2.5089054310087301E-5</v>
      </c>
      <c r="GQ34" s="94">
        <f t="shared" si="611"/>
        <v>7.7542957357809052E-4</v>
      </c>
      <c r="GR34" s="94">
        <f t="shared" si="612"/>
        <v>8.7866659091306594E-4</v>
      </c>
      <c r="GS34" s="95" t="str">
        <f t="shared" si="613"/>
        <v/>
      </c>
      <c r="GT34" s="101">
        <f t="shared" si="614"/>
        <v>4.301430614468609E-3</v>
      </c>
      <c r="GU34" s="94">
        <f t="shared" si="615"/>
        <v>2.9943343971214563E-5</v>
      </c>
      <c r="GV34" s="94">
        <f t="shared" si="616"/>
        <v>3.8126474803526337E-4</v>
      </c>
      <c r="GW34" s="94">
        <f t="shared" si="617"/>
        <v>1.781195446381001E-5</v>
      </c>
      <c r="GX34" s="94">
        <f t="shared" si="618"/>
        <v>1.3209144270113417E-5</v>
      </c>
      <c r="GY34" s="102">
        <f t="shared" si="619"/>
        <v>1.0748138094813835E-4</v>
      </c>
      <c r="GZ34" s="199"/>
      <c r="HA34" s="92">
        <f>IF(AND(GQ34&lt;&gt;"",GU34&lt;&gt;""),LOG(GQ34*GU34/Minerals!$C$6),"")</f>
        <v>0.84601466572339024</v>
      </c>
      <c r="HB34" s="94">
        <f>IF(AND(GQ34&lt;&gt;"",GU34&lt;&gt;""),LOG(GQ34*GU34/Minerals!$C$5),"")</f>
        <v>0.71553513636717248</v>
      </c>
      <c r="HC34" s="94">
        <f>IF(AND(GQ34&lt;&gt;"",GX34&lt;&gt;""),LOG(GQ34*GX34^2/Minerals!$C$2),"")</f>
        <v>-2.2987833281764116</v>
      </c>
      <c r="HD34" s="94">
        <f>IF(AND(GQ34&lt;&gt;"",GY34&lt;&gt;""),LOG($GQ34*$GY34/Minerals!$C$3),"")</f>
        <v>-2.4791440370949198</v>
      </c>
      <c r="HE34" s="102">
        <f>IF(AND(GQ34&lt;&gt;"",GY34&lt;&gt;""),LOG($GQ34*$GY34/Minerals!$C$3),"")</f>
        <v>-2.4791440370949198</v>
      </c>
      <c r="HF34" s="199"/>
      <c r="HG34" s="92">
        <f>IF(HA34&lt;&gt;"",LOG(GQ34*GU34/(EXP(-1*Minerals!$E$6/'Other Constants'!$B$2*(1/(273.15+'ppm-mgL-1'!$D34)-1/298.15)+LN(Minerals!$C$6)))),"")</f>
        <v>-9.7599302805165392E-2</v>
      </c>
      <c r="HH34" s="94">
        <f>IF(HA34&lt;&gt;"",LOG(GQ34*GU34/(EXP(-1*Minerals!$E$5/'Other Constants'!$B$2*(1/(273.15+'ppm-mgL-1'!$D34)-1/298.15)+LN(Minerals!$C$5)))),"")</f>
        <v>-0.22816413769740879</v>
      </c>
      <c r="HI34" s="94">
        <f>IF(HC34&lt;&gt;"",LOG(GQ34*GX34^2/(EXP(-1*Minerals!$E$2/'Other Constants'!$B$2*(1/(273.15+'ppm-mgL-1'!$D34)-1/298.15)+LN(Minerals!$C$2)))),"")</f>
        <v>-2.2588887724954754</v>
      </c>
      <c r="HJ34" s="94">
        <f>IF(HD34&lt;&gt;"",LOG($FF34*$FN34/(EXP(-1*Minerals!$E$3/'Other Constants'!$B$2*(1/(273.15+'ppm-mgL-1'!$D34)-1/298.15)+LN(Minerals!$C$3)))),"")</f>
        <v>-1.6816710074041048</v>
      </c>
      <c r="HK34" s="95">
        <f>IF(HE34&lt;&gt;"",LOG($FF34*$FN34/(EXP(-1*Minerals!$E$4/'Other Constants'!$B$2*(1/(273.15+'ppm-mgL-1'!$D34)-1/298.15)+LN(Minerals!$C$4)))),"")</f>
        <v>-2.7583862430408317</v>
      </c>
      <c r="HL34" s="199"/>
      <c r="HM34" s="199"/>
    </row>
    <row r="35" spans="1:221" x14ac:dyDescent="0.25">
      <c r="A35" s="267" t="str">
        <f>'WC samples'!B6</f>
        <v>WC 6</v>
      </c>
      <c r="C35" s="266">
        <f>'WC samples'!A6</f>
        <v>41471</v>
      </c>
      <c r="D35" s="4">
        <f>'WC samples'!I6</f>
        <v>23.8</v>
      </c>
      <c r="E35" s="4">
        <f>'WC samples'!F6</f>
        <v>8.26</v>
      </c>
      <c r="AD35" s="83">
        <f>IF(E35&lt;&gt;"",10^(-2*$E35)/(10^(-2*$E35)+10^(-$E35-pKa!$B$2)+(10^(-pKa!$B$2-pKa!$C$2))),"")</f>
        <v>1.074889165118019E-2</v>
      </c>
      <c r="AE35" s="84">
        <f>IF(E35&lt;&gt;"",10^(-$E35-pKa!$B$2)/(10^(-2*$E35)+10^(-$E35-pKa!$B$2)+10^(-pKa!$B$2-pKa!$C$2)),"")</f>
        <v>0.98031056969386021</v>
      </c>
      <c r="AF35" s="212">
        <f>IF(E35&lt;&gt;"",10^(-pKa!$B$2-pKa!$C$2)/(10^(-2*$E35)+10^(-$E35-pKa!$B$2)+10^(-pKa!$B$2-pKa!$C$2)),"")</f>
        <v>8.940538654959659E-3</v>
      </c>
      <c r="AG35" s="152"/>
      <c r="AH35" s="222">
        <f>IF($AK35&lt;&gt;"",$AK35/'Elements and ions'!$G$3,IF($E35="","",""))</f>
        <v>5.0313978895006697</v>
      </c>
      <c r="AI35" s="85">
        <f t="shared" si="620"/>
        <v>5.0405110986429342E-3</v>
      </c>
      <c r="AJ35" s="84">
        <f>IF(AI35&lt;&gt;"",AI35*1000*'Elements and ions'!$B$7,"")</f>
        <v>60.540066652470692</v>
      </c>
      <c r="AK35" s="99">
        <f>'WC samples'!H6</f>
        <v>307</v>
      </c>
      <c r="AL35" s="88">
        <f>IF($AK35&lt;&gt;"",$AK35/'Elements and ions'!$G$3*Minerals!$B$6/2,IF($E35="","","Enter Alk(HCO3-)"))</f>
        <v>251.78850871333228</v>
      </c>
      <c r="AM35" s="199"/>
      <c r="AN35" s="101">
        <f t="shared" si="491"/>
        <v>5.4179907665884122E-5</v>
      </c>
      <c r="AO35" s="94">
        <f t="shared" si="492"/>
        <v>4.9412663066588803E-3</v>
      </c>
      <c r="AP35" s="95">
        <f t="shared" si="493"/>
        <v>4.5064884318170334E-5</v>
      </c>
      <c r="AQ35" s="199"/>
      <c r="AR35" s="199"/>
      <c r="AS35" s="83">
        <f t="shared" si="66"/>
        <v>0.15935266960554151</v>
      </c>
      <c r="AT35" s="83">
        <f>IF(AN35&lt;&gt;"",AN35/'Henrys law constants'!$B$7*1000000,"")</f>
        <v>1593.5266960554152</v>
      </c>
      <c r="AU35" s="268">
        <f>'WC samples'!K6</f>
        <v>10.859400000000001</v>
      </c>
      <c r="AV35" s="269">
        <f>'WC samples'!M6</f>
        <v>1.1135999999999999</v>
      </c>
      <c r="AW35" s="269">
        <f>'WC samples'!O6</f>
        <v>54.017000000000003</v>
      </c>
      <c r="AX35" s="269">
        <f>'WC samples'!N6</f>
        <v>32.548299999999998</v>
      </c>
      <c r="AY35" s="226">
        <f>AO35*'Elements and ions'!$G$3*1000</f>
        <v>301.50045563079578</v>
      </c>
      <c r="AZ35" s="269">
        <f>'WC samples'!Q6</f>
        <v>15.328099999999999</v>
      </c>
      <c r="BA35" s="269">
        <f>'WC samples'!T6</f>
        <v>1.0818000000000001</v>
      </c>
      <c r="BB35" s="270">
        <f>'WC samples'!V6</f>
        <v>16.803599999999999</v>
      </c>
      <c r="BC35" s="222">
        <f>IF($E35&lt;&gt;"",10^-$E35*'Elements and ions'!B36*1000,"")</f>
        <v>0</v>
      </c>
      <c r="BE35" s="6"/>
      <c r="BF35" s="6"/>
      <c r="BG35" s="270">
        <f>'WC samples'!L6</f>
        <v>0</v>
      </c>
      <c r="BH35" s="3"/>
      <c r="BJ35" s="92">
        <f>IF($AN35&lt;&gt;"",$AN35*'Elements and ions'!$G$2*1000,"")</f>
        <v>3.3604968533967758</v>
      </c>
      <c r="BK35" s="229"/>
      <c r="BL35" s="230"/>
      <c r="BM35" s="101">
        <f>IF($E35&lt;&gt;"",(10^-14+$E35)*'Elements and ions'!$G$8,"")</f>
        <v>140.48062840000017</v>
      </c>
      <c r="BO35" s="102">
        <f>IF($AP35&lt;&gt;"",$AP35*'Elements and ions'!$G$4*1000,"")</f>
        <v>2.7042941365606517</v>
      </c>
      <c r="BP35" s="269">
        <f>'WC samples'!P6</f>
        <v>0.29239999999999999</v>
      </c>
      <c r="BQ35" s="270">
        <f>'WC samples'!R6</f>
        <v>0</v>
      </c>
      <c r="BR35" s="195"/>
      <c r="BS35" s="238">
        <f>IF($AU35&lt;&gt;"",$AU35/'Elements and ions'!$B$12,"")</f>
        <v>0.47235793746947946</v>
      </c>
      <c r="BT35" s="239">
        <f>IF($AV35&lt;&gt;"",$AV35/'Elements and ions'!$B$20,"")</f>
        <v>2.8482056764616362E-2</v>
      </c>
      <c r="BU35" s="239">
        <f>IF($AW35&lt;&gt;"",$AW35/'Elements and ions'!$B$21, "")</f>
        <v>1.3477967962473176</v>
      </c>
      <c r="BV35" s="240">
        <f>IF($AX35&lt;&gt;"",$AX35/'Elements and ions'!$B$13, "")</f>
        <v>1.3391606665295206</v>
      </c>
      <c r="BW35" s="238">
        <f>IF($AY35&lt;&gt;"",$AY35/'Elements and ions'!$G$3,"")</f>
        <v>4.9412663066588802</v>
      </c>
      <c r="BX35" s="239">
        <f>IF($AZ35&lt;&gt;"",$AZ35/'Elements and ions'!$B$18,"")</f>
        <v>0.43234987166107236</v>
      </c>
      <c r="BY35" s="239">
        <f>IF($BA35&lt;&gt;"",$BA35/'Elements and ions'!$G$7,"")</f>
        <v>1.7447008220318073E-2</v>
      </c>
      <c r="BZ35" s="241">
        <f>IF($BB35&lt;&gt;"",$BB35/'Elements and ions'!$G$5,"")</f>
        <v>0.17492343534320329</v>
      </c>
      <c r="CA35" s="91">
        <f t="shared" si="67"/>
        <v>5.4954087385762298E-6</v>
      </c>
      <c r="CB35" s="163" t="str">
        <f>IF($BD35&lt;&gt;"",$BD35/'Elements and ions'!$B$14,"")</f>
        <v/>
      </c>
      <c r="CC35" s="89" t="str">
        <f>IF($BE35&lt;&gt;"",$BE35/'Elements and ions'!$B$27, "")</f>
        <v/>
      </c>
      <c r="CD35" s="249" t="str">
        <f>IF($BF35&lt;&gt;"",$BF35/'Elements and ions'!$B$26,"")</f>
        <v/>
      </c>
      <c r="CE35" s="250">
        <f>IF($BG35&lt;&gt;"",$BG35/'Elements and ions'!$G$6,"")</f>
        <v>0</v>
      </c>
      <c r="CF35" s="91" t="str">
        <f>IF($BH35&lt;&gt;"",$BH35/'Elements and ions'!$G$15,"")</f>
        <v/>
      </c>
      <c r="CG35" s="89" t="str">
        <f>IF($BI35&lt;&gt;"",$BI35/'Elements and ions'!$G$16,"")</f>
        <v/>
      </c>
      <c r="CH35" s="90">
        <f>IF($BJ35&lt;&gt;"",$BJ35/'Elements and ions'!$G$2,"")</f>
        <v>5.4179907665884125E-2</v>
      </c>
      <c r="CI35" s="91" t="str">
        <f>IF($BK35&lt;&gt;"",$BK35/'Elements and ions'!$B$15, "")</f>
        <v/>
      </c>
      <c r="CJ35" s="88" t="str">
        <f>IF($BL35&lt;&gt;"", $BL35/'Elements and ions'!$G$17,"")</f>
        <v/>
      </c>
      <c r="CK35" s="89">
        <f t="shared" si="68"/>
        <v>1.8197008586099798E-3</v>
      </c>
      <c r="CL35" s="163" t="str">
        <f>IF($BN35&lt;&gt;"", $BN35/'Elements and ions'!$G$19,"")</f>
        <v/>
      </c>
      <c r="CM35" s="89">
        <f>IF($BO35&lt;&gt;"",$BO35/'Elements and ions'!$G$4,"")</f>
        <v>4.5064884318170337E-2</v>
      </c>
      <c r="CN35" s="89">
        <f>IF($BP35&lt;&gt;"",$BP35/'Elements and ions'!$B$10,"")</f>
        <v>1.539076715668399E-2</v>
      </c>
      <c r="CO35" s="104">
        <f>IF($BQ35&lt;&gt;"",$BQ35/'Elements and ions'!$G$18,"")</f>
        <v>0</v>
      </c>
      <c r="CP35" s="242"/>
      <c r="CQ35" s="238">
        <f t="shared" si="557"/>
        <v>4.7235793746947945E-4</v>
      </c>
      <c r="CR35" s="239">
        <f t="shared" si="558"/>
        <v>2.8482056764616363E-5</v>
      </c>
      <c r="CS35" s="239">
        <f t="shared" si="559"/>
        <v>1.3477967962473177E-3</v>
      </c>
      <c r="CT35" s="241">
        <f t="shared" si="560"/>
        <v>1.3391606665295206E-3</v>
      </c>
      <c r="CU35" s="238">
        <f t="shared" si="561"/>
        <v>4.9412663066588803E-3</v>
      </c>
      <c r="CV35" s="239">
        <f t="shared" si="562"/>
        <v>4.3234987166107237E-4</v>
      </c>
      <c r="CW35" s="239">
        <f t="shared" si="563"/>
        <v>1.7447008220318073E-5</v>
      </c>
      <c r="CX35" s="241">
        <f t="shared" si="564"/>
        <v>1.7492343534320328E-4</v>
      </c>
      <c r="CY35" s="258">
        <f t="shared" si="98"/>
        <v>5.4954087385762298E-9</v>
      </c>
      <c r="CZ35" s="259" t="str">
        <f t="shared" si="565"/>
        <v/>
      </c>
      <c r="DA35" s="260" t="str">
        <f t="shared" si="566"/>
        <v/>
      </c>
      <c r="DB35" s="261" t="str">
        <f t="shared" si="567"/>
        <v/>
      </c>
      <c r="DC35" s="262">
        <f t="shared" si="568"/>
        <v>0</v>
      </c>
      <c r="DD35" s="263" t="str">
        <f t="shared" si="569"/>
        <v/>
      </c>
      <c r="DE35" s="259" t="str">
        <f t="shared" si="570"/>
        <v/>
      </c>
      <c r="DF35" s="260">
        <f t="shared" si="571"/>
        <v>5.4179907665884128E-5</v>
      </c>
      <c r="DG35" s="260" t="str">
        <f t="shared" si="572"/>
        <v/>
      </c>
      <c r="DH35" s="264" t="str">
        <f t="shared" si="573"/>
        <v/>
      </c>
      <c r="DI35" s="258">
        <f t="shared" si="108"/>
        <v>1.8197008586099798E-6</v>
      </c>
      <c r="DJ35" s="260" t="str">
        <f t="shared" si="574"/>
        <v/>
      </c>
      <c r="DK35" s="260">
        <f t="shared" si="575"/>
        <v>4.5064884318170334E-5</v>
      </c>
      <c r="DL35" s="260">
        <f t="shared" si="576"/>
        <v>1.539076715668399E-5</v>
      </c>
      <c r="DM35" s="265">
        <f t="shared" si="577"/>
        <v>0</v>
      </c>
      <c r="DN35" s="242"/>
      <c r="DO35" s="238">
        <f t="shared" si="578"/>
        <v>0.47235793746947946</v>
      </c>
      <c r="DP35" s="239">
        <f t="shared" si="579"/>
        <v>2.8482056764616362E-2</v>
      </c>
      <c r="DQ35" s="239">
        <f t="shared" si="580"/>
        <v>2.6955935924946353</v>
      </c>
      <c r="DR35" s="241">
        <f t="shared" si="581"/>
        <v>2.6783213330590412</v>
      </c>
      <c r="DS35" s="238">
        <f t="shared" si="582"/>
        <v>-4.9412663066588802</v>
      </c>
      <c r="DT35" s="239">
        <f t="shared" si="583"/>
        <v>-0.43234987166107236</v>
      </c>
      <c r="DU35" s="239">
        <f t="shared" si="584"/>
        <v>-1.7447008220318073E-2</v>
      </c>
      <c r="DV35" s="241">
        <f t="shared" si="585"/>
        <v>-0.34984687068640657</v>
      </c>
      <c r="DW35" s="91">
        <f t="shared" si="113"/>
        <v>5.4954087385762298E-6</v>
      </c>
      <c r="DX35" s="89">
        <f t="shared" si="586"/>
        <v>0</v>
      </c>
      <c r="DY35" s="89">
        <f t="shared" si="587"/>
        <v>0</v>
      </c>
      <c r="DZ35" s="89">
        <f t="shared" si="588"/>
        <v>0</v>
      </c>
      <c r="EA35" s="90">
        <f t="shared" si="589"/>
        <v>0</v>
      </c>
      <c r="EB35" s="91">
        <f t="shared" si="118"/>
        <v>-1.8197008586099798E-3</v>
      </c>
      <c r="EC35" s="89">
        <f t="shared" si="590"/>
        <v>0</v>
      </c>
      <c r="ED35" s="89">
        <f t="shared" si="591"/>
        <v>-9.0129768636340674E-2</v>
      </c>
      <c r="EE35" s="89">
        <f t="shared" si="592"/>
        <v>-1.539076715668399E-2</v>
      </c>
      <c r="EF35" s="90">
        <f t="shared" si="593"/>
        <v>0</v>
      </c>
      <c r="EG35" s="242"/>
      <c r="EH35" s="245">
        <f t="shared" si="594"/>
        <v>5.8747604151965112</v>
      </c>
      <c r="EI35" s="246">
        <f t="shared" si="595"/>
        <v>-5.8482502938783121</v>
      </c>
      <c r="EJ35" s="198">
        <f t="shared" si="596"/>
        <v>0.22613748273451204</v>
      </c>
      <c r="EK35" s="198">
        <f t="shared" si="597"/>
        <v>1.4401170566445692E-2</v>
      </c>
      <c r="EL35" s="101">
        <f>IF(AND(CS35&lt;&gt;"",DK35&lt;&gt;""),LOG(CS35*DK35/Minerals!$C$6),"")</f>
        <v>1.2636346864977919</v>
      </c>
      <c r="EM35" s="94">
        <f>IF(AND(CS35&lt;&gt;"",DK35&lt;&gt;""),LOG(CS35*DK35/Minerals!$C$5),"")</f>
        <v>1.1331551571415743</v>
      </c>
      <c r="EN35" s="94">
        <f>IF(AND(CS35&lt;&gt;"",DL35&lt;&gt;""),LOG(CS35*DL35^2/Minerals!$C$2),"")</f>
        <v>-1.9259301000670628</v>
      </c>
      <c r="EO35" s="94">
        <f>IF(AND(CS35&lt;&gt;"",CX35&lt;&gt;""),LOG($CS35*$CX35/Minerals!$C$3),"")</f>
        <v>-2.0275472174388551</v>
      </c>
      <c r="EP35" s="95">
        <f>IF(AND(CS35&lt;&gt;"",CX35&lt;&gt;""),LOG($CS35*$CX35/Minerals!$C$4),"")</f>
        <v>-2.2675317289047574</v>
      </c>
      <c r="EQ35" s="199"/>
      <c r="ER35" s="101">
        <f t="shared" si="315"/>
        <v>0.88394781650828602</v>
      </c>
      <c r="ES35" s="94">
        <f t="shared" si="315"/>
        <v>0.88394781650828602</v>
      </c>
      <c r="ET35" s="94">
        <f t="shared" si="316"/>
        <v>0.61052929779632326</v>
      </c>
      <c r="EU35" s="94">
        <f t="shared" si="316"/>
        <v>0.61052929779632326</v>
      </c>
      <c r="EV35" s="95">
        <f t="shared" si="316"/>
        <v>0.61052929779632326</v>
      </c>
      <c r="EW35" s="101">
        <f t="shared" si="317"/>
        <v>0.88394781650828602</v>
      </c>
      <c r="EX35" s="94">
        <f t="shared" si="31"/>
        <v>0.61052929779632326</v>
      </c>
      <c r="EY35" s="94">
        <f t="shared" si="317"/>
        <v>0.88394781650828602</v>
      </c>
      <c r="EZ35" s="94">
        <f t="shared" si="317"/>
        <v>0.88394781650828602</v>
      </c>
      <c r="FA35" s="94">
        <f t="shared" si="165"/>
        <v>0.88394781650828602</v>
      </c>
      <c r="FB35" s="95">
        <f t="shared" si="32"/>
        <v>0.61052929779632326</v>
      </c>
      <c r="FC35" s="199"/>
      <c r="FD35" s="101">
        <f t="shared" si="598"/>
        <v>4.1753976743650386E-4</v>
      </c>
      <c r="FE35" s="94">
        <f t="shared" si="599"/>
        <v>2.5176651886747691E-5</v>
      </c>
      <c r="FF35" s="94">
        <f t="shared" si="600"/>
        <v>8.228694315850091E-4</v>
      </c>
      <c r="FG35" s="94">
        <f t="shared" si="601"/>
        <v>8.1759682137272447E-4</v>
      </c>
      <c r="FH35" s="95" t="str">
        <f t="shared" si="602"/>
        <v/>
      </c>
      <c r="FI35" s="101">
        <f t="shared" si="603"/>
        <v>4.3678215625570799E-3</v>
      </c>
      <c r="FJ35" s="94">
        <f t="shared" si="604"/>
        <v>2.7513432178045073E-5</v>
      </c>
      <c r="FK35" s="94">
        <f t="shared" si="605"/>
        <v>3.8217472502244263E-4</v>
      </c>
      <c r="FL35" s="94">
        <f t="shared" si="606"/>
        <v>1.5422244820952278E-5</v>
      </c>
      <c r="FM35" s="94">
        <f t="shared" si="607"/>
        <v>1.3604635022538255E-5</v>
      </c>
      <c r="FN35" s="95">
        <f t="shared" si="608"/>
        <v>1.0679588214820645E-4</v>
      </c>
      <c r="FO35" s="199"/>
      <c r="FP35" s="101">
        <f>IF(EL35&lt;&gt;"",LOG(FF35*FJ35/Minerals!$C$6),"")</f>
        <v>0.83504770550341634</v>
      </c>
      <c r="FQ35" s="94">
        <f>IF(EL35&lt;&gt;"",LOG(FF35*FJ35/Minerals!$C$5),"")</f>
        <v>0.70456817614719869</v>
      </c>
      <c r="FR35" s="94">
        <f>IF(EN35&lt;&gt;"",LOG(FF35*FM35^2/Minerals!$C$2),"")</f>
        <v>-2.2473703358128443</v>
      </c>
      <c r="FS35" s="94">
        <f>IF(EO35&lt;&gt;"",LOG($FF35*$FN35/Minerals!$C$3),"")</f>
        <v>-2.4561341984332308</v>
      </c>
      <c r="FT35" s="95">
        <f>IF(EP35&lt;&gt;"",LOG($FF35*$FN35/Minerals!$C$4),"")</f>
        <v>-2.696118709899133</v>
      </c>
      <c r="FU35" s="96"/>
      <c r="FV35" s="101">
        <f>IF(FP35&lt;&gt;"",LOG(FF35*FJ35/(EXP(-1*Minerals!$E$6/'Other Constants'!$B$2*(1/(273.15+'ppm-mgL-1'!$D35)-1/298.15)+LN(Minerals!$C$6)))),"")</f>
        <v>0.36514733306306585</v>
      </c>
      <c r="FW35" s="94">
        <f>IF(FP35&lt;&gt;"",LOG(FF35*FJ35/(EXP(-1*Minerals!$E$5/'Other Constants'!$B$2*(1/(273.15+'ppm-mgL-1'!$D35)-1/298.15)+LN(Minerals!$C$5)))),"")</f>
        <v>0.2346253233022699</v>
      </c>
      <c r="FX35" s="94">
        <f>IF(FR35&lt;&gt;"",LOG(FF35*FM35^2/(EXP(-1*Minerals!$E$2/'Other Constants'!$B$2*(1/(273.15+'ppm-mgL-1'!$D35)-1/298.15)+LN(Minerals!$C$2)))),"")</f>
        <v>-2.227503666604834</v>
      </c>
      <c r="FY35" s="94">
        <f>IF(FS35&lt;&gt;"",LOG($FF35*$FN35/(EXP(-1*Minerals!$E$3/'Other Constants'!$B$2*(1/(273.15+'ppm-mgL-1'!$D35)-1/298.15)+LN(Minerals!$C$3)))),"")</f>
        <v>-2.0510637165857495</v>
      </c>
      <c r="FZ35" s="95">
        <f>IF(FT35&lt;&gt;"",LOG($FF35*$FN35/(EXP(-1*Minerals!$E$4/'Other Constants'!$B$2*(1/(273.15+'ppm-mgL-1'!$D35)-1/298.15)+LN(Minerals!$C$4)))),"")</f>
        <v>-2.7077229404165699</v>
      </c>
      <c r="GA35" s="96"/>
      <c r="GB35" s="96"/>
      <c r="GC35" s="101">
        <f>10^(-1825000*(79.755*EXP(-0.0046*($D35-20))*($D35+273.15))^-1.5*$EK35^0.5/(1+'Elements and ions'!$D$12*$EK35^0.5/(2*(79.755*EXP(-0.0046*($D35-20))*($D35+273.15))^0.5)))</f>
        <v>0.88450348021509939</v>
      </c>
      <c r="GD35" s="94">
        <f>10^(-1825000*(79.755*EXP(-0.0046*($D35-20))*($D35+273.15))^-1.5*$EK35^0.5/(1+'Elements and ions'!$D$20*$EK35^0.5/(2*(79.755*EXP(-0.0046*($D35-20))*($D35+273.15))^0.5)))</f>
        <v>0.88069270895200924</v>
      </c>
      <c r="GE35" s="94">
        <f>10^(-1825000*(79.755*EXP(-0.0046*($D35-20))*($D35+273.15))^-1.5*4*$EK35^0.5/(1+'Elements and ions'!$D$21*$EK35^0.5/(2*(79.755*EXP(-0.0046*($D35-20))*($D35+273.15))^0.5)))</f>
        <v>0.63149110862898328</v>
      </c>
      <c r="GF35" s="94">
        <f>10^(-1825000*(79.755*EXP(-0.0046*($D35-20))*($D35+273.15))^-1.5*4*$EK35^0.5/(1+'Elements and ions'!$D$13*$EK35^0.5/(2*(79.755*EXP(-0.0046*($D35-20))*($D35+273.15))^0.5)))</f>
        <v>0.64910127266996953</v>
      </c>
      <c r="GG35" s="95">
        <f>10^(-1825000*(79.755*EXP(-0.0046*($D35-20))*($D35+273.15))^-1.5*4*$EK35^0.5/(1+'Elements and ions'!$D$27*$EK35^0.5/(2*(79.755*EXP(-0.0046*($D35-20))*($D35+273.15))^0.5)))</f>
        <v>0.63149110862898328</v>
      </c>
      <c r="GH35" s="101">
        <f>10^(-1825000*(79.755*EXP(-0.0046*($D35-20))*($D35+273.15))^-1.5*$EK35^0.5/(1+'Elements and ions'!$G$3*$EK35^0.5/(2*(79.755*EXP(-0.0046*($D35-20))*($D35+273.15))^0.5)))</f>
        <v>0.87048169211806703</v>
      </c>
      <c r="GI35" s="94">
        <f>10^(-1825000*(79.755*EXP(-0.0046*($D35-20))*($D35+273.15))^-1.5*4*$EK35^0.5/(1+'Elements and ions'!$G$4*$EK35^0.5/(2*(79.755*EXP(-0.0046*($D35-20))*($D35+273.15))^0.5)))</f>
        <v>0.57404407895892851</v>
      </c>
      <c r="GJ35" s="94">
        <f>10^(-1825000*(79.755*EXP(-0.0046*($D35-20))*($D35+273.15))^-1.5*$EK35^0.5/(1+'Elements and ions'!$D$18*$EK35^0.5/(2*(79.755*EXP(-0.0046*($D35-20))*($D35+273.15))^0.5)))</f>
        <v>0.88069270895200924</v>
      </c>
      <c r="GK35" s="94">
        <f>10^(-1825000*(79.755*EXP(-0.0046*($D35-20))*($D35+273.15))^-1.5*$EK35^0.5/(1+'Elements and ions'!$I$7*$EK35^0.5/(2*(79.755*EXP(-0.0046*($D35-20))*($D35+273.15))^0.5)))</f>
        <v>0.88069270895200924</v>
      </c>
      <c r="GL35" s="94">
        <f>10^(-1825000*(79.755*EXP(-0.0046*($D35-20))*($D35+273.15))^-1.5*$EK35^0.5/(1+'Elements and ions'!$D$10*$EK35^0.5/(2*(79.755*EXP(-0.0046*($D35-20))*($D35+273.15))^0.5)))</f>
        <v>0.8826289754503156</v>
      </c>
      <c r="GM35" s="95">
        <f>10^(-1825000*(79.755*EXP(-0.0046*($D35-20))*($D35+273.15))^-1.5*4*$EK35^0.5/(1+'Elements and ions'!$I$5*$EK35^0.5/(2*(79.755*EXP(-0.0046*($D35-20))*($D35+273.15))^0.5)))</f>
        <v>0.61206589978321413</v>
      </c>
      <c r="GN35" s="96"/>
      <c r="GO35" s="101">
        <f t="shared" si="609"/>
        <v>4.178022395989809E-4</v>
      </c>
      <c r="GP35" s="94">
        <f t="shared" si="610"/>
        <v>2.5083939728554883E-5</v>
      </c>
      <c r="GQ35" s="94">
        <f t="shared" si="611"/>
        <v>8.511216930688105E-4</v>
      </c>
      <c r="GR35" s="94">
        <f t="shared" si="612"/>
        <v>8.6925089295387655E-4</v>
      </c>
      <c r="GS35" s="95" t="str">
        <f t="shared" si="613"/>
        <v/>
      </c>
      <c r="GT35" s="101">
        <f t="shared" si="614"/>
        <v>4.3012818558264138E-3</v>
      </c>
      <c r="GU35" s="94">
        <f t="shared" si="615"/>
        <v>2.5869230011814749E-5</v>
      </c>
      <c r="GV35" s="94">
        <f t="shared" si="616"/>
        <v>3.8076737968824337E-4</v>
      </c>
      <c r="GW35" s="94">
        <f t="shared" si="617"/>
        <v>1.5365452932659897E-5</v>
      </c>
      <c r="GX35" s="94">
        <f t="shared" si="618"/>
        <v>1.3584337046898357E-5</v>
      </c>
      <c r="GY35" s="102">
        <f t="shared" si="619"/>
        <v>1.070646698465086E-4</v>
      </c>
      <c r="GZ35" s="199"/>
      <c r="HA35" s="92">
        <f>IF(AND(GQ35&lt;&gt;"",GU35&lt;&gt;""),LOG(GQ35*GU35/Minerals!$C$6),"")</f>
        <v>0.82294716830711678</v>
      </c>
      <c r="HB35" s="94">
        <f>IF(AND(GQ35&lt;&gt;"",GU35&lt;&gt;""),LOG(GQ35*GU35/Minerals!$C$5),"")</f>
        <v>0.69246763895089902</v>
      </c>
      <c r="HC35" s="94">
        <f>IF(AND(GQ35&lt;&gt;"",GX35&lt;&gt;""),LOG(GQ35*GX35^2/Minerals!$C$2),"")</f>
        <v>-2.2340064987554444</v>
      </c>
      <c r="HD35" s="94">
        <f>IF(AND(GQ35&lt;&gt;"",GY35&lt;&gt;""),LOG($GQ35*$GY35/Minerals!$C$3),"")</f>
        <v>-2.4403817931640153</v>
      </c>
      <c r="HE35" s="102">
        <f>IF(AND(GQ35&lt;&gt;"",GY35&lt;&gt;""),LOG($GQ35*$GY35/Minerals!$C$3),"")</f>
        <v>-2.4403817931640153</v>
      </c>
      <c r="HF35" s="199"/>
      <c r="HG35" s="92">
        <f>IF(HA35&lt;&gt;"",LOG(GQ35*GU35/(EXP(-1*Minerals!$E$6/'Other Constants'!$B$2*(1/(273.15+'ppm-mgL-1'!$D35)-1/298.15)+LN(Minerals!$C$6)))),"")</f>
        <v>0.35304679586676618</v>
      </c>
      <c r="HH35" s="94">
        <f>IF(HA35&lt;&gt;"",LOG(GQ35*GU35/(EXP(-1*Minerals!$E$5/'Other Constants'!$B$2*(1/(273.15+'ppm-mgL-1'!$D35)-1/298.15)+LN(Minerals!$C$5)))),"")</f>
        <v>0.22252478610597032</v>
      </c>
      <c r="HI35" s="94">
        <f>IF(HC35&lt;&gt;"",LOG(GQ35*GX35^2/(EXP(-1*Minerals!$E$2/'Other Constants'!$B$2*(1/(273.15+'ppm-mgL-1'!$D35)-1/298.15)+LN(Minerals!$C$2)))),"")</f>
        <v>-2.2141398295474342</v>
      </c>
      <c r="HJ35" s="94">
        <f>IF(HD35&lt;&gt;"",LOG($FF35*$FN35/(EXP(-1*Minerals!$E$3/'Other Constants'!$B$2*(1/(273.15+'ppm-mgL-1'!$D35)-1/298.15)+LN(Minerals!$C$3)))),"")</f>
        <v>-2.0510637165857495</v>
      </c>
      <c r="HK35" s="95">
        <f>IF(HE35&lt;&gt;"",LOG($FF35*$FN35/(EXP(-1*Minerals!$E$4/'Other Constants'!$B$2*(1/(273.15+'ppm-mgL-1'!$D35)-1/298.15)+LN(Minerals!$C$4)))),"")</f>
        <v>-2.7077229404165699</v>
      </c>
      <c r="HL35" s="199"/>
      <c r="HM35" s="199"/>
    </row>
    <row r="36" spans="1:221" x14ac:dyDescent="0.25">
      <c r="A36" s="267" t="str">
        <f>'WC samples'!B7</f>
        <v>WC 6</v>
      </c>
      <c r="C36" s="266">
        <f>'WC samples'!A7</f>
        <v>41530</v>
      </c>
      <c r="D36" s="4">
        <f>'WC samples'!I7</f>
        <v>22.9</v>
      </c>
      <c r="E36" s="4">
        <f>'WC samples'!F7</f>
        <v>8.27</v>
      </c>
      <c r="AD36" s="83">
        <f>IF(E36&lt;&gt;"",10^(-2*$E36)/(10^(-2*$E36)+10^(-$E36-pKa!$B$2)+(10^(-pKa!$B$2-pKa!$C$2))),"")</f>
        <v>1.0504599611936401E-2</v>
      </c>
      <c r="AE36" s="84">
        <f>IF(E36&lt;&gt;"",10^(-$E36-pKa!$B$2)/(10^(-2*$E36)+10^(-$E36-pKa!$B$2)+10^(-pKa!$B$2-pKa!$C$2)),"")</f>
        <v>0.98034627659900031</v>
      </c>
      <c r="AF36" s="212">
        <f>IF(E36&lt;&gt;"",10^(-pKa!$B$2-pKa!$C$2)/(10^(-2*$E36)+10^(-$E36-pKa!$B$2)+10^(-pKa!$B$2-pKa!$C$2)),"")</f>
        <v>9.1491237890633185E-3</v>
      </c>
      <c r="AG36" s="152"/>
      <c r="AH36" s="222">
        <f>IF($AK36&lt;&gt;"",$AK36/'Elements and ions'!$G$3,IF($E36="","",""))</f>
        <v>4.7691751981911885</v>
      </c>
      <c r="AI36" s="85">
        <f t="shared" si="620"/>
        <v>4.7756466149995874E-3</v>
      </c>
      <c r="AJ36" s="84">
        <f>IF(AI36&lt;&gt;"",AI36*1000*'Elements and ions'!$B$7,"")</f>
        <v>57.358858798775543</v>
      </c>
      <c r="AK36" s="99">
        <f>'WC samples'!H7</f>
        <v>291</v>
      </c>
      <c r="AL36" s="88">
        <f>IF($AK36&lt;&gt;"",$AK36/'Elements and ions'!$G$3*Minerals!$B$6/2,IF($E36="","","Enter Alk(HCO3-)"))</f>
        <v>238.66598057192084</v>
      </c>
      <c r="AM36" s="199"/>
      <c r="AN36" s="101">
        <f t="shared" si="491"/>
        <v>5.0166255578670051E-5</v>
      </c>
      <c r="AO36" s="94">
        <f t="shared" si="492"/>
        <v>4.6817873773674652E-3</v>
      </c>
      <c r="AP36" s="95">
        <f t="shared" si="493"/>
        <v>4.3692982053452435E-5</v>
      </c>
      <c r="AQ36" s="199"/>
      <c r="AR36" s="199"/>
      <c r="AS36" s="83">
        <f t="shared" si="66"/>
        <v>0.14754781052550014</v>
      </c>
      <c r="AT36" s="83">
        <f>IF(AN36&lt;&gt;"",AN36/'Henrys law constants'!$B$7*1000000,"")</f>
        <v>1475.4781052550015</v>
      </c>
      <c r="AU36" s="268">
        <f>'WC samples'!K7</f>
        <v>10.8461</v>
      </c>
      <c r="AV36" s="269">
        <f>'WC samples'!M7</f>
        <v>1.1355</v>
      </c>
      <c r="AW36" s="269">
        <f>'WC samples'!O7</f>
        <v>57.8249</v>
      </c>
      <c r="AX36" s="269">
        <f>'WC samples'!N7</f>
        <v>32.503700000000002</v>
      </c>
      <c r="AY36" s="226">
        <f>AO36*'Elements and ions'!$G$3*1000</f>
        <v>285.66787131885025</v>
      </c>
      <c r="AZ36" s="269">
        <f>'WC samples'!Q7</f>
        <v>15.429399999999999</v>
      </c>
      <c r="BA36" s="269">
        <f>'WC samples'!T7</f>
        <v>1.2028000000000001</v>
      </c>
      <c r="BB36" s="270">
        <f>'WC samples'!V7</f>
        <v>16.823399999999999</v>
      </c>
      <c r="BC36" s="222">
        <f>IF($E36&lt;&gt;"",10^-$E36*'Elements and ions'!B37*1000,"")</f>
        <v>0</v>
      </c>
      <c r="BE36" s="6"/>
      <c r="BF36" s="6"/>
      <c r="BG36" s="270">
        <f>'WC samples'!L7</f>
        <v>0</v>
      </c>
      <c r="BH36" s="3"/>
      <c r="BJ36" s="92">
        <f>IF($AN36&lt;&gt;"",$AN36*'Elements and ions'!$G$2*1000,"")</f>
        <v>3.1115509656907823</v>
      </c>
      <c r="BK36" s="229"/>
      <c r="BL36" s="230"/>
      <c r="BM36" s="101">
        <f>IF($E36&lt;&gt;"",(10^-14+$E36)*'Elements and ions'!$G$8,"")</f>
        <v>140.65070180000018</v>
      </c>
      <c r="BO36" s="102">
        <f>IF($AP36&lt;&gt;"",$AP36*'Elements and ions'!$G$4*1000,"")</f>
        <v>2.6219677907474219</v>
      </c>
      <c r="BP36" s="269">
        <f>'WC samples'!P7</f>
        <v>0.29339999999999999</v>
      </c>
      <c r="BQ36" s="270">
        <f>'WC samples'!R7</f>
        <v>0</v>
      </c>
      <c r="BR36" s="195"/>
      <c r="BS36" s="238">
        <f>IF($AU36&lt;&gt;"",$AU36/'Elements and ions'!$B$12,"")</f>
        <v>0.47177941926696881</v>
      </c>
      <c r="BT36" s="239">
        <f>IF($AV36&lt;&gt;"",$AV36/'Elements and ions'!$B$20,"")</f>
        <v>2.9042183419739475E-2</v>
      </c>
      <c r="BU36" s="239">
        <f>IF($AW36&lt;&gt;"",$AW36/'Elements and ions'!$B$21, "")</f>
        <v>1.4428090224063075</v>
      </c>
      <c r="BV36" s="240">
        <f>IF($AX36&lt;&gt;"",$AX36/'Elements and ions'!$B$13, "")</f>
        <v>1.3373256531577866</v>
      </c>
      <c r="BW36" s="238">
        <f>IF($AY36&lt;&gt;"",$AY36/'Elements and ions'!$G$3,"")</f>
        <v>4.6817873773674652</v>
      </c>
      <c r="BX36" s="239">
        <f>IF($AZ36&lt;&gt;"",$AZ36/'Elements and ions'!$B$18,"")</f>
        <v>0.43520717569740214</v>
      </c>
      <c r="BY36" s="239">
        <f>IF($BA36&lt;&gt;"",$BA36/'Elements and ions'!$G$7,"")</f>
        <v>1.9398466895358273E-2</v>
      </c>
      <c r="BZ36" s="241">
        <f>IF($BB36&lt;&gt;"",$BB36/'Elements and ions'!$G$5,"")</f>
        <v>0.17512955093865873</v>
      </c>
      <c r="CA36" s="91">
        <f t="shared" si="67"/>
        <v>5.3703179637025318E-6</v>
      </c>
      <c r="CB36" s="163" t="str">
        <f>IF($BD36&lt;&gt;"",$BD36/'Elements and ions'!$B$14,"")</f>
        <v/>
      </c>
      <c r="CC36" s="89" t="str">
        <f>IF($BE36&lt;&gt;"",$BE36/'Elements and ions'!$B$27, "")</f>
        <v/>
      </c>
      <c r="CD36" s="249" t="str">
        <f>IF($BF36&lt;&gt;"",$BF36/'Elements and ions'!$B$26,"")</f>
        <v/>
      </c>
      <c r="CE36" s="250">
        <f>IF($BG36&lt;&gt;"",$BG36/'Elements and ions'!$G$6,"")</f>
        <v>0</v>
      </c>
      <c r="CF36" s="91" t="str">
        <f>IF($BH36&lt;&gt;"",$BH36/'Elements and ions'!$G$15,"")</f>
        <v/>
      </c>
      <c r="CG36" s="89" t="str">
        <f>IF($BI36&lt;&gt;"",$BI36/'Elements and ions'!$G$16,"")</f>
        <v/>
      </c>
      <c r="CH36" s="90">
        <f>IF($BJ36&lt;&gt;"",$BJ36/'Elements and ions'!$G$2,"")</f>
        <v>5.0166255578670049E-2</v>
      </c>
      <c r="CI36" s="91" t="str">
        <f>IF($BK36&lt;&gt;"",$BK36/'Elements and ions'!$B$15, "")</f>
        <v/>
      </c>
      <c r="CJ36" s="88" t="str">
        <f>IF($BL36&lt;&gt;"", $BL36/'Elements and ions'!$G$17,"")</f>
        <v/>
      </c>
      <c r="CK36" s="89">
        <f t="shared" si="68"/>
        <v>1.8620871366628634E-3</v>
      </c>
      <c r="CL36" s="163" t="str">
        <f>IF($BN36&lt;&gt;"", $BN36/'Elements and ions'!$G$19,"")</f>
        <v/>
      </c>
      <c r="CM36" s="89">
        <f>IF($BO36&lt;&gt;"",$BO36/'Elements and ions'!$G$4,"")</f>
        <v>4.3692982053452442E-2</v>
      </c>
      <c r="CN36" s="89">
        <f>IF($BP36&lt;&gt;"",$BP36/'Elements and ions'!$B$10,"")</f>
        <v>1.5443403159271828E-2</v>
      </c>
      <c r="CO36" s="104">
        <f>IF($BQ36&lt;&gt;"",$BQ36/'Elements and ions'!$G$18,"")</f>
        <v>0</v>
      </c>
      <c r="CP36" s="242"/>
      <c r="CQ36" s="238">
        <f t="shared" si="557"/>
        <v>4.7177941926696882E-4</v>
      </c>
      <c r="CR36" s="239">
        <f t="shared" si="558"/>
        <v>2.9042183419739474E-5</v>
      </c>
      <c r="CS36" s="239">
        <f t="shared" si="559"/>
        <v>1.4428090224063075E-3</v>
      </c>
      <c r="CT36" s="241">
        <f t="shared" si="560"/>
        <v>1.3373256531577866E-3</v>
      </c>
      <c r="CU36" s="238">
        <f t="shared" si="561"/>
        <v>4.6817873773674652E-3</v>
      </c>
      <c r="CV36" s="239">
        <f t="shared" si="562"/>
        <v>4.3520717569740211E-4</v>
      </c>
      <c r="CW36" s="239">
        <f t="shared" si="563"/>
        <v>1.9398466895358272E-5</v>
      </c>
      <c r="CX36" s="241">
        <f t="shared" si="564"/>
        <v>1.7512955093865873E-4</v>
      </c>
      <c r="CY36" s="258">
        <f t="shared" si="98"/>
        <v>5.3703179637025321E-9</v>
      </c>
      <c r="CZ36" s="259" t="str">
        <f t="shared" si="565"/>
        <v/>
      </c>
      <c r="DA36" s="260" t="str">
        <f t="shared" si="566"/>
        <v/>
      </c>
      <c r="DB36" s="261" t="str">
        <f t="shared" si="567"/>
        <v/>
      </c>
      <c r="DC36" s="262">
        <f t="shared" si="568"/>
        <v>0</v>
      </c>
      <c r="DD36" s="263" t="str">
        <f t="shared" si="569"/>
        <v/>
      </c>
      <c r="DE36" s="259" t="str">
        <f t="shared" si="570"/>
        <v/>
      </c>
      <c r="DF36" s="260">
        <f t="shared" si="571"/>
        <v>5.0166255578670051E-5</v>
      </c>
      <c r="DG36" s="260" t="str">
        <f t="shared" si="572"/>
        <v/>
      </c>
      <c r="DH36" s="264" t="str">
        <f t="shared" si="573"/>
        <v/>
      </c>
      <c r="DI36" s="258">
        <f t="shared" si="108"/>
        <v>1.8620871366628635E-6</v>
      </c>
      <c r="DJ36" s="260" t="str">
        <f t="shared" si="574"/>
        <v/>
      </c>
      <c r="DK36" s="260">
        <f t="shared" si="575"/>
        <v>4.3692982053452442E-5</v>
      </c>
      <c r="DL36" s="260">
        <f t="shared" si="576"/>
        <v>1.5443403159271827E-5</v>
      </c>
      <c r="DM36" s="265">
        <f t="shared" si="577"/>
        <v>0</v>
      </c>
      <c r="DN36" s="242"/>
      <c r="DO36" s="238">
        <f t="shared" si="578"/>
        <v>0.47177941926696881</v>
      </c>
      <c r="DP36" s="239">
        <f t="shared" si="579"/>
        <v>2.9042183419739475E-2</v>
      </c>
      <c r="DQ36" s="239">
        <f t="shared" si="580"/>
        <v>2.885618044812615</v>
      </c>
      <c r="DR36" s="241">
        <f t="shared" si="581"/>
        <v>2.6746513063155732</v>
      </c>
      <c r="DS36" s="238">
        <f t="shared" si="582"/>
        <v>-4.6817873773674652</v>
      </c>
      <c r="DT36" s="239">
        <f t="shared" si="583"/>
        <v>-0.43520717569740214</v>
      </c>
      <c r="DU36" s="239">
        <f t="shared" si="584"/>
        <v>-1.9398466895358273E-2</v>
      </c>
      <c r="DV36" s="241">
        <f t="shared" si="585"/>
        <v>-0.35025910187731746</v>
      </c>
      <c r="DW36" s="91">
        <f t="shared" si="113"/>
        <v>5.3703179637025318E-6</v>
      </c>
      <c r="DX36" s="89">
        <f t="shared" si="586"/>
        <v>0</v>
      </c>
      <c r="DY36" s="89">
        <f t="shared" si="587"/>
        <v>0</v>
      </c>
      <c r="DZ36" s="89">
        <f t="shared" si="588"/>
        <v>0</v>
      </c>
      <c r="EA36" s="90">
        <f t="shared" si="589"/>
        <v>0</v>
      </c>
      <c r="EB36" s="91">
        <f t="shared" si="118"/>
        <v>-1.8620871366628634E-3</v>
      </c>
      <c r="EC36" s="89">
        <f t="shared" si="590"/>
        <v>0</v>
      </c>
      <c r="ED36" s="89">
        <f t="shared" si="591"/>
        <v>-8.7385964106904884E-2</v>
      </c>
      <c r="EE36" s="89">
        <f t="shared" si="592"/>
        <v>-1.5443403159271828E-2</v>
      </c>
      <c r="EF36" s="90">
        <f t="shared" si="593"/>
        <v>0</v>
      </c>
      <c r="EG36" s="242"/>
      <c r="EH36" s="245">
        <f t="shared" si="594"/>
        <v>6.0610963241328601</v>
      </c>
      <c r="EI36" s="246">
        <f t="shared" si="595"/>
        <v>-5.5913435762403836</v>
      </c>
      <c r="EJ36" s="198">
        <f t="shared" si="596"/>
        <v>4.0313681246914621</v>
      </c>
      <c r="EK36" s="198">
        <f t="shared" si="597"/>
        <v>1.4647385918914114E-2</v>
      </c>
      <c r="EL36" s="101">
        <f>IF(AND(CS36&lt;&gt;"",DK36&lt;&gt;""),LOG(CS36*DK36/Minerals!$C$6),"")</f>
        <v>1.2797925420727854</v>
      </c>
      <c r="EM36" s="94">
        <f>IF(AND(CS36&lt;&gt;"",DK36&lt;&gt;""),LOG(CS36*DK36/Minerals!$C$5),"")</f>
        <v>1.1493130127165676</v>
      </c>
      <c r="EN36" s="94">
        <f>IF(AND(CS36&lt;&gt;"",DL36&lt;&gt;""),LOG(CS36*DL36^2/Minerals!$C$2),"")</f>
        <v>-1.893380187875132</v>
      </c>
      <c r="EO36" s="94">
        <f>IF(AND(CS36&lt;&gt;"",CX36&lt;&gt;""),LOG($CS36*$CX36/Minerals!$C$3),"")</f>
        <v>-1.9974513515381755</v>
      </c>
      <c r="EP36" s="95">
        <f>IF(AND(CS36&lt;&gt;"",CX36&lt;&gt;""),LOG($CS36*$CX36/Minerals!$C$4),"")</f>
        <v>-2.237435863004078</v>
      </c>
      <c r="EQ36" s="199"/>
      <c r="ER36" s="101">
        <f t="shared" si="315"/>
        <v>0.88312022706155069</v>
      </c>
      <c r="ES36" s="94">
        <f t="shared" si="315"/>
        <v>0.88312022706155069</v>
      </c>
      <c r="ET36" s="94">
        <f t="shared" si="316"/>
        <v>0.60824609302927612</v>
      </c>
      <c r="EU36" s="94">
        <f t="shared" si="316"/>
        <v>0.60824609302927612</v>
      </c>
      <c r="EV36" s="95">
        <f t="shared" si="316"/>
        <v>0.60824609302927612</v>
      </c>
      <c r="EW36" s="101">
        <f t="shared" si="317"/>
        <v>0.88312022706155069</v>
      </c>
      <c r="EX36" s="94">
        <f t="shared" si="31"/>
        <v>0.60824609302927612</v>
      </c>
      <c r="EY36" s="94">
        <f t="shared" si="317"/>
        <v>0.88312022706155069</v>
      </c>
      <c r="EZ36" s="94">
        <f t="shared" si="317"/>
        <v>0.88312022706155069</v>
      </c>
      <c r="FA36" s="94">
        <f t="shared" si="165"/>
        <v>0.88312022706155069</v>
      </c>
      <c r="FB36" s="95">
        <f t="shared" si="32"/>
        <v>0.60824609302927612</v>
      </c>
      <c r="FC36" s="199"/>
      <c r="FD36" s="101">
        <f t="shared" si="598"/>
        <v>4.1663794786601205E-4</v>
      </c>
      <c r="FE36" s="94">
        <f t="shared" si="599"/>
        <v>2.5647739616003527E-5</v>
      </c>
      <c r="FF36" s="94">
        <f t="shared" si="600"/>
        <v>8.775829508660258E-4</v>
      </c>
      <c r="FG36" s="94">
        <f t="shared" si="601"/>
        <v>8.1342310364104851E-4</v>
      </c>
      <c r="FH36" s="95" t="str">
        <f t="shared" si="602"/>
        <v/>
      </c>
      <c r="FI36" s="101">
        <f t="shared" si="603"/>
        <v>4.1345811317546576E-3</v>
      </c>
      <c r="FJ36" s="94">
        <f t="shared" si="604"/>
        <v>2.6576085626810727E-5</v>
      </c>
      <c r="FK36" s="94">
        <f t="shared" si="605"/>
        <v>3.8434025982070596E-4</v>
      </c>
      <c r="FL36" s="94">
        <f t="shared" si="606"/>
        <v>1.7131178489274771E-5</v>
      </c>
      <c r="FM36" s="94">
        <f t="shared" si="607"/>
        <v>1.3638381704619205E-5</v>
      </c>
      <c r="FN36" s="95">
        <f t="shared" si="608"/>
        <v>1.0652186513241077E-4</v>
      </c>
      <c r="FO36" s="199"/>
      <c r="FP36" s="101">
        <f>IF(EL36&lt;&gt;"",LOG(FF36*FJ36/Minerals!$C$6),"")</f>
        <v>0.84795119805523134</v>
      </c>
      <c r="FQ36" s="94">
        <f>IF(EL36&lt;&gt;"",LOG(FF36*FJ36/Minerals!$C$5),"")</f>
        <v>0.71747166869901358</v>
      </c>
      <c r="FR36" s="94">
        <f>IF(EN36&lt;&gt;"",LOG(FF36*FM36^2/Minerals!$C$2),"")</f>
        <v>-2.2172611958882973</v>
      </c>
      <c r="FS36" s="94">
        <f>IF(EO36&lt;&gt;"",LOG($FF36*$FN36/Minerals!$C$3),"")</f>
        <v>-2.4292926955557292</v>
      </c>
      <c r="FT36" s="95">
        <f>IF(EP36&lt;&gt;"",LOG($FF36*$FN36/Minerals!$C$4),"")</f>
        <v>-2.669277207021632</v>
      </c>
      <c r="FU36" s="96"/>
      <c r="FV36" s="101">
        <f>IF(FP36&lt;&gt;"",LOG(FF36*FJ36/(EXP(-1*Minerals!$E$6/'Other Constants'!$B$2*(1/(273.15+'ppm-mgL-1'!$D36)-1/298.15)+LN(Minerals!$C$6)))),"")</f>
        <v>2.312565408196058E-2</v>
      </c>
      <c r="FW36" s="94">
        <f>IF(FP36&lt;&gt;"",LOG(FF36*FJ36/(EXP(-1*Minerals!$E$5/'Other Constants'!$B$2*(1/(273.15+'ppm-mgL-1'!$D36)-1/298.15)+LN(Minerals!$C$5)))),"")</f>
        <v>-0.10742844198003122</v>
      </c>
      <c r="FX36" s="94">
        <f>IF(FR36&lt;&gt;"",LOG(FF36*FM36^2/(EXP(-1*Minerals!$E$2/'Other Constants'!$B$2*(1/(273.15+'ppm-mgL-1'!$D36)-1/298.15)+LN(Minerals!$C$2)))),"")</f>
        <v>-2.182388833154612</v>
      </c>
      <c r="FY36" s="94">
        <f>IF(FS36&lt;&gt;"",LOG($FF36*$FN36/(EXP(-1*Minerals!$E$3/'Other Constants'!$B$2*(1/(273.15+'ppm-mgL-1'!$D36)-1/298.15)+LN(Minerals!$C$3)))),"")</f>
        <v>-1.7182643582036965</v>
      </c>
      <c r="FZ36" s="95">
        <f>IF(FT36&lt;&gt;"",LOG($FF36*$FN36/(EXP(-1*Minerals!$E$4/'Other Constants'!$B$2*(1/(273.15+'ppm-mgL-1'!$D36)-1/298.15)+LN(Minerals!$C$4)))),"")</f>
        <v>-2.689646345482255</v>
      </c>
      <c r="GA36" s="96"/>
      <c r="GB36" s="96"/>
      <c r="GC36" s="101">
        <f>10^(-1825000*(79.755*EXP(-0.0046*($D36-20))*($D36+273.15))^-1.5*$EK36^0.5/(1+'Elements and ions'!$D$12*$EK36^0.5/(2*(79.755*EXP(-0.0046*($D36-20))*($D36+273.15))^0.5)))</f>
        <v>0.88387897815778771</v>
      </c>
      <c r="GD36" s="94">
        <f>10^(-1825000*(79.755*EXP(-0.0046*($D36-20))*($D36+273.15))^-1.5*$EK36^0.5/(1+'Elements and ions'!$D$20*$EK36^0.5/(2*(79.755*EXP(-0.0046*($D36-20))*($D36+273.15))^0.5)))</f>
        <v>0.88002185913415065</v>
      </c>
      <c r="GE36" s="94">
        <f>10^(-1825000*(79.755*EXP(-0.0046*($D36-20))*($D36+273.15))^-1.5*4*$EK36^0.5/(1+'Elements and ions'!$D$21*$EK36^0.5/(2*(79.755*EXP(-0.0046*($D36-20))*($D36+273.15))^0.5)))</f>
        <v>0.62994998591469542</v>
      </c>
      <c r="GF36" s="94">
        <f>10^(-1825000*(79.755*EXP(-0.0046*($D36-20))*($D36+273.15))^-1.5*4*$EK36^0.5/(1+'Elements and ions'!$D$13*$EK36^0.5/(2*(79.755*EXP(-0.0046*($D36-20))*($D36+273.15))^0.5)))</f>
        <v>0.64772001546407831</v>
      </c>
      <c r="GG36" s="95">
        <f>10^(-1825000*(79.755*EXP(-0.0046*($D36-20))*($D36+273.15))^-1.5*4*$EK36^0.5/(1+'Elements and ions'!$D$27*$EK36^0.5/(2*(79.755*EXP(-0.0046*($D36-20))*($D36+273.15))^0.5)))</f>
        <v>0.62994998591469542</v>
      </c>
      <c r="GH36" s="101">
        <f>10^(-1825000*(79.755*EXP(-0.0046*($D36-20))*($D36+273.15))^-1.5*$EK36^0.5/(1+'Elements and ions'!$G$3*$EK36^0.5/(2*(79.755*EXP(-0.0046*($D36-20))*($D36+273.15))^0.5)))</f>
        <v>0.8696785242776045</v>
      </c>
      <c r="GI36" s="94">
        <f>10^(-1825000*(79.755*EXP(-0.0046*($D36-20))*($D36+273.15))^-1.5*4*$EK36^0.5/(1+'Elements and ions'!$G$4*$EK36^0.5/(2*(79.755*EXP(-0.0046*($D36-20))*($D36+273.15))^0.5)))</f>
        <v>0.57192661577429449</v>
      </c>
      <c r="GJ36" s="94">
        <f>10^(-1825000*(79.755*EXP(-0.0046*($D36-20))*($D36+273.15))^-1.5*$EK36^0.5/(1+'Elements and ions'!$D$18*$EK36^0.5/(2*(79.755*EXP(-0.0046*($D36-20))*($D36+273.15))^0.5)))</f>
        <v>0.88002185913415065</v>
      </c>
      <c r="GK36" s="94">
        <f>10^(-1825000*(79.755*EXP(-0.0046*($D36-20))*($D36+273.15))^-1.5*$EK36^0.5/(1+'Elements and ions'!$I$7*$EK36^0.5/(2*(79.755*EXP(-0.0046*($D36-20))*($D36+273.15))^0.5)))</f>
        <v>0.88002185913415065</v>
      </c>
      <c r="GL36" s="94">
        <f>10^(-1825000*(79.755*EXP(-0.0046*($D36-20))*($D36+273.15))^-1.5*$EK36^0.5/(1+'Elements and ions'!$D$10*$EK36^0.5/(2*(79.755*EXP(-0.0046*($D36-20))*($D36+273.15))^0.5)))</f>
        <v>0.8819818811423854</v>
      </c>
      <c r="GM36" s="95">
        <f>10^(-1825000*(79.755*EXP(-0.0046*($D36-20))*($D36+273.15))^-1.5*4*$EK36^0.5/(1+'Elements and ions'!$I$5*$EK36^0.5/(2*(79.755*EXP(-0.0046*($D36-20))*($D36+273.15))^0.5)))</f>
        <v>0.61033913760894454</v>
      </c>
      <c r="GN36" s="96"/>
      <c r="GO36" s="101">
        <f t="shared" si="609"/>
        <v>4.169959110175629E-4</v>
      </c>
      <c r="GP36" s="94">
        <f t="shared" si="610"/>
        <v>2.5557756246354136E-5</v>
      </c>
      <c r="GQ36" s="94">
        <f t="shared" si="611"/>
        <v>9.0889752334244889E-4</v>
      </c>
      <c r="GR36" s="94">
        <f t="shared" si="612"/>
        <v>8.6621259274387015E-4</v>
      </c>
      <c r="GS36" s="95" t="str">
        <f t="shared" si="613"/>
        <v/>
      </c>
      <c r="GT36" s="101">
        <f t="shared" si="614"/>
        <v>4.0716499373304529E-3</v>
      </c>
      <c r="GU36" s="94">
        <f t="shared" si="615"/>
        <v>2.4989179358918038E-5</v>
      </c>
      <c r="GV36" s="94">
        <f t="shared" si="616"/>
        <v>3.8299182786575073E-4</v>
      </c>
      <c r="GW36" s="94">
        <f t="shared" si="617"/>
        <v>1.7071074901605463E-5</v>
      </c>
      <c r="GX36" s="94">
        <f t="shared" si="618"/>
        <v>1.3620801769654823E-5</v>
      </c>
      <c r="GY36" s="102">
        <f t="shared" si="619"/>
        <v>1.068884190897427E-4</v>
      </c>
      <c r="GZ36" s="199"/>
      <c r="HA36" s="92">
        <f>IF(AND(GQ36&lt;&gt;"",GU36&lt;&gt;""),LOG(GQ36*GU36/Minerals!$C$6),"")</f>
        <v>0.8364389204304713</v>
      </c>
      <c r="HB36" s="94">
        <f>IF(AND(GQ36&lt;&gt;"",GU36&lt;&gt;""),LOG(GQ36*GU36/Minerals!$C$5),"")</f>
        <v>0.70595939107425354</v>
      </c>
      <c r="HC36" s="94">
        <f>IF(AND(GQ36&lt;&gt;"",GX36&lt;&gt;""),LOG(GQ36*GX36^2/Minerals!$C$2),"")</f>
        <v>-2.20315479059136</v>
      </c>
      <c r="HD36" s="94">
        <f>IF(AND(GQ36&lt;&gt;"",GY36&lt;&gt;""),LOG($GQ36*$GY36/Minerals!$C$3),"")</f>
        <v>-2.4125740612721143</v>
      </c>
      <c r="HE36" s="102">
        <f>IF(AND(GQ36&lt;&gt;"",GY36&lt;&gt;""),LOG($GQ36*$GY36/Minerals!$C$3),"")</f>
        <v>-2.4125740612721143</v>
      </c>
      <c r="HF36" s="199"/>
      <c r="HG36" s="92">
        <f>IF(HA36&lt;&gt;"",LOG(GQ36*GU36/(EXP(-1*Minerals!$E$6/'Other Constants'!$B$2*(1/(273.15+'ppm-mgL-1'!$D36)-1/298.15)+LN(Minerals!$C$6)))),"")</f>
        <v>1.1613376457200609E-2</v>
      </c>
      <c r="HH36" s="94">
        <f>IF(HA36&lt;&gt;"",LOG(GQ36*GU36/(EXP(-1*Minerals!$E$5/'Other Constants'!$B$2*(1/(273.15+'ppm-mgL-1'!$D36)-1/298.15)+LN(Minerals!$C$5)))),"")</f>
        <v>-0.11894071960479122</v>
      </c>
      <c r="HI36" s="94">
        <f>IF(HC36&lt;&gt;"",LOG(GQ36*GX36^2/(EXP(-1*Minerals!$E$2/'Other Constants'!$B$2*(1/(273.15+'ppm-mgL-1'!$D36)-1/298.15)+LN(Minerals!$C$2)))),"")</f>
        <v>-2.1682824278576742</v>
      </c>
      <c r="HJ36" s="94">
        <f>IF(HD36&lt;&gt;"",LOG($FF36*$FN36/(EXP(-1*Minerals!$E$3/'Other Constants'!$B$2*(1/(273.15+'ppm-mgL-1'!$D36)-1/298.15)+LN(Minerals!$C$3)))),"")</f>
        <v>-1.7182643582036965</v>
      </c>
      <c r="HK36" s="95">
        <f>IF(HE36&lt;&gt;"",LOG($FF36*$FN36/(EXP(-1*Minerals!$E$4/'Other Constants'!$B$2*(1/(273.15+'ppm-mgL-1'!$D36)-1/298.15)+LN(Minerals!$C$4)))),"")</f>
        <v>-2.689646345482255</v>
      </c>
      <c r="HL36" s="199"/>
      <c r="HM36" s="199"/>
    </row>
    <row r="37" spans="1:221" x14ac:dyDescent="0.25">
      <c r="A37" s="267" t="str">
        <f>'WC samples'!B8</f>
        <v>WC 6</v>
      </c>
      <c r="C37" s="266">
        <f>'WC samples'!A8</f>
        <v>41572</v>
      </c>
      <c r="D37" s="276">
        <v>23</v>
      </c>
      <c r="E37" s="4">
        <f>'WC samples'!F8</f>
        <v>8.3000000000000007</v>
      </c>
      <c r="AD37" s="83">
        <f>IF(E37&lt;&gt;"",10^(-2*$E37)/(10^(-2*$E37)+10^(-$E37-pKa!$B$2)+(10^(-pKa!$B$2-pKa!$C$2))),"")</f>
        <v>9.8039215686274977E-3</v>
      </c>
      <c r="AE37" s="84">
        <f>IF(E37&lt;&gt;"",10^(-$E37-pKa!$B$2)/(10^(-2*$E37)+10^(-$E37-pKa!$B$2)+10^(-pKa!$B$2-pKa!$C$2)),"")</f>
        <v>0.98039215686274495</v>
      </c>
      <c r="AF37" s="212">
        <f>IF(E37&lt;&gt;"",10^(-pKa!$B$2-pKa!$C$2)/(10^(-2*$E37)+10^(-$E37-pKa!$B$2)+10^(-pKa!$B$2-pKa!$C$2)),"")</f>
        <v>9.8039215686274977E-3</v>
      </c>
      <c r="AG37" s="152"/>
      <c r="AH37" s="222">
        <f>IF($AK37&lt;&gt;"",$AK37/'Elements and ions'!$G$3,IF($E37="","",""))</f>
        <v>6.952179103342619</v>
      </c>
      <c r="AI37" s="85">
        <f t="shared" si="620"/>
        <v>6.9521771130921775E-3</v>
      </c>
      <c r="AJ37" s="84">
        <f>IF(AI37&lt;&gt;"",AI37*1000*'Elements and ions'!$B$7,"")</f>
        <v>83.500513652216213</v>
      </c>
      <c r="AK37" s="99">
        <f>'WC samples'!H8</f>
        <v>424.2</v>
      </c>
      <c r="AL37" s="88">
        <f>IF($AK37&lt;&gt;"",$AK37/'Elements and ions'!$G$3*Minerals!$B$6/2,IF($E37="","","Enter Alk(HCO3-)"))</f>
        <v>347.91102734917121</v>
      </c>
      <c r="AM37" s="199"/>
      <c r="AN37" s="101">
        <f t="shared" si="491"/>
        <v>6.8158599147962845E-5</v>
      </c>
      <c r="AO37" s="94">
        <f t="shared" si="492"/>
        <v>6.8158599147962514E-3</v>
      </c>
      <c r="AP37" s="95">
        <f t="shared" si="493"/>
        <v>6.8158599147962845E-5</v>
      </c>
      <c r="AQ37" s="199"/>
      <c r="AR37" s="199"/>
      <c r="AS37" s="83">
        <f t="shared" si="66"/>
        <v>0.20046646808224364</v>
      </c>
      <c r="AT37" s="83">
        <f>IF(AN37&lt;&gt;"",AN37/'Henrys law constants'!$B$7*1000000,"")</f>
        <v>2004.6646808224364</v>
      </c>
      <c r="AU37" s="268">
        <f>'WC samples'!K8</f>
        <v>10.376200000000001</v>
      </c>
      <c r="AV37" s="269">
        <f>'WC samples'!M8</f>
        <v>1.0445</v>
      </c>
      <c r="AW37" s="269">
        <f>'WC samples'!O8</f>
        <v>84.948999999999998</v>
      </c>
      <c r="AX37" s="269">
        <f>'WC samples'!N8</f>
        <v>32.606499999999997</v>
      </c>
      <c r="AY37" s="226">
        <f>AO37*'Elements and ions'!$G$3*1000</f>
        <v>415.88223388353646</v>
      </c>
      <c r="AZ37" s="269">
        <f>'WC samples'!Q8</f>
        <v>15.273099999999999</v>
      </c>
      <c r="BA37" s="269">
        <f>'WC samples'!T8</f>
        <v>1.6671</v>
      </c>
      <c r="BB37" s="270">
        <f>'WC samples'!V8</f>
        <v>16.4117</v>
      </c>
      <c r="BC37" s="222">
        <f>IF($E37&lt;&gt;"",10^-$E37*'Elements and ions'!B38*1000,"")</f>
        <v>0</v>
      </c>
      <c r="BE37" s="6"/>
      <c r="BF37" s="6"/>
      <c r="BG37" s="270">
        <f>'WC samples'!L8</f>
        <v>0</v>
      </c>
      <c r="BH37" s="3"/>
      <c r="BJ37" s="92">
        <f>IF($AN37&lt;&gt;"",$AN37*'Elements and ions'!$G$2*1000,"")</f>
        <v>4.2275221172605821</v>
      </c>
      <c r="BK37" s="229"/>
      <c r="BL37" s="230"/>
      <c r="BM37" s="101">
        <f>IF($E37&lt;&gt;"",(10^-14+$E37)*'Elements and ions'!$G$8,"")</f>
        <v>141.1609220000002</v>
      </c>
      <c r="BO37" s="102">
        <f>IF($AP37&lt;&gt;"",$AP37*'Elements and ions'!$G$4*1000,"")</f>
        <v>4.0901225604101876</v>
      </c>
      <c r="BP37" s="269">
        <f>'WC samples'!P8</f>
        <v>0.27379999999999999</v>
      </c>
      <c r="BQ37" s="270">
        <f>'WC samples'!R8</f>
        <v>0</v>
      </c>
      <c r="BR37" s="195"/>
      <c r="BS37" s="238">
        <f>IF($AU37&lt;&gt;"",$AU37/'Elements and ions'!$B$12,"")</f>
        <v>0.4513398926985665</v>
      </c>
      <c r="BT37" s="239">
        <f>IF($AV37&lt;&gt;"",$AV37/'Elements and ions'!$B$20,"")</f>
        <v>2.6714716496625171E-2</v>
      </c>
      <c r="BU37" s="239">
        <f>IF($AW37&lt;&gt;"",$AW37/'Elements and ions'!$B$21, "")</f>
        <v>2.1195917959978039</v>
      </c>
      <c r="BV37" s="240">
        <f>IF($AX37&lt;&gt;"",$AX37/'Elements and ions'!$B$13, "")</f>
        <v>1.341555235548241</v>
      </c>
      <c r="BW37" s="238">
        <f>IF($AY37&lt;&gt;"",$AY37/'Elements and ions'!$G$3,"")</f>
        <v>6.8158599147962509</v>
      </c>
      <c r="BX37" s="239">
        <f>IF($AZ37&lt;&gt;"",$AZ37/'Elements and ions'!$B$18,"")</f>
        <v>0.43079852198685581</v>
      </c>
      <c r="BY37" s="239">
        <f>IF($BA37&lt;&gt;"",$BA37/'Elements and ions'!$G$7,"")</f>
        <v>2.6886584769913346E-2</v>
      </c>
      <c r="BZ37" s="241">
        <f>IF($BB37&lt;&gt;"",$BB37/'Elements and ions'!$G$5,"")</f>
        <v>0.17084380393618326</v>
      </c>
      <c r="CA37" s="91">
        <f t="shared" si="67"/>
        <v>5.0118723362727114E-6</v>
      </c>
      <c r="CB37" s="163" t="str">
        <f>IF($BD37&lt;&gt;"",$BD37/'Elements and ions'!$B$14,"")</f>
        <v/>
      </c>
      <c r="CC37" s="89" t="str">
        <f>IF($BE37&lt;&gt;"",$BE37/'Elements and ions'!$B$27, "")</f>
        <v/>
      </c>
      <c r="CD37" s="249" t="str">
        <f>IF($BF37&lt;&gt;"",$BF37/'Elements and ions'!$B$26,"")</f>
        <v/>
      </c>
      <c r="CE37" s="250">
        <f>IF($BG37&lt;&gt;"",$BG37/'Elements and ions'!$G$6,"")</f>
        <v>0</v>
      </c>
      <c r="CF37" s="91" t="str">
        <f>IF($BH37&lt;&gt;"",$BH37/'Elements and ions'!$G$15,"")</f>
        <v/>
      </c>
      <c r="CG37" s="89" t="str">
        <f>IF($BI37&lt;&gt;"",$BI37/'Elements and ions'!$G$16,"")</f>
        <v/>
      </c>
      <c r="CH37" s="90">
        <f>IF($BJ37&lt;&gt;"",$BJ37/'Elements and ions'!$G$2,"")</f>
        <v>6.8158599147962837E-2</v>
      </c>
      <c r="CI37" s="91" t="str">
        <f>IF($BK37&lt;&gt;"",$BK37/'Elements and ions'!$B$15, "")</f>
        <v/>
      </c>
      <c r="CJ37" s="88" t="str">
        <f>IF($BL37&lt;&gt;"", $BL37/'Elements and ions'!$G$17,"")</f>
        <v/>
      </c>
      <c r="CK37" s="89">
        <f t="shared" si="68"/>
        <v>1.9952623149688815E-3</v>
      </c>
      <c r="CL37" s="163" t="str">
        <f>IF($BN37&lt;&gt;"", $BN37/'Elements and ions'!$G$19,"")</f>
        <v/>
      </c>
      <c r="CM37" s="89">
        <f>IF($BO37&lt;&gt;"",$BO37/'Elements and ions'!$G$4,"")</f>
        <v>6.8158599147962851E-2</v>
      </c>
      <c r="CN37" s="89">
        <f>IF($BP37&lt;&gt;"",$BP37/'Elements and ions'!$B$10,"")</f>
        <v>1.4411737508550192E-2</v>
      </c>
      <c r="CO37" s="104">
        <f>IF($BQ37&lt;&gt;"",$BQ37/'Elements and ions'!$G$18,"")</f>
        <v>0</v>
      </c>
      <c r="CP37" s="242"/>
      <c r="CQ37" s="238">
        <f t="shared" si="557"/>
        <v>4.5133989269856653E-4</v>
      </c>
      <c r="CR37" s="239">
        <f t="shared" si="558"/>
        <v>2.6714716496625172E-5</v>
      </c>
      <c r="CS37" s="239">
        <f t="shared" si="559"/>
        <v>2.1195917959978038E-3</v>
      </c>
      <c r="CT37" s="241">
        <f t="shared" si="560"/>
        <v>1.341555235548241E-3</v>
      </c>
      <c r="CU37" s="238">
        <f t="shared" si="561"/>
        <v>6.8158599147962505E-3</v>
      </c>
      <c r="CV37" s="239">
        <f t="shared" si="562"/>
        <v>4.3079852198685579E-4</v>
      </c>
      <c r="CW37" s="239">
        <f t="shared" si="563"/>
        <v>2.6886584769913346E-5</v>
      </c>
      <c r="CX37" s="241">
        <f t="shared" si="564"/>
        <v>1.7084380393618325E-4</v>
      </c>
      <c r="CY37" s="258">
        <f t="shared" si="98"/>
        <v>5.0118723362727114E-9</v>
      </c>
      <c r="CZ37" s="259" t="str">
        <f t="shared" si="565"/>
        <v/>
      </c>
      <c r="DA37" s="260" t="str">
        <f t="shared" si="566"/>
        <v/>
      </c>
      <c r="DB37" s="261" t="str">
        <f t="shared" si="567"/>
        <v/>
      </c>
      <c r="DC37" s="262">
        <f t="shared" si="568"/>
        <v>0</v>
      </c>
      <c r="DD37" s="263" t="str">
        <f t="shared" si="569"/>
        <v/>
      </c>
      <c r="DE37" s="259" t="str">
        <f t="shared" si="570"/>
        <v/>
      </c>
      <c r="DF37" s="260">
        <f t="shared" si="571"/>
        <v>6.8158599147962831E-5</v>
      </c>
      <c r="DG37" s="260" t="str">
        <f t="shared" si="572"/>
        <v/>
      </c>
      <c r="DH37" s="264" t="str">
        <f t="shared" si="573"/>
        <v/>
      </c>
      <c r="DI37" s="258">
        <f t="shared" si="108"/>
        <v>1.9952623149688817E-6</v>
      </c>
      <c r="DJ37" s="260" t="str">
        <f t="shared" si="574"/>
        <v/>
      </c>
      <c r="DK37" s="260">
        <f t="shared" si="575"/>
        <v>6.8158599147962845E-5</v>
      </c>
      <c r="DL37" s="260">
        <f t="shared" si="576"/>
        <v>1.4411737508550192E-5</v>
      </c>
      <c r="DM37" s="265">
        <f t="shared" si="577"/>
        <v>0</v>
      </c>
      <c r="DN37" s="242"/>
      <c r="DO37" s="238">
        <f t="shared" si="578"/>
        <v>0.4513398926985665</v>
      </c>
      <c r="DP37" s="239">
        <f t="shared" si="579"/>
        <v>2.6714716496625171E-2</v>
      </c>
      <c r="DQ37" s="239">
        <f t="shared" si="580"/>
        <v>4.2391835919956078</v>
      </c>
      <c r="DR37" s="241">
        <f t="shared" si="581"/>
        <v>2.6831104710964819</v>
      </c>
      <c r="DS37" s="238">
        <f t="shared" si="582"/>
        <v>-6.8158599147962509</v>
      </c>
      <c r="DT37" s="239">
        <f t="shared" si="583"/>
        <v>-0.43079852198685581</v>
      </c>
      <c r="DU37" s="239">
        <f t="shared" si="584"/>
        <v>-2.6886584769913346E-2</v>
      </c>
      <c r="DV37" s="241">
        <f t="shared" si="585"/>
        <v>-0.34168760787236652</v>
      </c>
      <c r="DW37" s="91">
        <f t="shared" si="113"/>
        <v>5.0118723362727114E-6</v>
      </c>
      <c r="DX37" s="89">
        <f t="shared" si="586"/>
        <v>0</v>
      </c>
      <c r="DY37" s="89">
        <f t="shared" si="587"/>
        <v>0</v>
      </c>
      <c r="DZ37" s="89">
        <f t="shared" si="588"/>
        <v>0</v>
      </c>
      <c r="EA37" s="90">
        <f t="shared" si="589"/>
        <v>0</v>
      </c>
      <c r="EB37" s="91">
        <f t="shared" si="118"/>
        <v>-1.9952623149688815E-3</v>
      </c>
      <c r="EC37" s="89">
        <f t="shared" si="590"/>
        <v>0</v>
      </c>
      <c r="ED37" s="89">
        <f t="shared" si="591"/>
        <v>-0.1363171982959257</v>
      </c>
      <c r="EE37" s="89">
        <f t="shared" si="592"/>
        <v>-1.4411737508550192E-2</v>
      </c>
      <c r="EF37" s="90">
        <f t="shared" si="593"/>
        <v>0</v>
      </c>
      <c r="EG37" s="242"/>
      <c r="EH37" s="245">
        <f t="shared" si="594"/>
        <v>7.4003536841596178</v>
      </c>
      <c r="EI37" s="246">
        <f t="shared" si="595"/>
        <v>-7.7679568275448316</v>
      </c>
      <c r="EJ37" s="198">
        <f t="shared" si="596"/>
        <v>-2.4234943179832529</v>
      </c>
      <c r="EK37" s="198">
        <f t="shared" si="597"/>
        <v>1.8410969026057294E-2</v>
      </c>
      <c r="EL37" s="101">
        <f>IF(AND(CS37&lt;&gt;"",DK37&lt;&gt;""),LOG(CS37*DK37/Minerals!$C$6),"")</f>
        <v>1.6399448919781283</v>
      </c>
      <c r="EM37" s="94">
        <f>IF(AND(CS37&lt;&gt;"",DK37&lt;&gt;""),LOG(CS37*DK37/Minerals!$C$5),"")</f>
        <v>1.5094653626219106</v>
      </c>
      <c r="EN37" s="94">
        <f>IF(AND(CS37&lt;&gt;"",DL37&lt;&gt;""),LOG(CS37*DL37^2/Minerals!$C$2),"")</f>
        <v>-1.7863901388651766</v>
      </c>
      <c r="EO37" s="94">
        <f>IF(AND(CS37&lt;&gt;"",CX37&lt;&gt;""),LOG($CS37*$CX37/Minerals!$C$3),"")</f>
        <v>-1.8411681725009734</v>
      </c>
      <c r="EP37" s="95">
        <f>IF(AND(CS37&lt;&gt;"",CX37&lt;&gt;""),LOG($CS37*$CX37/Minerals!$C$4),"")</f>
        <v>-2.0811526839668759</v>
      </c>
      <c r="EQ37" s="199"/>
      <c r="ER37" s="101">
        <f t="shared" ref="ER37:ES52" si="621">10^(-0.5*SQRT($EK37)/(1+SQRT($EK37)))</f>
        <v>0.87148946119576576</v>
      </c>
      <c r="ES37" s="94">
        <f t="shared" si="621"/>
        <v>0.87148946119576576</v>
      </c>
      <c r="ET37" s="94">
        <f t="shared" ref="ET37:EV52" si="622">10^(-0.5*4*SQRT($EK37)/(1+SQRT($EK37)))</f>
        <v>0.57683095523890215</v>
      </c>
      <c r="EU37" s="94">
        <f t="shared" si="622"/>
        <v>0.57683095523890215</v>
      </c>
      <c r="EV37" s="95">
        <f t="shared" si="622"/>
        <v>0.57683095523890215</v>
      </c>
      <c r="EW37" s="101">
        <f t="shared" ref="EW37:EZ52" si="623">10^(-0.5*SQRT($EK37)/(1+SQRT($EK37)))</f>
        <v>0.87148946119576576</v>
      </c>
      <c r="EX37" s="94">
        <f t="shared" si="31"/>
        <v>0.57683095523890215</v>
      </c>
      <c r="EY37" s="94">
        <f t="shared" si="623"/>
        <v>0.87148946119576576</v>
      </c>
      <c r="EZ37" s="94">
        <f t="shared" si="623"/>
        <v>0.87148946119576576</v>
      </c>
      <c r="FA37" s="94">
        <f t="shared" si="165"/>
        <v>0.87148946119576576</v>
      </c>
      <c r="FB37" s="95">
        <f t="shared" si="32"/>
        <v>0.57683095523890215</v>
      </c>
      <c r="FC37" s="199"/>
      <c r="FD37" s="101">
        <f t="shared" si="598"/>
        <v>3.9333795990402845E-4</v>
      </c>
      <c r="FE37" s="94">
        <f t="shared" si="599"/>
        <v>2.3281593885641507E-5</v>
      </c>
      <c r="FF37" s="94">
        <f t="shared" si="600"/>
        <v>1.2226461604019534E-3</v>
      </c>
      <c r="FG37" s="94">
        <f t="shared" si="601"/>
        <v>7.7385058802704229E-4</v>
      </c>
      <c r="FH37" s="95" t="str">
        <f t="shared" si="602"/>
        <v/>
      </c>
      <c r="FI37" s="101">
        <f t="shared" si="603"/>
        <v>5.9399500847316022E-3</v>
      </c>
      <c r="FJ37" s="94">
        <f t="shared" si="604"/>
        <v>3.9315989854264831E-5</v>
      </c>
      <c r="FK37" s="94">
        <f t="shared" si="605"/>
        <v>3.7543637181025721E-4</v>
      </c>
      <c r="FL37" s="94">
        <f t="shared" si="606"/>
        <v>2.3431375274526064E-5</v>
      </c>
      <c r="FM37" s="94">
        <f t="shared" si="607"/>
        <v>1.2559677356221213E-5</v>
      </c>
      <c r="FN37" s="95">
        <f t="shared" si="608"/>
        <v>9.85479946211563E-5</v>
      </c>
      <c r="FO37" s="199"/>
      <c r="FP37" s="101">
        <f>IF(EL37&lt;&gt;"",LOG(FF37*FJ37/Minerals!$C$6),"")</f>
        <v>1.1620420088846166</v>
      </c>
      <c r="FQ37" s="94">
        <f>IF(EL37&lt;&gt;"",LOG(FF37*FJ37/Minerals!$C$5),"")</f>
        <v>1.0315624795283989</v>
      </c>
      <c r="FR37" s="94">
        <f>IF(EN37&lt;&gt;"",LOG(FF37*FM37^2/Minerals!$C$2),"")</f>
        <v>-2.1448173011853102</v>
      </c>
      <c r="FS37" s="94">
        <f>IF(EO37&lt;&gt;"",LOG($FF37*$FN37/Minerals!$C$3),"")</f>
        <v>-2.3190710555944851</v>
      </c>
      <c r="FT37" s="95">
        <f>IF(EP37&lt;&gt;"",LOG($FF37*$FN37/Minerals!$C$4),"")</f>
        <v>-2.5590555670603874</v>
      </c>
      <c r="FU37" s="96"/>
      <c r="FV37" s="101">
        <f>IF(FP37&lt;&gt;"",LOG(FF37*FJ37/(EXP(-1*Minerals!$E$6/'Other Constants'!$B$2*(1/(273.15+'ppm-mgL-1'!$D37)-1/298.15)+LN(Minerals!$C$6)))),"")</f>
        <v>0.37675912523240535</v>
      </c>
      <c r="FW37" s="94">
        <f>IF(FP37&lt;&gt;"",LOG(FF37*FJ37/(EXP(-1*Minerals!$E$5/'Other Constants'!$B$2*(1/(273.15+'ppm-mgL-1'!$D37)-1/298.15)+LN(Minerals!$C$5)))),"")</f>
        <v>0.24620860394563673</v>
      </c>
      <c r="FX37" s="94">
        <f>IF(FR37&lt;&gt;"",LOG(FF37*FM37^2/(EXP(-1*Minerals!$E$2/'Other Constants'!$B$2*(1/(273.15+'ppm-mgL-1'!$D37)-1/298.15)+LN(Minerals!$C$2)))),"")</f>
        <v>-2.1116167416641294</v>
      </c>
      <c r="FY37" s="94">
        <f>IF(FS37&lt;&gt;"",LOG($FF37*$FN37/(EXP(-1*Minerals!$E$3/'Other Constants'!$B$2*(1/(273.15+'ppm-mgL-1'!$D37)-1/298.15)+LN(Minerals!$C$3)))),"")</f>
        <v>-1.6421298682197942</v>
      </c>
      <c r="FZ37" s="95">
        <f>IF(FT37&lt;&gt;"",LOG($FF37*$FN37/(EXP(-1*Minerals!$E$4/'Other Constants'!$B$2*(1/(273.15+'ppm-mgL-1'!$D37)-1/298.15)+LN(Minerals!$C$4)))),"")</f>
        <v>-2.57844819608933</v>
      </c>
      <c r="GA37" s="96"/>
      <c r="GB37" s="96"/>
      <c r="GC37" s="101">
        <f>10^(-1825000*(79.755*EXP(-0.0046*($D37-20))*($D37+273.15))^-1.5*$EK37^0.5/(1+'Elements and ions'!$D$12*$EK37^0.5/(2*(79.755*EXP(-0.0046*($D37-20))*($D37+273.15))^0.5)))</f>
        <v>0.87270806521981614</v>
      </c>
      <c r="GD37" s="94">
        <f>10^(-1825000*(79.755*EXP(-0.0046*($D37-20))*($D37+273.15))^-1.5*$EK37^0.5/(1+'Elements and ions'!$D$20*$EK37^0.5/(2*(79.755*EXP(-0.0046*($D37-20))*($D37+273.15))^0.5)))</f>
        <v>0.86806026754858701</v>
      </c>
      <c r="GE37" s="94">
        <f>10^(-1825000*(79.755*EXP(-0.0046*($D37-20))*($D37+273.15))^-1.5*4*$EK37^0.5/(1+'Elements and ions'!$D$21*$EK37^0.5/(2*(79.755*EXP(-0.0046*($D37-20))*($D37+273.15))^0.5)))</f>
        <v>0.60266465984476991</v>
      </c>
      <c r="GF37" s="94">
        <f>10^(-1825000*(79.755*EXP(-0.0046*($D37-20))*($D37+273.15))^-1.5*4*$EK37^0.5/(1+'Elements and ions'!$D$13*$EK37^0.5/(2*(79.755*EXP(-0.0046*($D37-20))*($D37+273.15))^0.5)))</f>
        <v>0.62301467849306968</v>
      </c>
      <c r="GG37" s="95">
        <f>10^(-1825000*(79.755*EXP(-0.0046*($D37-20))*($D37+273.15))^-1.5*4*$EK37^0.5/(1+'Elements and ions'!$D$27*$EK37^0.5/(2*(79.755*EXP(-0.0046*($D37-20))*($D37+273.15))^0.5)))</f>
        <v>0.60266465984476991</v>
      </c>
      <c r="GH37" s="101">
        <f>10^(-1825000*(79.755*EXP(-0.0046*($D37-20))*($D37+273.15))^-1.5*$EK37^0.5/(1+'Elements and ions'!$G$3*$EK37^0.5/(2*(79.755*EXP(-0.0046*($D37-20))*($D37+273.15))^0.5)))</f>
        <v>0.8554498353224822</v>
      </c>
      <c r="GI37" s="94">
        <f>10^(-1825000*(79.755*EXP(-0.0046*($D37-20))*($D37+273.15))^-1.5*4*$EK37^0.5/(1+'Elements and ions'!$G$4*$EK37^0.5/(2*(79.755*EXP(-0.0046*($D37-20))*($D37+273.15))^0.5)))</f>
        <v>0.53537714860061214</v>
      </c>
      <c r="GJ37" s="94">
        <f>10^(-1825000*(79.755*EXP(-0.0046*($D37-20))*($D37+273.15))^-1.5*$EK37^0.5/(1+'Elements and ions'!$D$18*$EK37^0.5/(2*(79.755*EXP(-0.0046*($D37-20))*($D37+273.15))^0.5)))</f>
        <v>0.86806026754858701</v>
      </c>
      <c r="GK37" s="94">
        <f>10^(-1825000*(79.755*EXP(-0.0046*($D37-20))*($D37+273.15))^-1.5*$EK37^0.5/(1+'Elements and ions'!$I$7*$EK37^0.5/(2*(79.755*EXP(-0.0046*($D37-20))*($D37+273.15))^0.5)))</f>
        <v>0.86806026754858701</v>
      </c>
      <c r="GL37" s="94">
        <f>10^(-1825000*(79.755*EXP(-0.0046*($D37-20))*($D37+273.15))^-1.5*$EK37^0.5/(1+'Elements and ions'!$D$10*$EK37^0.5/(2*(79.755*EXP(-0.0046*($D37-20))*($D37+273.15))^0.5)))</f>
        <v>0.87042576015506179</v>
      </c>
      <c r="GM37" s="95">
        <f>10^(-1825000*(79.755*EXP(-0.0046*($D37-20))*($D37+273.15))^-1.5*4*$EK37^0.5/(1+'Elements and ions'!$I$5*$EK37^0.5/(2*(79.755*EXP(-0.0046*($D37-20))*($D37+273.15))^0.5)))</f>
        <v>0.58006406034137015</v>
      </c>
      <c r="GN37" s="96"/>
      <c r="GO37" s="101">
        <f t="shared" si="609"/>
        <v>3.938879645134854E-4</v>
      </c>
      <c r="GP37" s="94">
        <f t="shared" si="610"/>
        <v>2.3189983949545096E-5</v>
      </c>
      <c r="GQ37" s="94">
        <f t="shared" si="611"/>
        <v>1.2774030687447814E-3</v>
      </c>
      <c r="GR37" s="94">
        <f t="shared" si="612"/>
        <v>8.3580860375578176E-4</v>
      </c>
      <c r="GS37" s="95" t="str">
        <f t="shared" si="613"/>
        <v/>
      </c>
      <c r="GT37" s="101">
        <f t="shared" si="614"/>
        <v>5.8306262416935603E-3</v>
      </c>
      <c r="GU37" s="94">
        <f t="shared" si="615"/>
        <v>3.6490556464448459E-5</v>
      </c>
      <c r="GV37" s="94">
        <f t="shared" si="616"/>
        <v>3.7395908025544589E-4</v>
      </c>
      <c r="GW37" s="94">
        <f t="shared" si="617"/>
        <v>2.3339175968838745E-5</v>
      </c>
      <c r="GX37" s="94">
        <f t="shared" si="618"/>
        <v>1.2544347576035016E-5</v>
      </c>
      <c r="GY37" s="102">
        <f t="shared" si="619"/>
        <v>9.9100350595387408E-5</v>
      </c>
      <c r="GZ37" s="199"/>
      <c r="HA37" s="92">
        <f>IF(AND(GQ37&lt;&gt;"",GU37&lt;&gt;""),LOG(GQ37*GU37/Minerals!$C$6),"")</f>
        <v>1.1486804475756978</v>
      </c>
      <c r="HB37" s="94">
        <f>IF(AND(GQ37&lt;&gt;"",GU37&lt;&gt;""),LOG(GQ37*GU37/Minerals!$C$5),"")</f>
        <v>1.0182009182194802</v>
      </c>
      <c r="HC37" s="94">
        <f>IF(AND(GQ37&lt;&gt;"",GX37&lt;&gt;""),LOG(GQ37*GX37^2/Minerals!$C$2),"")</f>
        <v>-2.1268509427227849</v>
      </c>
      <c r="HD37" s="94">
        <f>IF(AND(GQ37&lt;&gt;"",GY37&lt;&gt;""),LOG($GQ37*$GY37/Minerals!$C$3),"")</f>
        <v>-2.297616488995935</v>
      </c>
      <c r="HE37" s="102">
        <f>IF(AND(GQ37&lt;&gt;"",GY37&lt;&gt;""),LOG($GQ37*$GY37/Minerals!$C$3),"")</f>
        <v>-2.297616488995935</v>
      </c>
      <c r="HF37" s="199"/>
      <c r="HG37" s="92">
        <f>IF(HA37&lt;&gt;"",LOG(GQ37*GU37/(EXP(-1*Minerals!$E$6/'Other Constants'!$B$2*(1/(273.15+'ppm-mgL-1'!$D37)-1/298.15)+LN(Minerals!$C$6)))),"")</f>
        <v>0.36339756392348654</v>
      </c>
      <c r="HH37" s="94">
        <f>IF(HA37&lt;&gt;"",LOG(GQ37*GU37/(EXP(-1*Minerals!$E$5/'Other Constants'!$B$2*(1/(273.15+'ppm-mgL-1'!$D37)-1/298.15)+LN(Minerals!$C$5)))),"")</f>
        <v>0.23284704263671796</v>
      </c>
      <c r="HI37" s="94">
        <f>IF(HC37&lt;&gt;"",LOG(GQ37*GX37^2/(EXP(-1*Minerals!$E$2/'Other Constants'!$B$2*(1/(273.15+'ppm-mgL-1'!$D37)-1/298.15)+LN(Minerals!$C$2)))),"")</f>
        <v>-2.0936503832016036</v>
      </c>
      <c r="HJ37" s="94">
        <f>IF(HD37&lt;&gt;"",LOG($FF37*$FN37/(EXP(-1*Minerals!$E$3/'Other Constants'!$B$2*(1/(273.15+'ppm-mgL-1'!$D37)-1/298.15)+LN(Minerals!$C$3)))),"")</f>
        <v>-1.6421298682197942</v>
      </c>
      <c r="HK37" s="95">
        <f>IF(HE37&lt;&gt;"",LOG($FF37*$FN37/(EXP(-1*Minerals!$E$4/'Other Constants'!$B$2*(1/(273.15+'ppm-mgL-1'!$D37)-1/298.15)+LN(Minerals!$C$4)))),"")</f>
        <v>-2.57844819608933</v>
      </c>
      <c r="HL37" s="199"/>
      <c r="HM37" s="199"/>
    </row>
    <row r="38" spans="1:221" x14ac:dyDescent="0.25">
      <c r="A38" s="267" t="str">
        <f>'WC samples'!B9</f>
        <v>WC Spring</v>
      </c>
      <c r="C38" s="266">
        <f>'WC samples'!A9</f>
        <v>41436</v>
      </c>
      <c r="D38" s="4">
        <f>'WC samples'!I9</f>
        <v>26.8</v>
      </c>
      <c r="E38" s="4">
        <f>'WC samples'!F9</f>
        <v>7.03</v>
      </c>
      <c r="AD38" s="83">
        <f>IF(E38&lt;&gt;"",10^(-2*$E38)/(10^(-2*$E38)+10^(-$E38-pKa!$B$2)+(10^(-pKa!$B$2-pKa!$C$2))),"")</f>
        <v>0.15690699914301623</v>
      </c>
      <c r="AE38" s="84">
        <f>IF(E38&lt;&gt;"",10^(-$E38-pKa!$B$2)/(10^(-2*$E38)+10^(-$E38-pKa!$B$2)+10^(-pKa!$B$2-pKa!$C$2)),"")</f>
        <v>0.84264047612839421</v>
      </c>
      <c r="AF38" s="212">
        <f>IF(E38&lt;&gt;"",10^(-pKa!$B$2-pKa!$C$2)/(10^(-2*$E38)+10^(-$E38-pKa!$B$2)+10^(-pKa!$B$2-pKa!$C$2)),"")</f>
        <v>4.5252472858951629E-4</v>
      </c>
      <c r="AG38" s="152"/>
      <c r="AH38" s="88">
        <f>IF($AI38&lt;&gt;"",$AI38*1000*(AE38+2*AF38)+10^(-14+$E38)-10^(-$E38),IF($E38="","","Enter Alk(HCO3-)"))</f>
        <v>7.865305456684152</v>
      </c>
      <c r="AI38" s="99">
        <f>'WC samples'!E9/1000/12.0107</f>
        <v>9.3241030914101592E-3</v>
      </c>
      <c r="AJ38" s="84">
        <f>IF(AI38&lt;&gt;"",AI38*1000*'Elements and ions'!$B$7,"")</f>
        <v>111.98900499999999</v>
      </c>
      <c r="AK38" s="89">
        <f>IF($AI38&lt;&gt;"",$AH38*'Elements and ions'!$G$3,IF($E38="","","Enter DIC"))</f>
        <v>479.91608460162382</v>
      </c>
      <c r="AL38" s="88">
        <f>IF($AK38&lt;&gt;"",$AK38/'Elements and ions'!$G$3*Minerals!$B$6/2,IF($E38="","","Enter Alk(HCO3-)"))</f>
        <v>393.60702035630055</v>
      </c>
      <c r="AM38" s="199"/>
      <c r="AN38" s="101">
        <f t="shared" si="491"/>
        <v>1.4630170357732889E-3</v>
      </c>
      <c r="AO38" s="94">
        <f t="shared" si="492"/>
        <v>7.8568666684160886E-3</v>
      </c>
      <c r="AP38" s="95">
        <f t="shared" si="493"/>
        <v>4.2193872207810521E-6</v>
      </c>
      <c r="AQ38" s="199"/>
      <c r="AR38" s="199"/>
      <c r="AS38" s="83">
        <f t="shared" si="66"/>
        <v>4.3029912816861433</v>
      </c>
      <c r="AT38" s="83">
        <f>IF(AN38&lt;&gt;"",AN38/'Henrys law constants'!$B$7*1000000,"")</f>
        <v>43029.912816861433</v>
      </c>
      <c r="AU38" s="268">
        <f>'WC samples'!K9</f>
        <v>10.547800000000001</v>
      </c>
      <c r="AV38" s="269">
        <f>'WC samples'!M9</f>
        <v>1.0342</v>
      </c>
      <c r="AW38" s="269">
        <f>'WC samples'!O9</f>
        <v>90.632199999999997</v>
      </c>
      <c r="AX38" s="269">
        <f>'WC samples'!N9</f>
        <v>33.122399999999999</v>
      </c>
      <c r="AY38" s="226">
        <f>AO38*'Elements and ions'!$G$3*1000</f>
        <v>479.4011764080775</v>
      </c>
      <c r="AZ38" s="269">
        <f>'WC samples'!Q9</f>
        <v>15.609</v>
      </c>
      <c r="BA38" s="269">
        <f>'WC samples'!T9</f>
        <v>1.6915</v>
      </c>
      <c r="BB38" s="270">
        <f>'WC samples'!V9</f>
        <v>16.4284</v>
      </c>
      <c r="BC38" s="222">
        <f>IF($E38&lt;&gt;"",10^-$E38*'Elements and ions'!B39*1000,"")</f>
        <v>0</v>
      </c>
      <c r="BE38" s="6"/>
      <c r="BF38" s="6"/>
      <c r="BG38" s="270">
        <f>'WC samples'!L9</f>
        <v>0</v>
      </c>
      <c r="BH38" s="3"/>
      <c r="BJ38" s="92">
        <f>IF($AN38&lt;&gt;"",$AN38*'Elements and ions'!$G$2*1000,"")</f>
        <v>90.743309780090357</v>
      </c>
      <c r="BK38" s="229"/>
      <c r="BL38" s="230"/>
      <c r="BM38" s="101">
        <f>IF($E38&lt;&gt;"",(10^-14+$E38)*'Elements and ions'!$G$8,"")</f>
        <v>119.56160020000017</v>
      </c>
      <c r="BO38" s="102">
        <f>IF($AP38&lt;&gt;"",$AP38*'Elements and ions'!$G$4*1000,"")</f>
        <v>0.2532007857931281</v>
      </c>
      <c r="BP38" s="269">
        <f>'WC samples'!P9</f>
        <v>0.2833</v>
      </c>
      <c r="BQ38" s="270">
        <f>'WC samples'!R9</f>
        <v>0</v>
      </c>
      <c r="BR38" s="195"/>
      <c r="BS38" s="238">
        <f>IF($AU38&lt;&gt;"",$AU38/'Elements and ions'!$B$12,"")</f>
        <v>0.4588040824392301</v>
      </c>
      <c r="BT38" s="239">
        <f>IF($AV38&lt;&gt;"",$AV38/'Elements and ions'!$B$20,"")</f>
        <v>2.6451277932800145E-2</v>
      </c>
      <c r="BU38" s="239">
        <f>IF($AW38&lt;&gt;"",$AW38/'Elements and ions'!$B$21, "")</f>
        <v>2.2613952792055492</v>
      </c>
      <c r="BV38" s="240">
        <f>IF($AX38&lt;&gt;"",$AX38/'Elements and ions'!$B$13, "")</f>
        <v>1.3627813207159021</v>
      </c>
      <c r="BW38" s="238">
        <f>IF($AY38&lt;&gt;"",$AY38/'Elements and ions'!$G$3,"")</f>
        <v>7.8568666684160888</v>
      </c>
      <c r="BX38" s="239">
        <f>IF($AZ38&lt;&gt;"",$AZ38/'Elements and ions'!$B$18,"")</f>
        <v>0.44027303754266206</v>
      </c>
      <c r="BY38" s="239">
        <f>IF($BA38&lt;&gt;"",$BA38/'Elements and ions'!$G$7,"")</f>
        <v>2.7280102056450376E-2</v>
      </c>
      <c r="BZ38" s="241">
        <f>IF($BB38&lt;&gt;"",$BB38/'Elements and ions'!$G$5,"")</f>
        <v>0.17101764890810783</v>
      </c>
      <c r="CA38" s="91">
        <f t="shared" si="67"/>
        <v>9.3325430079699073E-5</v>
      </c>
      <c r="CB38" s="163" t="str">
        <f>IF($BD38&lt;&gt;"",$BD38/'Elements and ions'!$B$14,"")</f>
        <v/>
      </c>
      <c r="CC38" s="89" t="str">
        <f>IF($BE38&lt;&gt;"",$BE38/'Elements and ions'!$B$27, "")</f>
        <v/>
      </c>
      <c r="CD38" s="249" t="str">
        <f>IF($BF38&lt;&gt;"",$BF38/'Elements and ions'!$B$26,"")</f>
        <v/>
      </c>
      <c r="CE38" s="250">
        <f>IF($BG38&lt;&gt;"",$BG38/'Elements and ions'!$G$6,"")</f>
        <v>0</v>
      </c>
      <c r="CF38" s="91" t="str">
        <f>IF($BH38&lt;&gt;"",$BH38/'Elements and ions'!$G$15,"")</f>
        <v/>
      </c>
      <c r="CG38" s="89" t="str">
        <f>IF($BI38&lt;&gt;"",$BI38/'Elements and ions'!$G$16,"")</f>
        <v/>
      </c>
      <c r="CH38" s="90">
        <f>IF($BJ38&lt;&gt;"",$BJ38/'Elements and ions'!$G$2,"")</f>
        <v>1.4630170357732888</v>
      </c>
      <c r="CI38" s="91" t="str">
        <f>IF($BK38&lt;&gt;"",$BK38/'Elements and ions'!$B$15, "")</f>
        <v/>
      </c>
      <c r="CJ38" s="88" t="str">
        <f>IF($BL38&lt;&gt;"", $BL38/'Elements and ions'!$G$17,"")</f>
        <v/>
      </c>
      <c r="CK38" s="89">
        <f t="shared" si="68"/>
        <v>1.0715193052376053E-4</v>
      </c>
      <c r="CL38" s="163" t="str">
        <f>IF($BN38&lt;&gt;"", $BN38/'Elements and ions'!$G$19,"")</f>
        <v/>
      </c>
      <c r="CM38" s="89">
        <f>IF($BO38&lt;&gt;"",$BO38/'Elements and ions'!$G$4,"")</f>
        <v>4.219387220781053E-3</v>
      </c>
      <c r="CN38" s="89">
        <f>IF($BP38&lt;&gt;"",$BP38/'Elements and ions'!$B$10,"")</f>
        <v>1.491177953313466E-2</v>
      </c>
      <c r="CO38" s="104">
        <f>IF($BQ38&lt;&gt;"",$BQ38/'Elements and ions'!$G$18,"")</f>
        <v>0</v>
      </c>
      <c r="CP38" s="242"/>
      <c r="CQ38" s="238">
        <f t="shared" si="557"/>
        <v>4.5880408243923008E-4</v>
      </c>
      <c r="CR38" s="239">
        <f t="shared" si="558"/>
        <v>2.6451277932800145E-5</v>
      </c>
      <c r="CS38" s="239">
        <f t="shared" si="559"/>
        <v>2.2613952792055491E-3</v>
      </c>
      <c r="CT38" s="241">
        <f t="shared" si="560"/>
        <v>1.3627813207159022E-3</v>
      </c>
      <c r="CU38" s="238">
        <f t="shared" si="561"/>
        <v>7.8568666684160886E-3</v>
      </c>
      <c r="CV38" s="239">
        <f t="shared" si="562"/>
        <v>4.4027303754266204E-4</v>
      </c>
      <c r="CW38" s="239">
        <f t="shared" si="563"/>
        <v>2.7280102056450377E-5</v>
      </c>
      <c r="CX38" s="241">
        <f t="shared" si="564"/>
        <v>1.7101764890810784E-4</v>
      </c>
      <c r="CY38" s="258">
        <f t="shared" si="98"/>
        <v>9.3325430079699072E-8</v>
      </c>
      <c r="CZ38" s="259" t="str">
        <f t="shared" si="565"/>
        <v/>
      </c>
      <c r="DA38" s="260" t="str">
        <f t="shared" si="566"/>
        <v/>
      </c>
      <c r="DB38" s="261" t="str">
        <f t="shared" si="567"/>
        <v/>
      </c>
      <c r="DC38" s="262">
        <f t="shared" si="568"/>
        <v>0</v>
      </c>
      <c r="DD38" s="263" t="str">
        <f t="shared" si="569"/>
        <v/>
      </c>
      <c r="DE38" s="259" t="str">
        <f t="shared" si="570"/>
        <v/>
      </c>
      <c r="DF38" s="260">
        <f t="shared" si="571"/>
        <v>1.4630170357732889E-3</v>
      </c>
      <c r="DG38" s="260" t="str">
        <f t="shared" si="572"/>
        <v/>
      </c>
      <c r="DH38" s="264" t="str">
        <f t="shared" si="573"/>
        <v/>
      </c>
      <c r="DI38" s="258">
        <f t="shared" si="108"/>
        <v>1.0715193052376054E-7</v>
      </c>
      <c r="DJ38" s="260" t="str">
        <f t="shared" si="574"/>
        <v/>
      </c>
      <c r="DK38" s="260">
        <f t="shared" si="575"/>
        <v>4.2193872207810529E-6</v>
      </c>
      <c r="DL38" s="260">
        <f t="shared" si="576"/>
        <v>1.4911779533134659E-5</v>
      </c>
      <c r="DM38" s="265">
        <f t="shared" si="577"/>
        <v>0</v>
      </c>
      <c r="DN38" s="242"/>
      <c r="DO38" s="238">
        <f t="shared" si="578"/>
        <v>0.4588040824392301</v>
      </c>
      <c r="DP38" s="239">
        <f t="shared" si="579"/>
        <v>2.6451277932800145E-2</v>
      </c>
      <c r="DQ38" s="239">
        <f t="shared" si="580"/>
        <v>4.5227905584110983</v>
      </c>
      <c r="DR38" s="241">
        <f t="shared" si="581"/>
        <v>2.7255626414318042</v>
      </c>
      <c r="DS38" s="238">
        <f t="shared" si="582"/>
        <v>-7.8568666684160888</v>
      </c>
      <c r="DT38" s="239">
        <f t="shared" si="583"/>
        <v>-0.44027303754266206</v>
      </c>
      <c r="DU38" s="239">
        <f t="shared" si="584"/>
        <v>-2.7280102056450376E-2</v>
      </c>
      <c r="DV38" s="241">
        <f t="shared" si="585"/>
        <v>-0.34203529781621567</v>
      </c>
      <c r="DW38" s="91">
        <f t="shared" si="113"/>
        <v>9.3325430079699073E-5</v>
      </c>
      <c r="DX38" s="89">
        <f t="shared" si="586"/>
        <v>0</v>
      </c>
      <c r="DY38" s="89">
        <f t="shared" si="587"/>
        <v>0</v>
      </c>
      <c r="DZ38" s="89">
        <f t="shared" si="588"/>
        <v>0</v>
      </c>
      <c r="EA38" s="90">
        <f t="shared" si="589"/>
        <v>0</v>
      </c>
      <c r="EB38" s="91">
        <f t="shared" si="118"/>
        <v>-1.0715193052376053E-4</v>
      </c>
      <c r="EC38" s="89">
        <f t="shared" si="590"/>
        <v>0</v>
      </c>
      <c r="ED38" s="89">
        <f t="shared" si="591"/>
        <v>-8.4387744415621059E-3</v>
      </c>
      <c r="EE38" s="89">
        <f t="shared" si="592"/>
        <v>-1.491177953313466E-2</v>
      </c>
      <c r="EF38" s="90">
        <f t="shared" si="593"/>
        <v>0</v>
      </c>
      <c r="EG38" s="242"/>
      <c r="EH38" s="245">
        <f t="shared" si="594"/>
        <v>7.7337018856450124</v>
      </c>
      <c r="EI38" s="246">
        <f t="shared" si="595"/>
        <v>-8.6899128117366349</v>
      </c>
      <c r="EJ38" s="198">
        <f t="shared" si="596"/>
        <v>-5.8221709636433898</v>
      </c>
      <c r="EK38" s="198">
        <f t="shared" si="597"/>
        <v>1.9593070469278419E-2</v>
      </c>
      <c r="EL38" s="101">
        <f>IF(AND(CS38&lt;&gt;"",DK38&lt;&gt;""),LOG(CS38*DK38/Minerals!$C$6),"")</f>
        <v>0.45979787064273925</v>
      </c>
      <c r="EM38" s="94">
        <f>IF(AND(CS38&lt;&gt;"",DK38&lt;&gt;""),LOG(CS38*DK38/Minerals!$C$5),"")</f>
        <v>0.32931834128652154</v>
      </c>
      <c r="EN38" s="94">
        <f>IF(AND(CS38&lt;&gt;"",DL38&lt;&gt;""),LOG(CS38*DL38^2/Minerals!$C$2),"")</f>
        <v>-1.7286396260848185</v>
      </c>
      <c r="EO38" s="94">
        <f>IF(AND(CS38&lt;&gt;"",CX38&lt;&gt;""),LOG($CS38*$CX38/Minerals!$C$3),"")</f>
        <v>-1.8126022222381408</v>
      </c>
      <c r="EP38" s="95">
        <f>IF(AND(CS38&lt;&gt;"",CX38&lt;&gt;""),LOG($CS38*$CX38/Minerals!$C$4),"")</f>
        <v>-2.0525867337040431</v>
      </c>
      <c r="EQ38" s="199"/>
      <c r="ER38" s="101">
        <f t="shared" si="621"/>
        <v>0.86817247734634695</v>
      </c>
      <c r="ES38" s="94">
        <f t="shared" si="621"/>
        <v>0.86817247734634695</v>
      </c>
      <c r="ET38" s="94">
        <f t="shared" si="622"/>
        <v>0.56809903971558262</v>
      </c>
      <c r="EU38" s="94">
        <f t="shared" si="622"/>
        <v>0.56809903971558262</v>
      </c>
      <c r="EV38" s="95">
        <f t="shared" si="622"/>
        <v>0.56809903971558262</v>
      </c>
      <c r="EW38" s="101">
        <f t="shared" si="623"/>
        <v>0.86817247734634695</v>
      </c>
      <c r="EX38" s="94">
        <f t="shared" si="31"/>
        <v>0.56809903971558262</v>
      </c>
      <c r="EY38" s="94">
        <f t="shared" si="623"/>
        <v>0.86817247734634695</v>
      </c>
      <c r="EZ38" s="94">
        <f t="shared" si="623"/>
        <v>0.86817247734634695</v>
      </c>
      <c r="FA38" s="94">
        <f t="shared" si="165"/>
        <v>0.86817247734634695</v>
      </c>
      <c r="FB38" s="95">
        <f t="shared" si="32"/>
        <v>0.56809903971558262</v>
      </c>
      <c r="FC38" s="199"/>
      <c r="FD38" s="101">
        <f t="shared" si="598"/>
        <v>3.9832107686788395E-4</v>
      </c>
      <c r="FE38" s="94">
        <f t="shared" si="599"/>
        <v>2.2964271491895862E-5</v>
      </c>
      <c r="FF38" s="94">
        <f t="shared" si="600"/>
        <v>1.2846964865340243E-3</v>
      </c>
      <c r="FG38" s="94">
        <f t="shared" si="601"/>
        <v>7.7419475964103743E-4</v>
      </c>
      <c r="FH38" s="95" t="str">
        <f t="shared" si="602"/>
        <v/>
      </c>
      <c r="FI38" s="101">
        <f t="shared" si="603"/>
        <v>6.821115399698735E-3</v>
      </c>
      <c r="FJ38" s="94">
        <f t="shared" si="604"/>
        <v>2.3970298283139171E-6</v>
      </c>
      <c r="FK38" s="94">
        <f t="shared" si="605"/>
        <v>3.8223293371221414E-4</v>
      </c>
      <c r="FL38" s="94">
        <f t="shared" si="606"/>
        <v>2.3683833784609698E-5</v>
      </c>
      <c r="FM38" s="94">
        <f t="shared" si="607"/>
        <v>1.294599657892407E-5</v>
      </c>
      <c r="FN38" s="95">
        <f t="shared" si="608"/>
        <v>9.7154962119112717E-5</v>
      </c>
      <c r="FO38" s="199"/>
      <c r="FP38" s="101">
        <f>IF(EL38&lt;&gt;"",LOG(FF38*FJ38/Minerals!$C$6),"")</f>
        <v>-3.1354019018114118E-2</v>
      </c>
      <c r="FQ38" s="94">
        <f>IF(EL38&lt;&gt;"",LOG(FF38*FJ38/Minerals!$C$5),"")</f>
        <v>-0.16183354837433178</v>
      </c>
      <c r="FR38" s="94">
        <f>IF(EN38&lt;&gt;"",LOG(FF38*FM38^2/Minerals!$C$2),"")</f>
        <v>-2.0970035433304584</v>
      </c>
      <c r="FS38" s="94">
        <f>IF(EO38&lt;&gt;"",LOG($FF38*$FN38/Minerals!$C$3),"")</f>
        <v>-2.3037541118989942</v>
      </c>
      <c r="FT38" s="95">
        <f>IF(EP38&lt;&gt;"",LOG($FF38*$FN38/Minerals!$C$4),"")</f>
        <v>-2.5437386233648964</v>
      </c>
      <c r="FU38" s="96"/>
      <c r="FV38" s="101">
        <f>IF(FP38&lt;&gt;"",LOG(FF38*FJ38/(EXP(-1*Minerals!$E$6/'Other Constants'!$B$2*(1/(273.15+'ppm-mgL-1'!$D38)-1/298.15)+LN(Minerals!$C$6)))),"")</f>
        <v>0.66644685910906165</v>
      </c>
      <c r="FW38" s="94">
        <f>IF(FP38&lt;&gt;"",LOG(FF38*FJ38/(EXP(-1*Minerals!$E$5/'Other Constants'!$B$2*(1/(273.15+'ppm-mgL-1'!$D38)-1/298.15)+LN(Minerals!$C$5)))),"")</f>
        <v>0.5360304130474236</v>
      </c>
      <c r="FX38" s="94">
        <f>IF(FR38&lt;&gt;"",LOG(FF38*FM38^2/(EXP(-1*Minerals!$E$2/'Other Constants'!$B$2*(1/(273.15+'ppm-mgL-1'!$D38)-1/298.15)+LN(Minerals!$C$2)))),"")</f>
        <v>-2.126505497429402</v>
      </c>
      <c r="FY38" s="94">
        <f>IF(FS38&lt;&gt;"",LOG($FF38*$FN38/(EXP(-1*Minerals!$E$3/'Other Constants'!$B$2*(1/(273.15+'ppm-mgL-1'!$D38)-1/298.15)+LN(Minerals!$C$3)))),"")</f>
        <v>-2.9052827645974992</v>
      </c>
      <c r="FZ38" s="95">
        <f>IF(FT38&lt;&gt;"",LOG($FF38*$FN38/(EXP(-1*Minerals!$E$4/'Other Constants'!$B$2*(1/(273.15+'ppm-mgL-1'!$D38)-1/298.15)+LN(Minerals!$C$4)))),"")</f>
        <v>-2.5265063700619144</v>
      </c>
      <c r="GA38" s="96"/>
      <c r="GB38" s="96"/>
      <c r="GC38" s="101">
        <f>10^(-1825000*(79.755*EXP(-0.0046*($D38-20))*($D38+273.15))^-1.5*$EK38^0.5/(1+'Elements and ions'!$D$12*$EK38^0.5/(2*(79.755*EXP(-0.0046*($D38-20))*($D38+273.15))^0.5)))</f>
        <v>0.86872036234091088</v>
      </c>
      <c r="GD38" s="94">
        <f>10^(-1825000*(79.755*EXP(-0.0046*($D38-20))*($D38+273.15))^-1.5*$EK38^0.5/(1+'Elements and ions'!$D$20*$EK38^0.5/(2*(79.755*EXP(-0.0046*($D38-20))*($D38+273.15))^0.5)))</f>
        <v>0.86379594000077953</v>
      </c>
      <c r="GE38" s="94">
        <f>10^(-1825000*(79.755*EXP(-0.0046*($D38-20))*($D38+273.15))^-1.5*4*$EK38^0.5/(1+'Elements and ions'!$D$21*$EK38^0.5/(2*(79.755*EXP(-0.0046*($D38-20))*($D38+273.15))^0.5)))</f>
        <v>0.59311107696509657</v>
      </c>
      <c r="GF38" s="94">
        <f>10^(-1825000*(79.755*EXP(-0.0046*($D38-20))*($D38+273.15))^-1.5*4*$EK38^0.5/(1+'Elements and ions'!$D$13*$EK38^0.5/(2*(79.755*EXP(-0.0046*($D38-20))*($D38+273.15))^0.5)))</f>
        <v>0.61430499050310061</v>
      </c>
      <c r="GG38" s="95">
        <f>10^(-1825000*(79.755*EXP(-0.0046*($D38-20))*($D38+273.15))^-1.5*4*$EK38^0.5/(1+'Elements and ions'!$D$27*$EK38^0.5/(2*(79.755*EXP(-0.0046*($D38-20))*($D38+273.15))^0.5)))</f>
        <v>0.59311107696509657</v>
      </c>
      <c r="GH38" s="101">
        <f>10^(-1825000*(79.755*EXP(-0.0046*($D38-20))*($D38+273.15))^-1.5*$EK38^0.5/(1+'Elements and ions'!$G$3*$EK38^0.5/(2*(79.755*EXP(-0.0046*($D38-20))*($D38+273.15))^0.5)))</f>
        <v>0.85038743659409</v>
      </c>
      <c r="GI38" s="94">
        <f>10^(-1825000*(79.755*EXP(-0.0046*($D38-20))*($D38+273.15))^-1.5*4*$EK38^0.5/(1+'Elements and ions'!$G$4*$EK38^0.5/(2*(79.755*EXP(-0.0046*($D38-20))*($D38+273.15))^0.5)))</f>
        <v>0.5228058201125203</v>
      </c>
      <c r="GJ38" s="94">
        <f>10^(-1825000*(79.755*EXP(-0.0046*($D38-20))*($D38+273.15))^-1.5*$EK38^0.5/(1+'Elements and ions'!$D$18*$EK38^0.5/(2*(79.755*EXP(-0.0046*($D38-20))*($D38+273.15))^0.5)))</f>
        <v>0.86379594000077953</v>
      </c>
      <c r="GK38" s="94">
        <f>10^(-1825000*(79.755*EXP(-0.0046*($D38-20))*($D38+273.15))^-1.5*$EK38^0.5/(1+'Elements and ions'!$I$7*$EK38^0.5/(2*(79.755*EXP(-0.0046*($D38-20))*($D38+273.15))^0.5)))</f>
        <v>0.86379594000077953</v>
      </c>
      <c r="GL38" s="94">
        <f>10^(-1825000*(79.755*EXP(-0.0046*($D38-20))*($D38+273.15))^-1.5*$EK38^0.5/(1+'Elements and ions'!$D$10*$EK38^0.5/(2*(79.755*EXP(-0.0046*($D38-20))*($D38+273.15))^0.5)))</f>
        <v>0.86630339727048233</v>
      </c>
      <c r="GM38" s="95">
        <f>10^(-1825000*(79.755*EXP(-0.0046*($D38-20))*($D38+273.15))^-1.5*4*$EK38^0.5/(1+'Elements and ions'!$I$5*$EK38^0.5/(2*(79.755*EXP(-0.0046*($D38-20))*($D38+273.15))^0.5)))</f>
        <v>0.5695344581788826</v>
      </c>
      <c r="GN38" s="96"/>
      <c r="GO38" s="101">
        <f t="shared" si="609"/>
        <v>3.9857244874009709E-4</v>
      </c>
      <c r="GP38" s="94">
        <f t="shared" si="610"/>
        <v>2.2848506486184978E-5</v>
      </c>
      <c r="GQ38" s="94">
        <f t="shared" si="611"/>
        <v>1.3412585894933885E-3</v>
      </c>
      <c r="GR38" s="94">
        <f t="shared" si="612"/>
        <v>8.3716336628018514E-4</v>
      </c>
      <c r="GS38" s="95" t="str">
        <f t="shared" si="613"/>
        <v/>
      </c>
      <c r="GT38" s="101">
        <f t="shared" si="614"/>
        <v>6.6813807058159055E-3</v>
      </c>
      <c r="GU38" s="94">
        <f t="shared" si="615"/>
        <v>2.2059201963327263E-6</v>
      </c>
      <c r="GV38" s="94">
        <f t="shared" si="616"/>
        <v>3.8030606232116224E-4</v>
      </c>
      <c r="GW38" s="94">
        <f t="shared" si="617"/>
        <v>2.3564441399168752E-5</v>
      </c>
      <c r="GX38" s="94">
        <f t="shared" si="618"/>
        <v>1.2918125268903002E-5</v>
      </c>
      <c r="GY38" s="102">
        <f t="shared" si="619"/>
        <v>9.7400444009905566E-5</v>
      </c>
      <c r="GZ38" s="199"/>
      <c r="HA38" s="92">
        <f>IF(AND(GQ38&lt;&gt;"",GU38&lt;&gt;""),LOG(GQ38*GU38/Minerals!$C$6),"")</f>
        <v>-4.8725680648469917E-2</v>
      </c>
      <c r="HB38" s="94">
        <f>IF(AND(GQ38&lt;&gt;"",GU38&lt;&gt;""),LOG(GQ38*GU38/Minerals!$C$5),"")</f>
        <v>-0.17920521000468767</v>
      </c>
      <c r="HC38" s="94">
        <f>IF(AND(GQ38&lt;&gt;"",GX38&lt;&gt;""),LOG(GQ38*GX38^2/Minerals!$C$2),"")</f>
        <v>-2.0801635560372502</v>
      </c>
      <c r="HD38" s="94">
        <f>IF(AND(GQ38&lt;&gt;"",GY38&lt;&gt;""),LOG($GQ38*$GY38/Minerals!$C$3),"")</f>
        <v>-2.2839461821775924</v>
      </c>
      <c r="HE38" s="102">
        <f>IF(AND(GQ38&lt;&gt;"",GY38&lt;&gt;""),LOG($GQ38*$GY38/Minerals!$C$3),"")</f>
        <v>-2.2839461821775924</v>
      </c>
      <c r="HF38" s="199"/>
      <c r="HG38" s="92">
        <f>IF(HA38&lt;&gt;"",LOG(GQ38*GU38/(EXP(-1*Minerals!$E$6/'Other Constants'!$B$2*(1/(273.15+'ppm-mgL-1'!$D38)-1/298.15)+LN(Minerals!$C$6)))),"")</f>
        <v>0.64907519747870579</v>
      </c>
      <c r="HH38" s="94">
        <f>IF(HA38&lt;&gt;"",LOG(GQ38*GU38/(EXP(-1*Minerals!$E$5/'Other Constants'!$B$2*(1/(273.15+'ppm-mgL-1'!$D38)-1/298.15)+LN(Minerals!$C$5)))),"")</f>
        <v>0.51865875141706774</v>
      </c>
      <c r="HI38" s="94">
        <f>IF(HC38&lt;&gt;"",LOG(GQ38*GX38^2/(EXP(-1*Minerals!$E$2/'Other Constants'!$B$2*(1/(273.15+'ppm-mgL-1'!$D38)-1/298.15)+LN(Minerals!$C$2)))),"")</f>
        <v>-2.1096655101361939</v>
      </c>
      <c r="HJ38" s="94">
        <f>IF(HD38&lt;&gt;"",LOG($FF38*$FN38/(EXP(-1*Minerals!$E$3/'Other Constants'!$B$2*(1/(273.15+'ppm-mgL-1'!$D38)-1/298.15)+LN(Minerals!$C$3)))),"")</f>
        <v>-2.9052827645974992</v>
      </c>
      <c r="HK38" s="95">
        <f>IF(HE38&lt;&gt;"",LOG($FF38*$FN38/(EXP(-1*Minerals!$E$4/'Other Constants'!$B$2*(1/(273.15+'ppm-mgL-1'!$D38)-1/298.15)+LN(Minerals!$C$4)))),"")</f>
        <v>-2.5265063700619144</v>
      </c>
      <c r="HL38" s="199"/>
      <c r="HM38" s="199"/>
    </row>
    <row r="39" spans="1:221" x14ac:dyDescent="0.25">
      <c r="A39" s="267" t="str">
        <f>'WC samples'!B10</f>
        <v>WC Spring</v>
      </c>
      <c r="C39" s="266">
        <f>'WC samples'!A10</f>
        <v>41530</v>
      </c>
      <c r="D39" s="4">
        <f>'WC samples'!I10</f>
        <v>27.2</v>
      </c>
      <c r="E39" s="4">
        <f>'WC samples'!F10</f>
        <v>7.05</v>
      </c>
      <c r="AD39" s="83">
        <f>IF(E39&lt;&gt;"",10^(-2*$E39)/(10^(-2*$E39)+10^(-$E39-pKa!$B$2)+(10^(-pKa!$B$2-pKa!$C$2))),"")</f>
        <v>0.15090750803920094</v>
      </c>
      <c r="AE39" s="84">
        <f>IF(E39&lt;&gt;"",10^(-$E39-pKa!$B$2)/(10^(-2*$E39)+10^(-$E39-pKa!$B$2)+10^(-pKa!$B$2-pKa!$C$2)),"")</f>
        <v>0.84861528051937507</v>
      </c>
      <c r="AF39" s="212">
        <f>IF(E39&lt;&gt;"",10^(-pKa!$B$2-pKa!$C$2)/(10^(-2*$E39)+10^(-$E39-pKa!$B$2)+10^(-pKa!$B$2-pKa!$C$2)),"")</f>
        <v>4.7721144142404311E-4</v>
      </c>
      <c r="AG39" s="152"/>
      <c r="AH39" s="222">
        <f>IF($AK39&lt;&gt;"",$AK39/'Elements and ions'!$G$3,IF($E39="","",""))</f>
        <v>7.6816498527291817</v>
      </c>
      <c r="AI39" s="85">
        <f t="shared" si="620"/>
        <v>9.0418123420481777E-3</v>
      </c>
      <c r="AJ39" s="84">
        <f>IF(AI39&lt;&gt;"",AI39*1000*'Elements and ions'!$B$7,"")</f>
        <v>108.59849549663805</v>
      </c>
      <c r="AK39" s="99">
        <f>'WC samples'!H10</f>
        <v>468.71</v>
      </c>
      <c r="AL39" s="88">
        <f>IF($AK39&lt;&gt;"",$AK39/'Elements and ions'!$G$3*Minerals!$B$6/2,IF($E39="","","Enter Alk(HCO3-)"))</f>
        <v>384.41626032256016</v>
      </c>
      <c r="AM39" s="199"/>
      <c r="AN39" s="101">
        <f t="shared" si="491"/>
        <v>1.3644773686965817E-3</v>
      </c>
      <c r="AO39" s="94">
        <f t="shared" si="492"/>
        <v>7.6730201170507623E-3</v>
      </c>
      <c r="AP39" s="95">
        <f t="shared" si="493"/>
        <v>4.3148563008345141E-6</v>
      </c>
      <c r="AQ39" s="199"/>
      <c r="AR39" s="199"/>
      <c r="AS39" s="83">
        <f t="shared" si="66"/>
        <v>4.0131687314605342</v>
      </c>
      <c r="AT39" s="83">
        <f>IF(AN39&lt;&gt;"",AN39/'Henrys law constants'!$B$7*1000000,"")</f>
        <v>40131.68731460534</v>
      </c>
      <c r="AU39" s="268">
        <f>'WC samples'!K10</f>
        <v>10.777699999999999</v>
      </c>
      <c r="AV39" s="269">
        <f>'WC samples'!M10</f>
        <v>1.1884999999999999</v>
      </c>
      <c r="AW39" s="269">
        <f>'WC samples'!O10</f>
        <v>103.554</v>
      </c>
      <c r="AX39" s="269">
        <f>'WC samples'!N10</f>
        <v>33.011400000000002</v>
      </c>
      <c r="AY39" s="226">
        <f>AO39*'Elements and ions'!$G$3*1000</f>
        <v>468.18344079886759</v>
      </c>
      <c r="AZ39" s="269">
        <f>'WC samples'!Q10</f>
        <v>15.900600000000001</v>
      </c>
      <c r="BA39" s="269">
        <f>'WC samples'!T10</f>
        <v>1.7060999999999999</v>
      </c>
      <c r="BB39" s="270">
        <f>'WC samples'!V10</f>
        <v>16.932300000000001</v>
      </c>
      <c r="BC39" s="222">
        <f>IF($E39&lt;&gt;"",10^-$E39*'Elements and ions'!B40*1000,"")</f>
        <v>0</v>
      </c>
      <c r="BE39" s="6"/>
      <c r="BF39" s="6"/>
      <c r="BG39" s="270">
        <f>'WC samples'!L10</f>
        <v>-0.12920000000000001</v>
      </c>
      <c r="BH39" s="3"/>
      <c r="BJ39" s="92">
        <f>IF($AN39&lt;&gt;"",$AN39*'Elements and ions'!$G$2*1000,"")</f>
        <v>84.631408608384362</v>
      </c>
      <c r="BK39" s="229"/>
      <c r="BL39" s="230"/>
      <c r="BM39" s="101">
        <f>IF($E39&lt;&gt;"",(10^-14+$E39)*'Elements and ions'!$G$8,"")</f>
        <v>119.90174700000016</v>
      </c>
      <c r="BO39" s="102">
        <f>IF($AP39&lt;&gt;"",$AP39*'Elements and ions'!$G$4*1000,"")</f>
        <v>0.25892978027114827</v>
      </c>
      <c r="BP39" s="269">
        <f>'WC samples'!P10</f>
        <v>0.30509999999999998</v>
      </c>
      <c r="BQ39" s="270">
        <f>'WC samples'!R10</f>
        <v>0</v>
      </c>
      <c r="BR39" s="195"/>
      <c r="BS39" s="238">
        <f>IF($AU39&lt;&gt;"",$AU39/'Elements and ions'!$B$12,"")</f>
        <v>0.46880418279691405</v>
      </c>
      <c r="BT39" s="239">
        <f>IF($AV39&lt;&gt;"",$AV39/'Elements and ions'!$B$20,"")</f>
        <v>3.0397741078256595E-2</v>
      </c>
      <c r="BU39" s="239">
        <f>IF($AW39&lt;&gt;"",$AW39/'Elements and ions'!$B$21, "")</f>
        <v>2.5838115674434849</v>
      </c>
      <c r="BV39" s="240">
        <f>IF($AX39&lt;&gt;"",$AX39/'Elements and ions'!$B$13, "")</f>
        <v>1.3582143591853528</v>
      </c>
      <c r="BW39" s="238">
        <f>IF($AY39&lt;&gt;"",$AY39/'Elements and ions'!$G$3,"")</f>
        <v>7.6730201170507621</v>
      </c>
      <c r="BX39" s="239">
        <f>IF($AZ39&lt;&gt;"",$AZ39/'Elements and ions'!$B$18,"")</f>
        <v>0.4484980114517812</v>
      </c>
      <c r="BY39" s="239">
        <f>IF($BA39&lt;&gt;"",$BA39/'Elements and ions'!$G$7,"")</f>
        <v>2.7515567318066796E-2</v>
      </c>
      <c r="BZ39" s="241">
        <f>IF($BB39&lt;&gt;"",$BB39/'Elements and ions'!$G$5,"")</f>
        <v>0.17626318671366381</v>
      </c>
      <c r="CA39" s="91">
        <f t="shared" si="67"/>
        <v>8.9125093813374534E-5</v>
      </c>
      <c r="CB39" s="163" t="str">
        <f>IF($BD39&lt;&gt;"",$BD39/'Elements and ions'!$B$14,"")</f>
        <v/>
      </c>
      <c r="CC39" s="89" t="str">
        <f>IF($BE39&lt;&gt;"",$BE39/'Elements and ions'!$B$27, "")</f>
        <v/>
      </c>
      <c r="CD39" s="249" t="str">
        <f>IF($BF39&lt;&gt;"",$BF39/'Elements and ions'!$B$26,"")</f>
        <v/>
      </c>
      <c r="CE39" s="250">
        <f>IF($BG39&lt;&gt;"",$BG39/'Elements and ions'!$G$6,"")</f>
        <v>-7.1624739584199544E-3</v>
      </c>
      <c r="CF39" s="91" t="str">
        <f>IF($BH39&lt;&gt;"",$BH39/'Elements and ions'!$G$15,"")</f>
        <v/>
      </c>
      <c r="CG39" s="89" t="str">
        <f>IF($BI39&lt;&gt;"",$BI39/'Elements and ions'!$G$16,"")</f>
        <v/>
      </c>
      <c r="CH39" s="90">
        <f>IF($BJ39&lt;&gt;"",$BJ39/'Elements and ions'!$G$2,"")</f>
        <v>1.3644773686965819</v>
      </c>
      <c r="CI39" s="91" t="str">
        <f>IF($BK39&lt;&gt;"",$BK39/'Elements and ions'!$B$15, "")</f>
        <v/>
      </c>
      <c r="CJ39" s="88" t="str">
        <f>IF($BL39&lt;&gt;"", $BL39/'Elements and ions'!$G$17,"")</f>
        <v/>
      </c>
      <c r="CK39" s="89">
        <f t="shared" si="68"/>
        <v>1.1220184543019621E-4</v>
      </c>
      <c r="CL39" s="163" t="str">
        <f>IF($BN39&lt;&gt;"", $BN39/'Elements and ions'!$G$19,"")</f>
        <v/>
      </c>
      <c r="CM39" s="89">
        <f>IF($BO39&lt;&gt;"",$BO39/'Elements and ions'!$G$4,"")</f>
        <v>4.3148563008345141E-3</v>
      </c>
      <c r="CN39" s="89">
        <f>IF($BP39&lt;&gt;"",$BP39/'Elements and ions'!$B$10,"")</f>
        <v>1.6059244389549539E-2</v>
      </c>
      <c r="CO39" s="104">
        <f>IF($BQ39&lt;&gt;"",$BQ39/'Elements and ions'!$G$18,"")</f>
        <v>0</v>
      </c>
      <c r="CP39" s="242"/>
      <c r="CQ39" s="238">
        <f t="shared" si="557"/>
        <v>4.6880418279691407E-4</v>
      </c>
      <c r="CR39" s="239">
        <f t="shared" si="558"/>
        <v>3.0397741078256596E-5</v>
      </c>
      <c r="CS39" s="239">
        <f t="shared" si="559"/>
        <v>2.5838115674434851E-3</v>
      </c>
      <c r="CT39" s="241">
        <f t="shared" si="560"/>
        <v>1.3582143591853529E-3</v>
      </c>
      <c r="CU39" s="238">
        <f t="shared" si="561"/>
        <v>7.6730201170507623E-3</v>
      </c>
      <c r="CV39" s="239">
        <f t="shared" si="562"/>
        <v>4.4849801145178117E-4</v>
      </c>
      <c r="CW39" s="239">
        <f t="shared" si="563"/>
        <v>2.7515567318066795E-5</v>
      </c>
      <c r="CX39" s="241">
        <f t="shared" si="564"/>
        <v>1.7626318671366381E-4</v>
      </c>
      <c r="CY39" s="258">
        <f t="shared" si="98"/>
        <v>8.9125093813374537E-8</v>
      </c>
      <c r="CZ39" s="259" t="str">
        <f t="shared" si="565"/>
        <v/>
      </c>
      <c r="DA39" s="260" t="str">
        <f t="shared" si="566"/>
        <v/>
      </c>
      <c r="DB39" s="261" t="str">
        <f t="shared" si="567"/>
        <v/>
      </c>
      <c r="DC39" s="262">
        <f t="shared" si="568"/>
        <v>-7.1624739584199541E-6</v>
      </c>
      <c r="DD39" s="263" t="str">
        <f t="shared" si="569"/>
        <v/>
      </c>
      <c r="DE39" s="259" t="str">
        <f t="shared" si="570"/>
        <v/>
      </c>
      <c r="DF39" s="260">
        <f t="shared" si="571"/>
        <v>1.364477368696582E-3</v>
      </c>
      <c r="DG39" s="260" t="str">
        <f t="shared" si="572"/>
        <v/>
      </c>
      <c r="DH39" s="264" t="str">
        <f t="shared" si="573"/>
        <v/>
      </c>
      <c r="DI39" s="258">
        <f t="shared" si="108"/>
        <v>1.1220184543019621E-7</v>
      </c>
      <c r="DJ39" s="260" t="str">
        <f t="shared" si="574"/>
        <v/>
      </c>
      <c r="DK39" s="260">
        <f t="shared" si="575"/>
        <v>4.3148563008345141E-6</v>
      </c>
      <c r="DL39" s="260">
        <f t="shared" si="576"/>
        <v>1.6059244389549538E-5</v>
      </c>
      <c r="DM39" s="265">
        <f t="shared" si="577"/>
        <v>0</v>
      </c>
      <c r="DN39" s="242"/>
      <c r="DO39" s="238">
        <f t="shared" si="578"/>
        <v>0.46880418279691405</v>
      </c>
      <c r="DP39" s="239">
        <f t="shared" si="579"/>
        <v>3.0397741078256595E-2</v>
      </c>
      <c r="DQ39" s="239">
        <f t="shared" si="580"/>
        <v>5.1676231348869699</v>
      </c>
      <c r="DR39" s="241">
        <f t="shared" si="581"/>
        <v>2.7164287183707057</v>
      </c>
      <c r="DS39" s="238">
        <f t="shared" si="582"/>
        <v>-7.6730201170507621</v>
      </c>
      <c r="DT39" s="239">
        <f t="shared" si="583"/>
        <v>-0.4484980114517812</v>
      </c>
      <c r="DU39" s="239">
        <f t="shared" si="584"/>
        <v>-2.7515567318066796E-2</v>
      </c>
      <c r="DV39" s="241">
        <f t="shared" si="585"/>
        <v>-0.35252637342732762</v>
      </c>
      <c r="DW39" s="91">
        <f t="shared" si="113"/>
        <v>8.9125093813374534E-5</v>
      </c>
      <c r="DX39" s="89">
        <f t="shared" si="586"/>
        <v>0</v>
      </c>
      <c r="DY39" s="89">
        <f t="shared" si="587"/>
        <v>0</v>
      </c>
      <c r="DZ39" s="89">
        <f t="shared" si="588"/>
        <v>0</v>
      </c>
      <c r="EA39" s="90">
        <f t="shared" si="589"/>
        <v>-7.1624739584199544E-3</v>
      </c>
      <c r="EB39" s="91">
        <f t="shared" si="118"/>
        <v>-1.1220184543019621E-4</v>
      </c>
      <c r="EC39" s="89">
        <f t="shared" si="590"/>
        <v>0</v>
      </c>
      <c r="ED39" s="89">
        <f t="shared" si="591"/>
        <v>-8.6297126016690283E-3</v>
      </c>
      <c r="EE39" s="89">
        <f t="shared" si="592"/>
        <v>-1.6059244389549539E-2</v>
      </c>
      <c r="EF39" s="90">
        <f t="shared" si="593"/>
        <v>0</v>
      </c>
      <c r="EG39" s="242"/>
      <c r="EH39" s="245">
        <f t="shared" si="594"/>
        <v>8.3761804282682402</v>
      </c>
      <c r="EI39" s="246">
        <f t="shared" si="595"/>
        <v>-8.5263612280845873</v>
      </c>
      <c r="EJ39" s="198">
        <f t="shared" si="596"/>
        <v>-0.88851015941677391</v>
      </c>
      <c r="EK39" s="198">
        <f t="shared" si="597"/>
        <v>2.0805303885412674E-2</v>
      </c>
      <c r="EL39" s="101">
        <f>IF(AND(CS39&lt;&gt;"",DK39&lt;&gt;""),LOG(CS39*DK39/Minerals!$C$6),"")</f>
        <v>0.52739918124729357</v>
      </c>
      <c r="EM39" s="94">
        <f>IF(AND(CS39&lt;&gt;"",DK39&lt;&gt;""),LOG(CS39*DK39/Minerals!$C$5),"")</f>
        <v>0.39691965189107586</v>
      </c>
      <c r="EN39" s="94">
        <f>IF(AND(CS39&lt;&gt;"",DL39&lt;&gt;""),LOG(CS39*DL39^2/Minerals!$C$2),"")</f>
        <v>-1.6063640028683603</v>
      </c>
      <c r="EO39" s="94">
        <f>IF(AND(CS39&lt;&gt;"",CX39&lt;&gt;""),LOG($CS39*$CX39/Minerals!$C$3),"")</f>
        <v>-1.7415971792795537</v>
      </c>
      <c r="EP39" s="95">
        <f>IF(AND(CS39&lt;&gt;"",CX39&lt;&gt;""),LOG($CS39*$CX39/Minerals!$C$4),"")</f>
        <v>-1.9815816907454562</v>
      </c>
      <c r="EQ39" s="199"/>
      <c r="ER39" s="101">
        <f t="shared" si="621"/>
        <v>0.86491035686097206</v>
      </c>
      <c r="ES39" s="94">
        <f t="shared" si="621"/>
        <v>0.86491035686097206</v>
      </c>
      <c r="ET39" s="94">
        <f t="shared" si="622"/>
        <v>0.55960861329600209</v>
      </c>
      <c r="EU39" s="94">
        <f t="shared" si="622"/>
        <v>0.55960861329600209</v>
      </c>
      <c r="EV39" s="95">
        <f t="shared" si="622"/>
        <v>0.55960861329600209</v>
      </c>
      <c r="EW39" s="101">
        <f t="shared" si="623"/>
        <v>0.86491035686097206</v>
      </c>
      <c r="EX39" s="94">
        <f t="shared" si="31"/>
        <v>0.55960861329600209</v>
      </c>
      <c r="EY39" s="94">
        <f t="shared" si="623"/>
        <v>0.86491035686097206</v>
      </c>
      <c r="EZ39" s="94">
        <f t="shared" si="623"/>
        <v>0.86491035686097206</v>
      </c>
      <c r="FA39" s="94">
        <f t="shared" si="165"/>
        <v>0.86491035686097206</v>
      </c>
      <c r="FB39" s="95">
        <f t="shared" si="32"/>
        <v>0.55960861329600209</v>
      </c>
      <c r="FC39" s="199"/>
      <c r="FD39" s="101">
        <f t="shared" si="598"/>
        <v>4.0547359304079534E-4</v>
      </c>
      <c r="FE39" s="94">
        <f t="shared" si="599"/>
        <v>2.629132108376234E-5</v>
      </c>
      <c r="FF39" s="94">
        <f t="shared" si="600"/>
        <v>1.4459232082752183E-3</v>
      </c>
      <c r="FG39" s="94">
        <f t="shared" si="601"/>
        <v>7.6006845410243342E-4</v>
      </c>
      <c r="FH39" s="95" t="str">
        <f t="shared" si="602"/>
        <v/>
      </c>
      <c r="FI39" s="101">
        <f t="shared" si="603"/>
        <v>6.6364745676397927E-3</v>
      </c>
      <c r="FJ39" s="94">
        <f t="shared" si="604"/>
        <v>2.4146307510815197E-6</v>
      </c>
      <c r="FK39" s="94">
        <f t="shared" si="605"/>
        <v>3.8791057513619642E-4</v>
      </c>
      <c r="FL39" s="94">
        <f t="shared" si="606"/>
        <v>2.3798499148301252E-5</v>
      </c>
      <c r="FM39" s="94">
        <f t="shared" si="607"/>
        <v>1.3889806795882855E-5</v>
      </c>
      <c r="FN39" s="95">
        <f t="shared" si="608"/>
        <v>9.8638397491967699E-5</v>
      </c>
      <c r="FO39" s="199"/>
      <c r="FP39" s="101">
        <f>IF(EL39&lt;&gt;"",LOG(FF39*FJ39/Minerals!$C$6),"")</f>
        <v>2.316796200101506E-2</v>
      </c>
      <c r="FQ39" s="94">
        <f>IF(EL39&lt;&gt;"",LOG(FF39*FJ39/Minerals!$C$5),"")</f>
        <v>-0.10731156735520268</v>
      </c>
      <c r="FR39" s="94">
        <f>IF(EN39&lt;&gt;"",LOG(FF39*FM39^2/Minerals!$C$2),"")</f>
        <v>-1.9845374173030692</v>
      </c>
      <c r="FS39" s="94">
        <f>IF(EO39&lt;&gt;"",LOG($FF39*$FN39/Minerals!$C$3),"")</f>
        <v>-2.2458283985258323</v>
      </c>
      <c r="FT39" s="95">
        <f>IF(EP39&lt;&gt;"",LOG($FF39*$FN39/Minerals!$C$4),"")</f>
        <v>-2.485812909991735</v>
      </c>
      <c r="FU39" s="96"/>
      <c r="FV39" s="101">
        <f>IF(FP39&lt;&gt;"",LOG(FF39*FJ39/(EXP(-1*Minerals!$E$6/'Other Constants'!$B$2*(1/(273.15+'ppm-mgL-1'!$D39)-1/298.15)+LN(Minerals!$C$6)))),"")</f>
        <v>0.87489987008481152</v>
      </c>
      <c r="FW39" s="94">
        <f>IF(FP39&lt;&gt;"",LOG(FF39*FJ39/(EXP(-1*Minerals!$E$5/'Other Constants'!$B$2*(1/(273.15+'ppm-mgL-1'!$D39)-1/298.15)+LN(Minerals!$C$5)))),"")</f>
        <v>0.7444973398504714</v>
      </c>
      <c r="FX39" s="94">
        <f>IF(FR39&lt;&gt;"",LOG(FF39*FM39^2/(EXP(-1*Minerals!$E$2/'Other Constants'!$B$2*(1/(273.15+'ppm-mgL-1'!$D39)-1/298.15)+LN(Minerals!$C$2)))),"")</f>
        <v>-2.0205473399680178</v>
      </c>
      <c r="FY39" s="94">
        <f>IF(FS39&lt;&gt;"",LOG($FF39*$FN39/(EXP(-1*Minerals!$E$3/'Other Constants'!$B$2*(1/(273.15+'ppm-mgL-1'!$D39)-1/298.15)+LN(Minerals!$C$3)))),"")</f>
        <v>-2.9800509585562005</v>
      </c>
      <c r="FZ39" s="95">
        <f>IF(FT39&lt;&gt;"",LOG($FF39*$FN39/(EXP(-1*Minerals!$E$4/'Other Constants'!$B$2*(1/(273.15+'ppm-mgL-1'!$D39)-1/298.15)+LN(Minerals!$C$4)))),"")</f>
        <v>-2.464779316532058</v>
      </c>
      <c r="GA39" s="96"/>
      <c r="GB39" s="96"/>
      <c r="GC39" s="101">
        <f>10^(-1825000*(79.755*EXP(-0.0046*($D39-20))*($D39+273.15))^-1.5*$EK39^0.5/(1+'Elements and ions'!$D$12*$EK39^0.5/(2*(79.755*EXP(-0.0046*($D39-20))*($D39+273.15))^0.5)))</f>
        <v>0.86550397073964469</v>
      </c>
      <c r="GD39" s="94">
        <f>10^(-1825000*(79.755*EXP(-0.0046*($D39-20))*($D39+273.15))^-1.5*$EK39^0.5/(1+'Elements and ions'!$D$20*$EK39^0.5/(2*(79.755*EXP(-0.0046*($D39-20))*($D39+273.15))^0.5)))</f>
        <v>0.86033376542750761</v>
      </c>
      <c r="GE39" s="94">
        <f>10^(-1825000*(79.755*EXP(-0.0046*($D39-20))*($D39+273.15))^-1.5*4*$EK39^0.5/(1+'Elements and ions'!$D$21*$EK39^0.5/(2*(79.755*EXP(-0.0046*($D39-20))*($D39+273.15))^0.5)))</f>
        <v>0.58558407710845228</v>
      </c>
      <c r="GF39" s="94">
        <f>10^(-1825000*(79.755*EXP(-0.0046*($D39-20))*($D39+273.15))^-1.5*4*$EK39^0.5/(1+'Elements and ions'!$D$13*$EK39^0.5/(2*(79.755*EXP(-0.0046*($D39-20))*($D39+273.15))^0.5)))</f>
        <v>0.60751667487353367</v>
      </c>
      <c r="GG39" s="95">
        <f>10^(-1825000*(79.755*EXP(-0.0046*($D39-20))*($D39+273.15))^-1.5*4*$EK39^0.5/(1+'Elements and ions'!$D$27*$EK39^0.5/(2*(79.755*EXP(-0.0046*($D39-20))*($D39+273.15))^0.5)))</f>
        <v>0.58558407710845228</v>
      </c>
      <c r="GH39" s="101">
        <f>10^(-1825000*(79.755*EXP(-0.0046*($D39-20))*($D39+273.15))^-1.5*$EK39^0.5/(1+'Elements and ions'!$G$3*$EK39^0.5/(2*(79.755*EXP(-0.0046*($D39-20))*($D39+273.15))^0.5)))</f>
        <v>0.84620926470741709</v>
      </c>
      <c r="GI39" s="94">
        <f>10^(-1825000*(79.755*EXP(-0.0046*($D39-20))*($D39+273.15))^-1.5*4*$EK39^0.5/(1+'Elements and ions'!$G$4*$EK39^0.5/(2*(79.755*EXP(-0.0046*($D39-20))*($D39+273.15))^0.5)))</f>
        <v>0.51259741274756077</v>
      </c>
      <c r="GJ39" s="94">
        <f>10^(-1825000*(79.755*EXP(-0.0046*($D39-20))*($D39+273.15))^-1.5*$EK39^0.5/(1+'Elements and ions'!$D$18*$EK39^0.5/(2*(79.755*EXP(-0.0046*($D39-20))*($D39+273.15))^0.5)))</f>
        <v>0.86033376542750761</v>
      </c>
      <c r="GK39" s="94">
        <f>10^(-1825000*(79.755*EXP(-0.0046*($D39-20))*($D39+273.15))^-1.5*$EK39^0.5/(1+'Elements and ions'!$I$7*$EK39^0.5/(2*(79.755*EXP(-0.0046*($D39-20))*($D39+273.15))^0.5)))</f>
        <v>0.86033376542750761</v>
      </c>
      <c r="GL39" s="94">
        <f>10^(-1825000*(79.755*EXP(-0.0046*($D39-20))*($D39+273.15))^-1.5*$EK39^0.5/(1+'Elements and ions'!$D$10*$EK39^0.5/(2*(79.755*EXP(-0.0046*($D39-20))*($D39+273.15))^0.5)))</f>
        <v>0.86296752340783311</v>
      </c>
      <c r="GM39" s="95">
        <f>10^(-1825000*(79.755*EXP(-0.0046*($D39-20))*($D39+273.15))^-1.5*4*$EK39^0.5/(1+'Elements and ions'!$I$5*$EK39^0.5/(2*(79.755*EXP(-0.0046*($D39-20))*($D39+273.15))^0.5)))</f>
        <v>0.56114650023535384</v>
      </c>
      <c r="GN39" s="96"/>
      <c r="GO39" s="101">
        <f t="shared" si="609"/>
        <v>4.0575188171008335E-4</v>
      </c>
      <c r="GP39" s="94">
        <f t="shared" si="610"/>
        <v>2.6152203042346923E-5</v>
      </c>
      <c r="GQ39" s="94">
        <f t="shared" si="611"/>
        <v>1.5130389121435367E-3</v>
      </c>
      <c r="GR39" s="94">
        <f t="shared" si="612"/>
        <v>8.2513787125777283E-4</v>
      </c>
      <c r="GS39" s="95" t="str">
        <f t="shared" si="613"/>
        <v/>
      </c>
      <c r="GT39" s="101">
        <f t="shared" si="614"/>
        <v>6.4929807113347452E-3</v>
      </c>
      <c r="GU39" s="94">
        <f t="shared" si="615"/>
        <v>2.2117841761852825E-6</v>
      </c>
      <c r="GV39" s="94">
        <f t="shared" si="616"/>
        <v>3.8585798297906032E-4</v>
      </c>
      <c r="GW39" s="94">
        <f t="shared" si="617"/>
        <v>2.3672571638626472E-5</v>
      </c>
      <c r="GX39" s="94">
        <f t="shared" si="618"/>
        <v>1.3858606358650704E-5</v>
      </c>
      <c r="GY39" s="102">
        <f t="shared" si="619"/>
        <v>9.8909470344703165E-5</v>
      </c>
      <c r="GZ39" s="199"/>
      <c r="HA39" s="92">
        <f>IF(AND(GQ39&lt;&gt;"",GU39&lt;&gt;""),LOG(GQ39*GU39/Minerals!$C$6),"")</f>
        <v>4.7648501757214202E-3</v>
      </c>
      <c r="HB39" s="94">
        <f>IF(AND(GQ39&lt;&gt;"",GU39&lt;&gt;""),LOG(GQ39*GU39/Minerals!$C$5),"")</f>
        <v>-0.12571467918049631</v>
      </c>
      <c r="HC39" s="94">
        <f>IF(AND(GQ39&lt;&gt;"",GX39&lt;&gt;""),LOG(GQ39*GX39^2/Minerals!$C$2),"")</f>
        <v>-1.9667858398644451</v>
      </c>
      <c r="HD39" s="94">
        <f>IF(AND(GQ39&lt;&gt;"",GY39&lt;&gt;""),LOG($GQ39*$GY39/Minerals!$C$3),"")</f>
        <v>-2.2249316615240624</v>
      </c>
      <c r="HE39" s="102">
        <f>IF(AND(GQ39&lt;&gt;"",GY39&lt;&gt;""),LOG($GQ39*$GY39/Minerals!$C$3),"")</f>
        <v>-2.2249316615240624</v>
      </c>
      <c r="HF39" s="199"/>
      <c r="HG39" s="92">
        <f>IF(HA39&lt;&gt;"",LOG(GQ39*GU39/(EXP(-1*Minerals!$E$6/'Other Constants'!$B$2*(1/(273.15+'ppm-mgL-1'!$D39)-1/298.15)+LN(Minerals!$C$6)))),"")</f>
        <v>0.85649675825951799</v>
      </c>
      <c r="HH39" s="94">
        <f>IF(HA39&lt;&gt;"",LOG(GQ39*GU39/(EXP(-1*Minerals!$E$5/'Other Constants'!$B$2*(1/(273.15+'ppm-mgL-1'!$D39)-1/298.15)+LN(Minerals!$C$5)))),"")</f>
        <v>0.72609422802517776</v>
      </c>
      <c r="HI39" s="94">
        <f>IF(HC39&lt;&gt;"",LOG(GQ39*GX39^2/(EXP(-1*Minerals!$E$2/'Other Constants'!$B$2*(1/(273.15+'ppm-mgL-1'!$D39)-1/298.15)+LN(Minerals!$C$2)))),"")</f>
        <v>-2.0027957625293933</v>
      </c>
      <c r="HJ39" s="94">
        <f>IF(HD39&lt;&gt;"",LOG($FF39*$FN39/(EXP(-1*Minerals!$E$3/'Other Constants'!$B$2*(1/(273.15+'ppm-mgL-1'!$D39)-1/298.15)+LN(Minerals!$C$3)))),"")</f>
        <v>-2.9800509585562005</v>
      </c>
      <c r="HK39" s="95">
        <f>IF(HE39&lt;&gt;"",LOG($FF39*$FN39/(EXP(-1*Minerals!$E$4/'Other Constants'!$B$2*(1/(273.15+'ppm-mgL-1'!$D39)-1/298.15)+LN(Minerals!$C$4)))),"")</f>
        <v>-2.464779316532058</v>
      </c>
      <c r="HL39" s="199"/>
      <c r="HM39" s="199"/>
    </row>
    <row r="40" spans="1:221" x14ac:dyDescent="0.25">
      <c r="A40" s="267" t="str">
        <f>'WC samples'!B11</f>
        <v>WC Spring</v>
      </c>
      <c r="C40" s="266">
        <f>'WC samples'!A11</f>
        <v>41572</v>
      </c>
      <c r="D40" s="276">
        <v>27</v>
      </c>
      <c r="E40" s="4">
        <f>'WC samples'!F11</f>
        <v>6.63</v>
      </c>
      <c r="AD40" s="83">
        <f>IF(E40&lt;&gt;"",10^(-2*$E40)/(10^(-2*$E40)+10^(-$E40-pKa!$B$2)+(10^(-pKa!$B$2-pKa!$C$2))),"")</f>
        <v>0.31863175165002994</v>
      </c>
      <c r="AE40" s="84">
        <f>IF(E40&lt;&gt;"",10^(-$E40-pKa!$B$2)/(10^(-2*$E40)+10^(-$E40-pKa!$B$2)+10^(-pKa!$B$2-pKa!$C$2)),"")</f>
        <v>0.68122260553945457</v>
      </c>
      <c r="AF40" s="212">
        <f>IF(E40&lt;&gt;"",10^(-pKa!$B$2-pKa!$C$2)/(10^(-2*$E40)+10^(-$E40-pKa!$B$2)+10^(-pKa!$B$2-pKa!$C$2)),"")</f>
        <v>1.4564281051552812E-4</v>
      </c>
      <c r="AG40" s="152"/>
      <c r="AH40" s="222">
        <f>IF($AK40&lt;&gt;"",$AK40/'Elements and ions'!$G$3,IF($E40="","",""))</f>
        <v>6.7663287708770241</v>
      </c>
      <c r="AI40" s="85">
        <f t="shared" si="620"/>
        <v>9.928380111402001E-3</v>
      </c>
      <c r="AJ40" s="84">
        <f>IF(AI40&lt;&gt;"",AI40*1000*'Elements and ions'!$B$7,"")</f>
        <v>119.24679500401601</v>
      </c>
      <c r="AK40" s="99">
        <f>'WC samples'!H11</f>
        <v>412.86</v>
      </c>
      <c r="AL40" s="88">
        <f>IF($AK40&lt;&gt;"",$AK40/'Elements and ions'!$G$3*Minerals!$B$6/2,IF($E40="","","Enter Alk(HCO3-)"))</f>
        <v>338.6104355289458</v>
      </c>
      <c r="AM40" s="199"/>
      <c r="AN40" s="101">
        <f t="shared" si="491"/>
        <v>3.1634971459433389E-3</v>
      </c>
      <c r="AO40" s="94">
        <f t="shared" si="492"/>
        <v>6.7634369682753716E-3</v>
      </c>
      <c r="AP40" s="95">
        <f t="shared" si="493"/>
        <v>1.4459971832910596E-6</v>
      </c>
      <c r="AQ40" s="199"/>
      <c r="AR40" s="199"/>
      <c r="AS40" s="83">
        <f t="shared" si="66"/>
        <v>9.3044033704215856</v>
      </c>
      <c r="AT40" s="83">
        <f>IF(AN40&lt;&gt;"",AN40/'Henrys law constants'!$B$7*1000000,"")</f>
        <v>93044.03370421585</v>
      </c>
      <c r="AU40" s="268">
        <f>'WC samples'!K11</f>
        <v>10.0328</v>
      </c>
      <c r="AV40" s="269">
        <f>'WC samples'!M11</f>
        <v>1.3429</v>
      </c>
      <c r="AW40" s="269">
        <f>'WC samples'!O11</f>
        <v>104.58280000000001</v>
      </c>
      <c r="AX40" s="269">
        <f>'WC samples'!N11</f>
        <v>31.6922</v>
      </c>
      <c r="AY40" s="226">
        <f>AO40*'Elements and ions'!$G$3*1000</f>
        <v>412.68355134334337</v>
      </c>
      <c r="AZ40" s="269">
        <f>'WC samples'!Q11</f>
        <v>15.7948</v>
      </c>
      <c r="BA40" s="269">
        <f>'WC samples'!T11</f>
        <v>2.4851000000000001</v>
      </c>
      <c r="BB40" s="270">
        <f>'WC samples'!V11</f>
        <v>16.104900000000001</v>
      </c>
      <c r="BC40" s="222">
        <f>IF($E40&lt;&gt;"",10^-$E40*'Elements and ions'!B41*1000,"")</f>
        <v>0</v>
      </c>
      <c r="BE40" s="6"/>
      <c r="BF40" s="6"/>
      <c r="BG40" s="270">
        <f>'WC samples'!L11</f>
        <v>0</v>
      </c>
      <c r="BH40" s="3"/>
      <c r="BJ40" s="92">
        <f>IF($AN40&lt;&gt;"",$AN40*'Elements and ions'!$G$2*1000,"")</f>
        <v>196.21521450776348</v>
      </c>
      <c r="BK40" s="229"/>
      <c r="BL40" s="230"/>
      <c r="BM40" s="101">
        <f>IF($E40&lt;&gt;"",(10^-14+$E40)*'Elements and ions'!$G$8,"")</f>
        <v>112.75866420000015</v>
      </c>
      <c r="BO40" s="102">
        <f>IF($AP40&lt;&gt;"",$AP40*'Elements and ions'!$G$4*1000,"")</f>
        <v>8.6772700372394859E-2</v>
      </c>
      <c r="BP40" s="269">
        <f>'WC samples'!P11</f>
        <v>0.27839999999999998</v>
      </c>
      <c r="BQ40" s="270">
        <f>'WC samples'!R11</f>
        <v>0</v>
      </c>
      <c r="BR40" s="195"/>
      <c r="BS40" s="238">
        <f>IF($AU40&lt;&gt;"",$AU40/'Elements and ions'!$B$12,"")</f>
        <v>0.43640281369539691</v>
      </c>
      <c r="BT40" s="239">
        <f>IF($AV40&lt;&gt;"",$AV40/'Elements and ions'!$B$20,"")</f>
        <v>3.4346761879672519E-2</v>
      </c>
      <c r="BU40" s="239">
        <f>IF($AW40&lt;&gt;"",$AW40/'Elements and ions'!$B$21, "")</f>
        <v>2.6094815110534459</v>
      </c>
      <c r="BV40" s="240">
        <f>IF($AX40&lt;&gt;"",$AX40/'Elements and ions'!$B$13, "")</f>
        <v>1.3039374614276897</v>
      </c>
      <c r="BW40" s="238">
        <f>IF($AY40&lt;&gt;"",$AY40/'Elements and ions'!$G$3,"")</f>
        <v>6.7634369682753714</v>
      </c>
      <c r="BX40" s="239">
        <f>IF($AZ40&lt;&gt;"",$AZ40/'Elements and ions'!$B$18,"")</f>
        <v>0.44551377880574278</v>
      </c>
      <c r="BY40" s="239">
        <f>IF($BA40&lt;&gt;"",$BA40/'Elements and ions'!$G$7,"")</f>
        <v>4.0079090523490887E-2</v>
      </c>
      <c r="BZ40" s="241">
        <f>IF($BB40&lt;&gt;"",$BB40/'Elements and ions'!$G$5,"")</f>
        <v>0.16765005319447943</v>
      </c>
      <c r="CA40" s="91">
        <f t="shared" si="67"/>
        <v>2.3442288153199207E-4</v>
      </c>
      <c r="CB40" s="163" t="str">
        <f>IF($BD40&lt;&gt;"",$BD40/'Elements and ions'!$B$14,"")</f>
        <v/>
      </c>
      <c r="CC40" s="89" t="str">
        <f>IF($BE40&lt;&gt;"",$BE40/'Elements and ions'!$B$27, "")</f>
        <v/>
      </c>
      <c r="CD40" s="249" t="str">
        <f>IF($BF40&lt;&gt;"",$BF40/'Elements and ions'!$B$26,"")</f>
        <v/>
      </c>
      <c r="CE40" s="250">
        <f>IF($BG40&lt;&gt;"",$BG40/'Elements and ions'!$G$6,"")</f>
        <v>0</v>
      </c>
      <c r="CF40" s="91" t="str">
        <f>IF($BH40&lt;&gt;"",$BH40/'Elements and ions'!$G$15,"")</f>
        <v/>
      </c>
      <c r="CG40" s="89" t="str">
        <f>IF($BI40&lt;&gt;"",$BI40/'Elements and ions'!$G$16,"")</f>
        <v/>
      </c>
      <c r="CH40" s="90">
        <f>IF($BJ40&lt;&gt;"",$BJ40/'Elements and ions'!$G$2,"")</f>
        <v>3.1634971459433392</v>
      </c>
      <c r="CI40" s="91" t="str">
        <f>IF($BK40&lt;&gt;"",$BK40/'Elements and ions'!$B$15, "")</f>
        <v/>
      </c>
      <c r="CJ40" s="88" t="str">
        <f>IF($BL40&lt;&gt;"", $BL40/'Elements and ions'!$G$17,"")</f>
        <v/>
      </c>
      <c r="CK40" s="89">
        <f t="shared" si="68"/>
        <v>4.2657951880159237E-5</v>
      </c>
      <c r="CL40" s="163" t="str">
        <f>IF($BN40&lt;&gt;"", $BN40/'Elements and ions'!$G$19,"")</f>
        <v/>
      </c>
      <c r="CM40" s="89">
        <f>IF($BO40&lt;&gt;"",$BO40/'Elements and ions'!$G$4,"")</f>
        <v>1.4459971832910595E-3</v>
      </c>
      <c r="CN40" s="89">
        <f>IF($BP40&lt;&gt;"",$BP40/'Elements and ions'!$B$10,"")</f>
        <v>1.465386312045425E-2</v>
      </c>
      <c r="CO40" s="104">
        <f>IF($BQ40&lt;&gt;"",$BQ40/'Elements and ions'!$G$18,"")</f>
        <v>0</v>
      </c>
      <c r="CP40" s="242"/>
      <c r="CQ40" s="238">
        <f t="shared" si="557"/>
        <v>4.3640281369539688E-4</v>
      </c>
      <c r="CR40" s="239">
        <f t="shared" si="558"/>
        <v>3.4346761879672516E-5</v>
      </c>
      <c r="CS40" s="239">
        <f t="shared" si="559"/>
        <v>2.609481511053446E-3</v>
      </c>
      <c r="CT40" s="241">
        <f t="shared" si="560"/>
        <v>1.3039374614276897E-3</v>
      </c>
      <c r="CU40" s="238">
        <f t="shared" si="561"/>
        <v>6.7634369682753716E-3</v>
      </c>
      <c r="CV40" s="239">
        <f t="shared" si="562"/>
        <v>4.455137788057428E-4</v>
      </c>
      <c r="CW40" s="239">
        <f t="shared" si="563"/>
        <v>4.0079090523490885E-5</v>
      </c>
      <c r="CX40" s="241">
        <f t="shared" si="564"/>
        <v>1.6765005319447943E-4</v>
      </c>
      <c r="CY40" s="258">
        <f t="shared" si="98"/>
        <v>2.3442288153199206E-7</v>
      </c>
      <c r="CZ40" s="259" t="str">
        <f t="shared" si="565"/>
        <v/>
      </c>
      <c r="DA40" s="260" t="str">
        <f t="shared" si="566"/>
        <v/>
      </c>
      <c r="DB40" s="261" t="str">
        <f t="shared" si="567"/>
        <v/>
      </c>
      <c r="DC40" s="262">
        <f t="shared" si="568"/>
        <v>0</v>
      </c>
      <c r="DD40" s="263" t="str">
        <f t="shared" si="569"/>
        <v/>
      </c>
      <c r="DE40" s="259" t="str">
        <f t="shared" si="570"/>
        <v/>
      </c>
      <c r="DF40" s="260">
        <f t="shared" si="571"/>
        <v>3.1634971459433394E-3</v>
      </c>
      <c r="DG40" s="260" t="str">
        <f t="shared" si="572"/>
        <v/>
      </c>
      <c r="DH40" s="264" t="str">
        <f t="shared" si="573"/>
        <v/>
      </c>
      <c r="DI40" s="258">
        <f t="shared" si="108"/>
        <v>4.2657951880159239E-8</v>
      </c>
      <c r="DJ40" s="260" t="str">
        <f t="shared" si="574"/>
        <v/>
      </c>
      <c r="DK40" s="260">
        <f t="shared" si="575"/>
        <v>1.4459971832910594E-6</v>
      </c>
      <c r="DL40" s="260">
        <f t="shared" si="576"/>
        <v>1.4653863120454251E-5</v>
      </c>
      <c r="DM40" s="265">
        <f t="shared" si="577"/>
        <v>0</v>
      </c>
      <c r="DN40" s="242"/>
      <c r="DO40" s="238">
        <f t="shared" si="578"/>
        <v>0.43640281369539691</v>
      </c>
      <c r="DP40" s="239">
        <f t="shared" si="579"/>
        <v>3.4346761879672519E-2</v>
      </c>
      <c r="DQ40" s="239">
        <f t="shared" si="580"/>
        <v>5.2189630221068919</v>
      </c>
      <c r="DR40" s="241">
        <f t="shared" si="581"/>
        <v>2.6078749228553795</v>
      </c>
      <c r="DS40" s="238">
        <f t="shared" si="582"/>
        <v>-6.7634369682753714</v>
      </c>
      <c r="DT40" s="239">
        <f t="shared" si="583"/>
        <v>-0.44551377880574278</v>
      </c>
      <c r="DU40" s="239">
        <f t="shared" si="584"/>
        <v>-4.0079090523490887E-2</v>
      </c>
      <c r="DV40" s="241">
        <f t="shared" si="585"/>
        <v>-0.33530010638895885</v>
      </c>
      <c r="DW40" s="91">
        <f t="shared" si="113"/>
        <v>2.3442288153199207E-4</v>
      </c>
      <c r="DX40" s="89">
        <f t="shared" si="586"/>
        <v>0</v>
      </c>
      <c r="DY40" s="89">
        <f t="shared" si="587"/>
        <v>0</v>
      </c>
      <c r="DZ40" s="89">
        <f t="shared" si="588"/>
        <v>0</v>
      </c>
      <c r="EA40" s="90">
        <f t="shared" si="589"/>
        <v>0</v>
      </c>
      <c r="EB40" s="91">
        <f t="shared" si="118"/>
        <v>-4.2657951880159237E-5</v>
      </c>
      <c r="EC40" s="89">
        <f t="shared" si="590"/>
        <v>0</v>
      </c>
      <c r="ED40" s="89">
        <f t="shared" si="591"/>
        <v>-2.891994366582119E-3</v>
      </c>
      <c r="EE40" s="89">
        <f t="shared" si="592"/>
        <v>-1.465386312045425E-2</v>
      </c>
      <c r="EF40" s="90">
        <f t="shared" si="593"/>
        <v>0</v>
      </c>
      <c r="EG40" s="242"/>
      <c r="EH40" s="245">
        <f t="shared" si="594"/>
        <v>8.2978219434188727</v>
      </c>
      <c r="EI40" s="246">
        <f t="shared" si="595"/>
        <v>-7.60191845943248</v>
      </c>
      <c r="EJ40" s="198">
        <f t="shared" si="596"/>
        <v>4.3768229314083262</v>
      </c>
      <c r="EK40" s="198">
        <f t="shared" si="597"/>
        <v>2.0191492740852524E-2</v>
      </c>
      <c r="EL40" s="101">
        <f>IF(AND(CS40&lt;&gt;"",DK40&lt;&gt;""),LOG(CS40*DK40/Minerals!$C$6),"")</f>
        <v>5.6893677303887648E-2</v>
      </c>
      <c r="EM40" s="94">
        <f>IF(AND(CS40&lt;&gt;"",DK40&lt;&gt;""),LOG(CS40*DK40/Minerals!$C$5),"")</f>
        <v>-7.3585852052330092E-2</v>
      </c>
      <c r="EN40" s="94">
        <f>IF(AND(CS40&lt;&gt;"",DL40&lt;&gt;""),LOG(CS40*DL40^2/Minerals!$C$2),"")</f>
        <v>-1.6816165703699777</v>
      </c>
      <c r="EO40" s="94">
        <f>IF(AND(CS40&lt;&gt;"",CX40&lt;&gt;""),LOG($CS40*$CX40/Minerals!$C$3),"")</f>
        <v>-1.7590617154031274</v>
      </c>
      <c r="EP40" s="95">
        <f>IF(AND(CS40&lt;&gt;"",CX40&lt;&gt;""),LOG($CS40*$CX40/Minerals!$C$4),"")</f>
        <v>-1.9990462268690297</v>
      </c>
      <c r="EQ40" s="199"/>
      <c r="ER40" s="101">
        <f t="shared" si="621"/>
        <v>0.86654530404259</v>
      </c>
      <c r="ES40" s="94">
        <f t="shared" si="621"/>
        <v>0.86654530404259</v>
      </c>
      <c r="ET40" s="94">
        <f t="shared" si="622"/>
        <v>0.56385195731310556</v>
      </c>
      <c r="EU40" s="94">
        <f t="shared" si="622"/>
        <v>0.56385195731310556</v>
      </c>
      <c r="EV40" s="95">
        <f t="shared" si="622"/>
        <v>0.56385195731310556</v>
      </c>
      <c r="EW40" s="101">
        <f t="shared" si="623"/>
        <v>0.86654530404259</v>
      </c>
      <c r="EX40" s="94">
        <f t="shared" si="31"/>
        <v>0.56385195731310556</v>
      </c>
      <c r="EY40" s="94">
        <f t="shared" si="623"/>
        <v>0.86654530404259</v>
      </c>
      <c r="EZ40" s="94">
        <f t="shared" si="623"/>
        <v>0.86654530404259</v>
      </c>
      <c r="FA40" s="94">
        <f t="shared" si="165"/>
        <v>0.86654530404259</v>
      </c>
      <c r="FB40" s="95">
        <f t="shared" si="32"/>
        <v>0.56385195731310556</v>
      </c>
      <c r="FC40" s="199"/>
      <c r="FD40" s="101">
        <f t="shared" si="598"/>
        <v>3.7816280887871946E-4</v>
      </c>
      <c r="FE40" s="94">
        <f t="shared" si="599"/>
        <v>2.976302521589926E-5</v>
      </c>
      <c r="FF40" s="94">
        <f t="shared" si="600"/>
        <v>1.4713612575798457E-3</v>
      </c>
      <c r="FG40" s="94">
        <f t="shared" si="601"/>
        <v>7.3522768983988495E-4</v>
      </c>
      <c r="FH40" s="95" t="str">
        <f t="shared" si="602"/>
        <v/>
      </c>
      <c r="FI40" s="101">
        <f t="shared" si="603"/>
        <v>5.8608245440470753E-3</v>
      </c>
      <c r="FJ40" s="94">
        <f t="shared" si="604"/>
        <v>8.1532834206790129E-7</v>
      </c>
      <c r="FK40" s="94">
        <f t="shared" si="605"/>
        <v>3.8605787291038561E-4</v>
      </c>
      <c r="FL40" s="94">
        <f t="shared" si="606"/>
        <v>3.4730347683428896E-5</v>
      </c>
      <c r="FM40" s="94">
        <f t="shared" si="607"/>
        <v>1.2698236273112525E-5</v>
      </c>
      <c r="FN40" s="95">
        <f t="shared" si="608"/>
        <v>9.4529810637353497E-5</v>
      </c>
      <c r="FO40" s="199"/>
      <c r="FP40" s="101">
        <f>IF(EL40&lt;&gt;"",LOG(FF40*FJ40/Minerals!$C$6),"")</f>
        <v>-0.44077613799775395</v>
      </c>
      <c r="FQ40" s="94">
        <f>IF(EL40&lt;&gt;"",LOG(FF40*FJ40/Minerals!$C$5),"")</f>
        <v>-0.57125566735397171</v>
      </c>
      <c r="FR40" s="94">
        <f>IF(EN40&lt;&gt;"",LOG(FF40*FM40^2/Minerals!$C$2),"")</f>
        <v>-2.054868931846209</v>
      </c>
      <c r="FS40" s="94">
        <f>IF(EO40&lt;&gt;"",LOG($FF40*$FN40/Minerals!$C$3),"")</f>
        <v>-2.2567315307047688</v>
      </c>
      <c r="FT40" s="95">
        <f>IF(EP40&lt;&gt;"",LOG($FF40*$FN40/Minerals!$C$4),"")</f>
        <v>-2.4967160421706711</v>
      </c>
      <c r="FU40" s="96"/>
      <c r="FV40" s="101">
        <f>IF(FP40&lt;&gt;"",LOG(FF40*FJ40/(EXP(-1*Minerals!$E$6/'Other Constants'!$B$2*(1/(273.15+'ppm-mgL-1'!$D40)-1/298.15)+LN(Minerals!$C$6)))),"")</f>
        <v>0.33404153980869261</v>
      </c>
      <c r="FW40" s="94">
        <f>IF(FP40&lt;&gt;"",LOG(FF40*FJ40/(EXP(-1*Minerals!$E$5/'Other Constants'!$B$2*(1/(273.15+'ppm-mgL-1'!$D40)-1/298.15)+LN(Minerals!$C$5)))),"")</f>
        <v>0.20363205629699485</v>
      </c>
      <c r="FX40" s="94">
        <f>IF(FR40&lt;&gt;"",LOG(FF40*FM40^2/(EXP(-1*Minerals!$E$2/'Other Constants'!$B$2*(1/(273.15+'ppm-mgL-1'!$D40)-1/298.15)+LN(Minerals!$C$2)))),"")</f>
        <v>-2.0876270384668905</v>
      </c>
      <c r="FY40" s="94">
        <f>IF(FS40&lt;&gt;"",LOG($FF40*$FN40/(EXP(-1*Minerals!$E$3/'Other Constants'!$B$2*(1/(273.15+'ppm-mgL-1'!$D40)-1/298.15)+LN(Minerals!$C$3)))),"")</f>
        <v>-2.9246513462670429</v>
      </c>
      <c r="FZ40" s="95">
        <f>IF(FT40&lt;&gt;"",LOG($FF40*$FN40/(EXP(-1*Minerals!$E$4/'Other Constants'!$B$2*(1/(273.15+'ppm-mgL-1'!$D40)-1/298.15)+LN(Minerals!$C$4)))),"")</f>
        <v>-2.4775818523091968</v>
      </c>
      <c r="GA40" s="96"/>
      <c r="GB40" s="96"/>
      <c r="GC40" s="101">
        <f>10^(-1825000*(79.755*EXP(-0.0046*($D40-20))*($D40+273.15))^-1.5*$EK40^0.5/(1+'Elements and ions'!$D$12*$EK40^0.5/(2*(79.755*EXP(-0.0046*($D40-20))*($D40+273.15))^0.5)))</f>
        <v>0.86711568083507751</v>
      </c>
      <c r="GD40" s="94">
        <f>10^(-1825000*(79.755*EXP(-0.0046*($D40-20))*($D40+273.15))^-1.5*$EK40^0.5/(1+'Elements and ions'!$D$20*$EK40^0.5/(2*(79.755*EXP(-0.0046*($D40-20))*($D40+273.15))^0.5)))</f>
        <v>0.86206939239416902</v>
      </c>
      <c r="GE40" s="94">
        <f>10^(-1825000*(79.755*EXP(-0.0046*($D40-20))*($D40+273.15))^-1.5*4*$EK40^0.5/(1+'Elements and ions'!$D$21*$EK40^0.5/(2*(79.755*EXP(-0.0046*($D40-20))*($D40+273.15))^0.5)))</f>
        <v>0.58934383590540429</v>
      </c>
      <c r="GF40" s="94">
        <f>10^(-1825000*(79.755*EXP(-0.0046*($D40-20))*($D40+273.15))^-1.5*4*$EK40^0.5/(1+'Elements and ions'!$D$13*$EK40^0.5/(2*(79.755*EXP(-0.0046*($D40-20))*($D40+273.15))^0.5)))</f>
        <v>0.61090619504883259</v>
      </c>
      <c r="GG40" s="95">
        <f>10^(-1825000*(79.755*EXP(-0.0046*($D40-20))*($D40+273.15))^-1.5*4*$EK40^0.5/(1+'Elements and ions'!$D$27*$EK40^0.5/(2*(79.755*EXP(-0.0046*($D40-20))*($D40+273.15))^0.5)))</f>
        <v>0.58934383590540429</v>
      </c>
      <c r="GH40" s="101">
        <f>10^(-1825000*(79.755*EXP(-0.0046*($D40-20))*($D40+273.15))^-1.5*$EK40^0.5/(1+'Elements and ions'!$G$3*$EK40^0.5/(2*(79.755*EXP(-0.0046*($D40-20))*($D40+273.15))^0.5)))</f>
        <v>0.8483063208470113</v>
      </c>
      <c r="GI40" s="94">
        <f>10^(-1825000*(79.755*EXP(-0.0046*($D40-20))*($D40+273.15))^-1.5*4*$EK40^0.5/(1+'Elements and ions'!$G$4*$EK40^0.5/(2*(79.755*EXP(-0.0046*($D40-20))*($D40+273.15))^0.5)))</f>
        <v>0.5177022461444003</v>
      </c>
      <c r="GJ40" s="94">
        <f>10^(-1825000*(79.755*EXP(-0.0046*($D40-20))*($D40+273.15))^-1.5*$EK40^0.5/(1+'Elements and ions'!$D$18*$EK40^0.5/(2*(79.755*EXP(-0.0046*($D40-20))*($D40+273.15))^0.5)))</f>
        <v>0.86206939239416902</v>
      </c>
      <c r="GK40" s="94">
        <f>10^(-1825000*(79.755*EXP(-0.0046*($D40-20))*($D40+273.15))^-1.5*$EK40^0.5/(1+'Elements and ions'!$I$7*$EK40^0.5/(2*(79.755*EXP(-0.0046*($D40-20))*($D40+273.15))^0.5)))</f>
        <v>0.86206939239416902</v>
      </c>
      <c r="GL40" s="94">
        <f>10^(-1825000*(79.755*EXP(-0.0046*($D40-20))*($D40+273.15))^-1.5*$EK40^0.5/(1+'Elements and ions'!$D$10*$EK40^0.5/(2*(79.755*EXP(-0.0046*($D40-20))*($D40+273.15))^0.5)))</f>
        <v>0.86463946298481509</v>
      </c>
      <c r="GM40" s="95">
        <f>10^(-1825000*(79.755*EXP(-0.0046*($D40-20))*($D40+273.15))^-1.5*4*$EK40^0.5/(1+'Elements and ions'!$I$5*$EK40^0.5/(2*(79.755*EXP(-0.0046*($D40-20))*($D40+273.15))^0.5)))</f>
        <v>0.56533797652820816</v>
      </c>
      <c r="GN40" s="96"/>
      <c r="GO40" s="101">
        <f t="shared" si="609"/>
        <v>3.7841172291582756E-4</v>
      </c>
      <c r="GP40" s="94">
        <f t="shared" si="610"/>
        <v>2.9609292144316494E-5</v>
      </c>
      <c r="GQ40" s="94">
        <f t="shared" si="611"/>
        <v>1.5378818434484685E-3</v>
      </c>
      <c r="GR40" s="94">
        <f t="shared" si="612"/>
        <v>7.965834731424238E-4</v>
      </c>
      <c r="GS40" s="95" t="str">
        <f t="shared" si="613"/>
        <v/>
      </c>
      <c r="GT40" s="101">
        <f t="shared" si="614"/>
        <v>5.7374663308383447E-3</v>
      </c>
      <c r="GU40" s="94">
        <f t="shared" si="615"/>
        <v>7.4859598970825759E-7</v>
      </c>
      <c r="GV40" s="94">
        <f t="shared" si="616"/>
        <v>3.8406379259829692E-4</v>
      </c>
      <c r="GW40" s="94">
        <f t="shared" si="617"/>
        <v>3.4550957215296684E-5</v>
      </c>
      <c r="GX40" s="94">
        <f t="shared" si="618"/>
        <v>1.2670308339122551E-5</v>
      </c>
      <c r="GY40" s="102">
        <f t="shared" si="619"/>
        <v>9.4778941837813462E-5</v>
      </c>
      <c r="GZ40" s="199"/>
      <c r="HA40" s="92">
        <f>IF(AND(GQ40&lt;&gt;"",GU40&lt;&gt;""),LOG(GQ40*GU40/Minerals!$C$6),"")</f>
        <v>-0.4586575279487467</v>
      </c>
      <c r="HB40" s="94">
        <f>IF(AND(GQ40&lt;&gt;"",GU40&lt;&gt;""),LOG(GQ40*GU40/Minerals!$C$5),"")</f>
        <v>-0.58913705730496446</v>
      </c>
      <c r="HC40" s="94">
        <f>IF(AND(GQ40&lt;&gt;"",GX40&lt;&gt;""),LOG(GQ40*GX40^2/Minerals!$C$2),"")</f>
        <v>-2.0375777183295143</v>
      </c>
      <c r="HD40" s="94">
        <f>IF(AND(GQ40&lt;&gt;"",GY40&lt;&gt;""),LOG($GQ40*$GY40/Minerals!$C$3),"")</f>
        <v>-2.2363848097733401</v>
      </c>
      <c r="HE40" s="102">
        <f>IF(AND(GQ40&lt;&gt;"",GY40&lt;&gt;""),LOG($GQ40*$GY40/Minerals!$C$3),"")</f>
        <v>-2.2363848097733401</v>
      </c>
      <c r="HF40" s="199"/>
      <c r="HG40" s="92">
        <f>IF(HA40&lt;&gt;"",LOG(GQ40*GU40/(EXP(-1*Minerals!$E$6/'Other Constants'!$B$2*(1/(273.15+'ppm-mgL-1'!$D40)-1/298.15)+LN(Minerals!$C$6)))),"")</f>
        <v>0.31616014985769986</v>
      </c>
      <c r="HH40" s="94">
        <f>IF(HA40&lt;&gt;"",LOG(GQ40*GU40/(EXP(-1*Minerals!$E$5/'Other Constants'!$B$2*(1/(273.15+'ppm-mgL-1'!$D40)-1/298.15)+LN(Minerals!$C$5)))),"")</f>
        <v>0.18575066634600207</v>
      </c>
      <c r="HI40" s="94">
        <f>IF(HC40&lt;&gt;"",LOG(GQ40*GX40^2/(EXP(-1*Minerals!$E$2/'Other Constants'!$B$2*(1/(273.15+'ppm-mgL-1'!$D40)-1/298.15)+LN(Minerals!$C$2)))),"")</f>
        <v>-2.0703358249501962</v>
      </c>
      <c r="HJ40" s="94">
        <f>IF(HD40&lt;&gt;"",LOG($FF40*$FN40/(EXP(-1*Minerals!$E$3/'Other Constants'!$B$2*(1/(273.15+'ppm-mgL-1'!$D40)-1/298.15)+LN(Minerals!$C$3)))),"")</f>
        <v>-2.9246513462670429</v>
      </c>
      <c r="HK40" s="95">
        <f>IF(HE40&lt;&gt;"",LOG($FF40*$FN40/(EXP(-1*Minerals!$E$4/'Other Constants'!$B$2*(1/(273.15+'ppm-mgL-1'!$D40)-1/298.15)+LN(Minerals!$C$4)))),"")</f>
        <v>-2.4775818523091968</v>
      </c>
      <c r="HL40" s="199"/>
      <c r="HM40" s="199"/>
    </row>
    <row r="41" spans="1:221" x14ac:dyDescent="0.25">
      <c r="A41" s="267" t="str">
        <f>'WC samples'!B12</f>
        <v>ISCD Direct</v>
      </c>
      <c r="C41" s="266">
        <f>'WC samples'!A12</f>
        <v>41502</v>
      </c>
      <c r="D41" s="4">
        <f>'WC samples'!I12</f>
        <v>21.7</v>
      </c>
      <c r="E41" s="4">
        <f>'WC samples'!F12</f>
        <v>7.63</v>
      </c>
      <c r="AD41" s="83">
        <f>IF(E41&lt;&gt;"",10^(-2*$E41)/(10^(-2*$E41)+10^(-$E41-pKa!$B$2)+(10^(-pKa!$B$2-pKa!$C$2))),"")</f>
        <v>4.459243243038815E-2</v>
      </c>
      <c r="AE41" s="84">
        <f>IF(E41&lt;&gt;"",10^(-$E41-pKa!$B$2)/(10^(-2*$E41)+10^(-$E41-pKa!$B$2)+10^(-pKa!$B$2-pKa!$C$2)),"")</f>
        <v>0.953369300148599</v>
      </c>
      <c r="AF41" s="212">
        <f>IF(E41&lt;&gt;"",10^(-pKa!$B$2-pKa!$C$2)/(10^(-2*$E41)+10^(-$E41-pKa!$B$2)+10^(-pKa!$B$2-pKa!$C$2)),"")</f>
        <v>2.0382674210129735E-3</v>
      </c>
      <c r="AG41" s="152"/>
      <c r="AH41" s="222">
        <f>IF($AK41&lt;&gt;"",$AK41/'Elements and ions'!$G$3,IF($E41="","",""))</f>
        <v>2.6058379948879686</v>
      </c>
      <c r="AI41" s="85">
        <f t="shared" ref="AI41:AI42" si="624">IF($AH41&lt;&gt;"",($AH41-10^(-14+$E41)+10^(-$E41))/1000/(AE41+2*AF41),IF($E41="","",""))</f>
        <v>2.7216553631738902E-3</v>
      </c>
      <c r="AJ41" s="84">
        <f>IF(AI41&lt;&gt;"",AI41*1000*'Elements and ions'!$B$7,"")</f>
        <v>32.688986070472644</v>
      </c>
      <c r="AK41" s="99">
        <f>'WC samples'!H12</f>
        <v>159</v>
      </c>
      <c r="AL41" s="88">
        <f>IF($AK41&lt;&gt;"",$AK41/'Elements and ions'!$G$3*Minerals!$B$6/2,IF($E41="","","Enter Alk(HCO3-)"))</f>
        <v>130.40512340527633</v>
      </c>
      <c r="AM41" s="199"/>
      <c r="AN41" s="101">
        <f>IF(AND($E41&lt;&gt;"",AI41&lt;&gt;""),AI41*AD41,"")</f>
        <v>1.2136523288113522E-4</v>
      </c>
      <c r="AO41" s="94">
        <f t="shared" si="492"/>
        <v>2.5947426688347729E-3</v>
      </c>
      <c r="AP41" s="95">
        <f t="shared" si="493"/>
        <v>5.5474614579825727E-6</v>
      </c>
      <c r="AQ41" s="199"/>
      <c r="AR41" s="199"/>
      <c r="AS41" s="83">
        <f t="shared" si="66"/>
        <v>0.35695656729745651</v>
      </c>
      <c r="AT41" s="83">
        <f>IF(AN41&lt;&gt;"",AN41/'Henrys law constants'!$B$7*1000000,"")</f>
        <v>3569.5656729745651</v>
      </c>
      <c r="AU41" s="268">
        <f>'WC samples'!K12</f>
        <v>2.5178751578217136</v>
      </c>
      <c r="AV41" s="269">
        <f>'WC samples'!M12</f>
        <v>1.5088587998612557</v>
      </c>
      <c r="AW41" s="269">
        <f>'WC samples'!O12</f>
        <v>56.168374401664934</v>
      </c>
      <c r="AX41" s="269">
        <f>'WC samples'!N12</f>
        <v>3.0724892958723551</v>
      </c>
      <c r="AY41" s="226">
        <f>AO41*'Elements and ions'!$G$3*1000</f>
        <v>158.32299826546432</v>
      </c>
      <c r="AZ41" s="269">
        <f>'WC samples'!Q12</f>
        <v>3.5550887963926465</v>
      </c>
      <c r="BA41" s="269">
        <f>'WC samples'!T12</f>
        <v>13.18111296566077</v>
      </c>
      <c r="BB41" s="270">
        <f>'WC samples'!V12</f>
        <v>8.0370364065209845</v>
      </c>
      <c r="BC41" s="222">
        <f>IF($E41&lt;&gt;"",10^-$E41*'Elements and ions'!B42*1000,"")</f>
        <v>0</v>
      </c>
      <c r="BE41" s="6"/>
      <c r="BF41" s="6"/>
      <c r="BG41" s="270">
        <f>'WC samples'!L12</f>
        <v>-0.28258138050641696</v>
      </c>
      <c r="BH41" s="3"/>
      <c r="BJ41" s="92">
        <f>IF($AN41&lt;&gt;"",$AN41*'Elements and ions'!$G$2*1000,"")</f>
        <v>7.5276518691011773</v>
      </c>
      <c r="BK41" s="229"/>
      <c r="BL41" s="230"/>
      <c r="BM41" s="101">
        <f>IF($E41&lt;&gt;"",(10^-14+$E41)*'Elements and ions'!$G$8,"")</f>
        <v>129.76600420000017</v>
      </c>
      <c r="BO41" s="102">
        <f>IF($AP41&lt;&gt;"",$AP41*'Elements and ions'!$G$4*1000,"")</f>
        <v>0.33289705988593038</v>
      </c>
      <c r="BP41" s="269">
        <f>'WC samples'!P12</f>
        <v>0.24667549080818593</v>
      </c>
      <c r="BQ41" s="270">
        <f>'WC samples'!R12</f>
        <v>0</v>
      </c>
      <c r="BR41" s="195"/>
      <c r="BS41" s="238">
        <f>IF($AU41&lt;&gt;"",$AU41/'Elements and ions'!$B$12,"")</f>
        <v>0.10952154965783603</v>
      </c>
      <c r="BT41" s="239">
        <f>IF($AV41&lt;&gt;"",$AV41/'Elements and ions'!$B$20,"")</f>
        <v>3.8591417014582623E-2</v>
      </c>
      <c r="BU41" s="239">
        <f>IF($AW41&lt;&gt;"",$AW41/'Elements and ions'!$B$21, "")</f>
        <v>1.4014764809038607</v>
      </c>
      <c r="BV41" s="240">
        <f>IF($AX41&lt;&gt;"",$AX41/'Elements and ions'!$B$13, "")</f>
        <v>0.12641387763309422</v>
      </c>
      <c r="BW41" s="238">
        <f>IF($AY41&lt;&gt;"",$AY41/'Elements and ions'!$G$3,"")</f>
        <v>2.594742668834773</v>
      </c>
      <c r="BX41" s="239">
        <f>IF($AZ41&lt;&gt;"",$AZ41/'Elements and ions'!$B$18,"")</f>
        <v>0.10027610629263098</v>
      </c>
      <c r="BY41" s="239">
        <f>IF($BA41&lt;&gt;"",$BA41/'Elements and ions'!$G$7,"")</f>
        <v>0.21258179540102104</v>
      </c>
      <c r="BZ41" s="241">
        <f>IF($BB41&lt;&gt;"",$BB41/'Elements and ions'!$G$5,"")</f>
        <v>8.3664572960975278E-2</v>
      </c>
      <c r="CA41" s="91">
        <f t="shared" si="67"/>
        <v>2.3442288153199181E-5</v>
      </c>
      <c r="CB41" s="163" t="str">
        <f>IF($BD41&lt;&gt;"",$BD41/'Elements and ions'!$B$14,"")</f>
        <v/>
      </c>
      <c r="CC41" s="89" t="str">
        <f>IF($BE41&lt;&gt;"",$BE41/'Elements and ions'!$B$27, "")</f>
        <v/>
      </c>
      <c r="CD41" s="249" t="str">
        <f>IF($BF41&lt;&gt;"",$BF41/'Elements and ions'!$B$26,"")</f>
        <v/>
      </c>
      <c r="CE41" s="250">
        <f>IF($BG41&lt;&gt;"",$BG41/'Elements and ions'!$G$6,"")</f>
        <v>-1.5665493645600399E-2</v>
      </c>
      <c r="CF41" s="91" t="str">
        <f>IF($BH41&lt;&gt;"",$BH41/'Elements and ions'!$G$15,"")</f>
        <v/>
      </c>
      <c r="CG41" s="89" t="str">
        <f>IF($BI41&lt;&gt;"",$BI41/'Elements and ions'!$G$16,"")</f>
        <v/>
      </c>
      <c r="CH41" s="90">
        <f>IF($BJ41&lt;&gt;"",$BJ41/'Elements and ions'!$G$2,"")</f>
        <v>0.12136523288113522</v>
      </c>
      <c r="CI41" s="91" t="str">
        <f>IF($BK41&lt;&gt;"",$BK41/'Elements and ions'!$B$15, "")</f>
        <v/>
      </c>
      <c r="CJ41" s="88" t="str">
        <f>IF($BL41&lt;&gt;"", $BL41/'Elements and ions'!$G$17,"")</f>
        <v/>
      </c>
      <c r="CK41" s="89">
        <f t="shared" si="68"/>
        <v>4.2657951880159214E-4</v>
      </c>
      <c r="CL41" s="163" t="str">
        <f>IF($BN41&lt;&gt;"", $BN41/'Elements and ions'!$G$19,"")</f>
        <v/>
      </c>
      <c r="CM41" s="89">
        <f>IF($BO41&lt;&gt;"",$BO41/'Elements and ions'!$G$4,"")</f>
        <v>5.5474614579825729E-3</v>
      </c>
      <c r="CN41" s="89">
        <f>IF($BP41&lt;&gt;"",$BP41/'Elements and ions'!$B$10,"")</f>
        <v>1.2984011772536018E-2</v>
      </c>
      <c r="CO41" s="104">
        <f>IF($BQ41&lt;&gt;"",$BQ41/'Elements and ions'!$G$18,"")</f>
        <v>0</v>
      </c>
      <c r="CP41" s="242"/>
      <c r="CQ41" s="238">
        <f t="shared" ref="CQ41:CQ42" si="625">IF($BS41&lt;&gt;"",BS41/1000,"")</f>
        <v>1.0952154965783604E-4</v>
      </c>
      <c r="CR41" s="239">
        <f t="shared" ref="CR41:CR42" si="626">IF($BT41&lt;&gt;"",BT41/1000,"")</f>
        <v>3.8591417014582625E-5</v>
      </c>
      <c r="CS41" s="239">
        <f t="shared" ref="CS41:CS42" si="627">IF($BU41&lt;&gt;"",BU41/1000,"")</f>
        <v>1.4014764809038606E-3</v>
      </c>
      <c r="CT41" s="241">
        <f t="shared" ref="CT41:CT42" si="628">IF($BV41&lt;&gt;"",BV41/1000,"")</f>
        <v>1.2641387763309423E-4</v>
      </c>
      <c r="CU41" s="238">
        <f t="shared" ref="CU41:CU42" si="629">IF($BW41&lt;&gt;"",BW41/1000,"")</f>
        <v>2.5947426688347729E-3</v>
      </c>
      <c r="CV41" s="239">
        <f t="shared" ref="CV41:CV42" si="630">IF($BX41&lt;&gt;"",BX41/1000,"")</f>
        <v>1.0027610629263097E-4</v>
      </c>
      <c r="CW41" s="239">
        <f t="shared" ref="CW41:CW42" si="631">IF($BY41&lt;&gt;"",BY41/1000,"")</f>
        <v>2.1258179540102105E-4</v>
      </c>
      <c r="CX41" s="241">
        <f t="shared" ref="CX41:CX42" si="632">IF(BZ41&lt;&gt;"",BZ41/1000,"")</f>
        <v>8.3664572960975272E-5</v>
      </c>
      <c r="CY41" s="258">
        <f t="shared" si="98"/>
        <v>2.3442288153199181E-8</v>
      </c>
      <c r="CZ41" s="259" t="str">
        <f t="shared" ref="CZ41:CZ42" si="633">IF(CB41&lt;&gt;"",CB41/1000,"")</f>
        <v/>
      </c>
      <c r="DA41" s="260" t="str">
        <f t="shared" ref="DA41:DA42" si="634">IF(CC41&lt;&gt;"",CC41/1000,"")</f>
        <v/>
      </c>
      <c r="DB41" s="261" t="str">
        <f t="shared" ref="DB41:DB42" si="635">IF(CD41&lt;&gt;"",CD41/1000,"")</f>
        <v/>
      </c>
      <c r="DC41" s="262">
        <f t="shared" ref="DC41:DC42" si="636">IF(CE41&lt;&gt;"",CE41/1000,"")</f>
        <v>-1.56654936456004E-5</v>
      </c>
      <c r="DD41" s="263" t="str">
        <f t="shared" ref="DD41:DD42" si="637">IF(CF41&lt;&gt;"",CF41/1000,"")</f>
        <v/>
      </c>
      <c r="DE41" s="259" t="str">
        <f t="shared" ref="DE41:DE42" si="638">IF(CG41&lt;&gt;"",CG41/1000,"")</f>
        <v/>
      </c>
      <c r="DF41" s="260">
        <f t="shared" ref="DF41:DF42" si="639">IF(CH41&lt;&gt;"",CH41/1000,"")</f>
        <v>1.2136523288113522E-4</v>
      </c>
      <c r="DG41" s="260" t="str">
        <f t="shared" ref="DG41:DG42" si="640">IF(CI41&lt;&gt;"",CI41/1000,"")</f>
        <v/>
      </c>
      <c r="DH41" s="264" t="str">
        <f t="shared" ref="DH41:DH42" si="641">IF(CJ41&lt;&gt;"",CJ41/1000,"")</f>
        <v/>
      </c>
      <c r="DI41" s="258">
        <f t="shared" si="108"/>
        <v>4.2657951880159212E-7</v>
      </c>
      <c r="DJ41" s="260" t="str">
        <f t="shared" ref="DJ41:DJ42" si="642">IF(CL41&lt;&gt;"",CL41/1000,"")</f>
        <v/>
      </c>
      <c r="DK41" s="260">
        <f t="shared" ref="DK41:DK42" si="643">IF(CM41&lt;&gt;"",CM41/1000,"")</f>
        <v>5.5474614579825727E-6</v>
      </c>
      <c r="DL41" s="260">
        <f t="shared" ref="DL41:DL42" si="644">IF(CN41&lt;&gt;"",CN41/1000,"")</f>
        <v>1.2984011772536018E-5</v>
      </c>
      <c r="DM41" s="265">
        <f t="shared" ref="DM41:DM42" si="645">IF(CO41&lt;&gt;"",CO41/1000,"")</f>
        <v>0</v>
      </c>
      <c r="DN41" s="242"/>
      <c r="DO41" s="238">
        <f t="shared" ref="DO41:DO42" si="646">IF($BS41&lt;&gt;"",BS41,0)</f>
        <v>0.10952154965783603</v>
      </c>
      <c r="DP41" s="239">
        <f t="shared" ref="DP41:DP42" si="647">IF($BT41&lt;&gt;"",BT41,0)</f>
        <v>3.8591417014582623E-2</v>
      </c>
      <c r="DQ41" s="239">
        <f t="shared" ref="DQ41:DQ42" si="648">IF($BU41&lt;&gt;"",BU41*2,0)</f>
        <v>2.8029529618077214</v>
      </c>
      <c r="DR41" s="241">
        <f t="shared" ref="DR41:DR42" si="649">IF($BV41&lt;&gt;"",BV41*2,0)</f>
        <v>0.25282775526618845</v>
      </c>
      <c r="DS41" s="238">
        <f t="shared" ref="DS41:DS42" si="650">IF($BW41&lt;&gt;"",BW41*-1,0)</f>
        <v>-2.594742668834773</v>
      </c>
      <c r="DT41" s="239">
        <f t="shared" ref="DT41:DT42" si="651">IF($BX41&lt;&gt;"",BX41*-1,0)</f>
        <v>-0.10027610629263098</v>
      </c>
      <c r="DU41" s="239">
        <f t="shared" ref="DU41:DU42" si="652">IF($BY41&lt;&gt;"",BY41*-1,0)</f>
        <v>-0.21258179540102104</v>
      </c>
      <c r="DV41" s="241">
        <f t="shared" ref="DV41:DV42" si="653">IF($BZ41&lt;&gt;"",BZ41*-2,0)</f>
        <v>-0.16732914592195056</v>
      </c>
      <c r="DW41" s="91">
        <f t="shared" si="113"/>
        <v>2.3442288153199181E-5</v>
      </c>
      <c r="DX41" s="89">
        <f t="shared" ref="DX41:DX42" si="654">IF(CB41&lt;&gt;"",CB41*3,0)</f>
        <v>0</v>
      </c>
      <c r="DY41" s="89">
        <f t="shared" ref="DY41:DY42" si="655">IF(CC41&lt;&gt;"",CC41*2,0)</f>
        <v>0</v>
      </c>
      <c r="DZ41" s="89">
        <f t="shared" ref="DZ41:DZ42" si="656">IF(CD41&lt;&gt;"",CD41*2,0)</f>
        <v>0</v>
      </c>
      <c r="EA41" s="90">
        <f t="shared" ref="EA41:EA42" si="657">IF(CE41&lt;&gt;"",CE41,0)</f>
        <v>-1.5665493645600399E-2</v>
      </c>
      <c r="EB41" s="91">
        <f t="shared" si="118"/>
        <v>-4.2657951880159214E-4</v>
      </c>
      <c r="EC41" s="89">
        <f t="shared" ref="EC41:EC42" si="658">IF(CL41&lt;&gt;"",CL41*-1,0)</f>
        <v>0</v>
      </c>
      <c r="ED41" s="89">
        <f t="shared" ref="ED41:ED42" si="659">IF(CM41&lt;&gt;"",CM41*-2,0)</f>
        <v>-1.1094922915965146E-2</v>
      </c>
      <c r="EE41" s="89">
        <f t="shared" ref="EE41:EE42" si="660">IF(CN41&lt;&gt;"",CN41*-1,0)</f>
        <v>-1.2984011772536018E-2</v>
      </c>
      <c r="EF41" s="90">
        <f t="shared" ref="EF41:EF42" si="661">IF(CO41&lt;&gt;"",CO41*-2,0)</f>
        <v>0</v>
      </c>
      <c r="EG41" s="242"/>
      <c r="EH41" s="245">
        <f t="shared" ref="EH41:EH42" si="662">SUM(DO41:DR41,DW41:EA41)</f>
        <v>3.1882516323888819</v>
      </c>
      <c r="EI41" s="246">
        <f t="shared" ref="EI41:EI42" si="663">SUM(DS41:DV41,EB41:EF41)</f>
        <v>-3.0994352306576789</v>
      </c>
      <c r="EJ41" s="198">
        <f t="shared" ref="EJ41:EJ42" si="664">IF(EH41&lt;&gt;EI41,(EH41+EI41)/(EH41-EI41)*100,0)</f>
        <v>1.4125449257530125</v>
      </c>
      <c r="EK41" s="198">
        <f t="shared" ref="EK41:EK42" si="665">0.5*(DO41+DP41+4*DQ41+4*DR41+4*DY41-DS41-DT41-4*DV41-DU41-EE41)/1000</f>
        <v>7.9805685004784108E-3</v>
      </c>
      <c r="EL41" s="101">
        <f>IF(AND(CS41&lt;&gt;"",DK41&lt;&gt;""),LOG(CS41*DK41/Minerals!$C$6),"")</f>
        <v>0.37085211377421978</v>
      </c>
      <c r="EM41" s="94">
        <f>IF(AND(CS41&lt;&gt;"",DK41&lt;&gt;""),LOG(CS41*DK41/Minerals!$C$5),"")</f>
        <v>0.24037258441800208</v>
      </c>
      <c r="EN41" s="94">
        <f>IF(AND(CS41&lt;&gt;"",DL41&lt;&gt;""),LOG(CS41*DL41^2/Minerals!$C$2),"")</f>
        <v>-2.0566714403932531</v>
      </c>
      <c r="EO41" s="94">
        <f>IF(AND(CS41&lt;&gt;"",CX41&lt;&gt;""),LOG($CS41*$CX41/Minerals!$C$3),"")</f>
        <v>-2.3308922224090471</v>
      </c>
      <c r="EP41" s="95">
        <f>IF(AND(CS41&lt;&gt;"",CX41&lt;&gt;""),LOG($CS41*$CX41/Minerals!$C$4),"")</f>
        <v>-2.5708767338749494</v>
      </c>
      <c r="EQ41" s="199"/>
      <c r="ER41" s="101">
        <f t="shared" si="621"/>
        <v>0.90990496636469764</v>
      </c>
      <c r="ES41" s="94">
        <f t="shared" si="621"/>
        <v>0.90990496636469764</v>
      </c>
      <c r="ET41" s="94">
        <f t="shared" si="622"/>
        <v>0.68546319650389587</v>
      </c>
      <c r="EU41" s="94">
        <f t="shared" si="622"/>
        <v>0.68546319650389587</v>
      </c>
      <c r="EV41" s="95">
        <f t="shared" si="622"/>
        <v>0.68546319650389587</v>
      </c>
      <c r="EW41" s="101">
        <f t="shared" si="623"/>
        <v>0.90990496636469764</v>
      </c>
      <c r="EX41" s="94">
        <f t="shared" si="31"/>
        <v>0.68546319650389587</v>
      </c>
      <c r="EY41" s="94">
        <f t="shared" si="623"/>
        <v>0.90990496636469764</v>
      </c>
      <c r="EZ41" s="94">
        <f t="shared" si="623"/>
        <v>0.90990496636469764</v>
      </c>
      <c r="FA41" s="94">
        <f t="shared" si="165"/>
        <v>0.90990496636469764</v>
      </c>
      <c r="FB41" s="95">
        <f t="shared" si="32"/>
        <v>0.68546319650389587</v>
      </c>
      <c r="FC41" s="199"/>
      <c r="FD41" s="101">
        <f t="shared" ref="FD41:FD42" si="666">IF($CQ41&lt;&gt;"",ER41*$CQ41,"")</f>
        <v>9.9654201957622858E-5</v>
      </c>
      <c r="FE41" s="94">
        <f t="shared" ref="FE41:FE42" si="667">IF($CR41&lt;&gt;"",ES41*$CR41,"")</f>
        <v>3.5114522000619822E-5</v>
      </c>
      <c r="FF41" s="94">
        <f t="shared" ref="FF41:FF42" si="668">IF($CS41&lt;&gt;"",ET41*$CS41,"")</f>
        <v>9.6066054842539148E-4</v>
      </c>
      <c r="FG41" s="94">
        <f t="shared" ref="FG41:FG42" si="669">IF($CT41&lt;&gt;"",EU41*$CT41,"")</f>
        <v>8.6652060644833119E-5</v>
      </c>
      <c r="FH41" s="95" t="str">
        <f t="shared" ref="FH41:FH42" si="670">IF($DA41&lt;&gt;"",EV41*$DA41,"")</f>
        <v/>
      </c>
      <c r="FI41" s="101">
        <f t="shared" ref="FI41:FI42" si="671">IF($CU41&lt;&gt;"",EW41*$CU41,"")</f>
        <v>2.3609692408111498E-3</v>
      </c>
      <c r="FJ41" s="94">
        <f t="shared" ref="FJ41:FJ42" si="672">IF($DK41&lt;&gt;"",EX41*$DK41,"")</f>
        <v>3.802580663470897E-6</v>
      </c>
      <c r="FK41" s="94">
        <f t="shared" ref="FK41:FK42" si="673">IF($CV41&lt;&gt;"",EY41*$CV41,"")</f>
        <v>9.1241727123379237E-5</v>
      </c>
      <c r="FL41" s="94">
        <f t="shared" ref="FL41:FL42" si="674">IF($CW41&lt;&gt;"",EZ41*$CW41,"")</f>
        <v>1.9342923139411311E-4</v>
      </c>
      <c r="FM41" s="94">
        <f t="shared" ref="FM41:FM42" si="675">IF($DL41&lt;&gt;"",FA41*$DL41,"")</f>
        <v>1.1814216795168224E-5</v>
      </c>
      <c r="FN41" s="95">
        <f t="shared" ref="FN41:FN42" si="676">IF($CX41&lt;&gt;"",FB41*$CX41,"")</f>
        <v>5.7348985615963526E-5</v>
      </c>
      <c r="FO41" s="199"/>
      <c r="FP41" s="101">
        <f>IF(EL41&lt;&gt;"",LOG(FF41*FJ41/Minerals!$C$6),"")</f>
        <v>4.2820397497624021E-2</v>
      </c>
      <c r="FQ41" s="94">
        <f>IF(EL41&lt;&gt;"",LOG(FF41*FJ41/Minerals!$C$5),"")</f>
        <v>-8.765913185859367E-2</v>
      </c>
      <c r="FR41" s="94">
        <f>IF(EN41&lt;&gt;"",LOG(FF41*FM41^2/Minerals!$C$2),"")</f>
        <v>-2.3026952276007</v>
      </c>
      <c r="FS41" s="94">
        <f>IF(EO41&lt;&gt;"",LOG($FF41*$FN41/Minerals!$C$3),"")</f>
        <v>-2.6589239386856427</v>
      </c>
      <c r="FT41" s="95">
        <f>IF(EP41&lt;&gt;"",LOG($FF41*$FN41/Minerals!$C$4),"")</f>
        <v>-2.8989084501515454</v>
      </c>
      <c r="FU41" s="96"/>
      <c r="FV41" s="101">
        <f>IF(FP41&lt;&gt;"",LOG(FF41*FJ41/(EXP(-1*Minerals!$E$6/'Other Constants'!$B$2*(1/(273.15+'ppm-mgL-1'!$D41)-1/298.15)+LN(Minerals!$C$6)))),"")</f>
        <v>-1.2586092036197256</v>
      </c>
      <c r="FW41" s="94">
        <f>IF(FP41&lt;&gt;"",LOG(FF41*FJ41/(EXP(-1*Minerals!$E$5/'Other Constants'!$B$2*(1/(273.15+'ppm-mgL-1'!$D41)-1/298.15)+LN(Minerals!$C$5)))),"")</f>
        <v>-1.3892063861195212</v>
      </c>
      <c r="FX41" s="94">
        <f>IF(FR41&lt;&gt;"",LOG(FF41*FM41^2/(EXP(-1*Minerals!$E$2/'Other Constants'!$B$2*(1/(273.15+'ppm-mgL-1'!$D41)-1/298.15)+LN(Minerals!$C$2)))),"")</f>
        <v>-2.2476727741205362</v>
      </c>
      <c r="FY41" s="94">
        <f>IF(FS41&lt;&gt;"",LOG($FF41*$FN41/(EXP(-1*Minerals!$E$3/'Other Constants'!$B$2*(1/(273.15+'ppm-mgL-1'!$D41)-1/298.15)+LN(Minerals!$C$3)))),"")</f>
        <v>-1.5370463098652933</v>
      </c>
      <c r="FZ41" s="95">
        <f>IF(FT41&lt;&gt;"",LOG($FF41*$FN41/(EXP(-1*Minerals!$E$4/'Other Constants'!$B$2*(1/(273.15+'ppm-mgL-1'!$D41)-1/298.15)+LN(Minerals!$C$4)))),"")</f>
        <v>-2.9310473672057107</v>
      </c>
      <c r="GA41" s="96"/>
      <c r="GB41" s="96"/>
      <c r="GC41" s="101">
        <f>10^(-1825000*(79.755*EXP(-0.0046*($D41-20))*($D41+273.15))^-1.5*$EK41^0.5/(1+'Elements and ions'!$D$12*$EK41^0.5/(2*(79.755*EXP(-0.0046*($D41-20))*($D41+273.15))^0.5)))</f>
        <v>0.91000993340651115</v>
      </c>
      <c r="GD41" s="94">
        <f>10^(-1825000*(79.755*EXP(-0.0046*($D41-20))*($D41+273.15))^-1.5*$EK41^0.5/(1+'Elements and ions'!$D$20*$EK41^0.5/(2*(79.755*EXP(-0.0046*($D41-20))*($D41+273.15))^0.5)))</f>
        <v>0.90770588040597899</v>
      </c>
      <c r="GE41" s="94">
        <f>10^(-1825000*(79.755*EXP(-0.0046*($D41-20))*($D41+273.15))^-1.5*4*$EK41^0.5/(1+'Elements and ions'!$D$21*$EK41^0.5/(2*(79.755*EXP(-0.0046*($D41-20))*($D41+273.15))^0.5)))</f>
        <v>0.69877130045729585</v>
      </c>
      <c r="GF41" s="94">
        <f>10^(-1825000*(79.755*EXP(-0.0046*($D41-20))*($D41+273.15))^-1.5*4*$EK41^0.5/(1+'Elements and ions'!$D$13*$EK41^0.5/(2*(79.755*EXP(-0.0046*($D41-20))*($D41+273.15))^0.5)))</f>
        <v>0.71074363619655256</v>
      </c>
      <c r="GG41" s="95">
        <f>10^(-1825000*(79.755*EXP(-0.0046*($D41-20))*($D41+273.15))^-1.5*4*$EK41^0.5/(1+'Elements and ions'!$D$27*$EK41^0.5/(2*(79.755*EXP(-0.0046*($D41-20))*($D41+273.15))^0.5)))</f>
        <v>0.69877130045729585</v>
      </c>
      <c r="GH41" s="101">
        <f>10^(-1825000*(79.755*EXP(-0.0046*($D41-20))*($D41+273.15))^-1.5*$EK41^0.5/(1+'Elements and ions'!$G$3*$EK41^0.5/(2*(79.755*EXP(-0.0046*($D41-20))*($D41+273.15))^0.5)))</f>
        <v>0.90169101041908228</v>
      </c>
      <c r="GI41" s="94">
        <f>10^(-1825000*(79.755*EXP(-0.0046*($D41-20))*($D41+273.15))^-1.5*4*$EK41^0.5/(1+'Elements and ions'!$G$4*$EK41^0.5/(2*(79.755*EXP(-0.0046*($D41-20))*($D41+273.15))^0.5)))</f>
        <v>0.66096564710261774</v>
      </c>
      <c r="GJ41" s="94">
        <f>10^(-1825000*(79.755*EXP(-0.0046*($D41-20))*($D41+273.15))^-1.5*$EK41^0.5/(1+'Elements and ions'!$D$18*$EK41^0.5/(2*(79.755*EXP(-0.0046*($D41-20))*($D41+273.15))^0.5)))</f>
        <v>0.90770588040597899</v>
      </c>
      <c r="GK41" s="94">
        <f>10^(-1825000*(79.755*EXP(-0.0046*($D41-20))*($D41+273.15))^-1.5*$EK41^0.5/(1+'Elements and ions'!$I$7*$EK41^0.5/(2*(79.755*EXP(-0.0046*($D41-20))*($D41+273.15))^0.5)))</f>
        <v>0.90770588040597899</v>
      </c>
      <c r="GL41" s="94">
        <f>10^(-1825000*(79.755*EXP(-0.0046*($D41-20))*($D41+273.15))^-1.5*$EK41^0.5/(1+'Elements and ions'!$D$10*$EK41^0.5/(2*(79.755*EXP(-0.0046*($D41-20))*($D41+273.15))^0.5)))</f>
        <v>0.90887245677668727</v>
      </c>
      <c r="GM41" s="95">
        <f>10^(-1825000*(79.755*EXP(-0.0046*($D41-20))*($D41+273.15))^-1.5*4*$EK41^0.5/(1+'Elements and ions'!$I$5*$EK41^0.5/(2*(79.755*EXP(-0.0046*($D41-20))*($D41+273.15))^0.5)))</f>
        <v>0.68577955259858026</v>
      </c>
      <c r="GN41" s="96"/>
      <c r="GO41" s="101">
        <f t="shared" ref="GO41:GO42" si="677">IF($CQ41&lt;&gt;"",GC41*$CQ41,"")</f>
        <v>9.9665698110705273E-5</v>
      </c>
      <c r="GP41" s="94">
        <f t="shared" ref="GP41:GP42" si="678">IF($CR41&lt;&gt;"",GD41*$CR41,"")</f>
        <v>3.5029656157335998E-5</v>
      </c>
      <c r="GQ41" s="94">
        <f t="shared" ref="GQ41:GQ42" si="679">IF($CS41&lt;&gt;"",GE41*$CS41,"")</f>
        <v>9.7931154312150531E-4</v>
      </c>
      <c r="GR41" s="94">
        <f t="shared" ref="GR41:GR42" si="680">IF($CT41&lt;&gt;"",GF41*$CT41,"")</f>
        <v>8.9847859054651439E-5</v>
      </c>
      <c r="GS41" s="95" t="str">
        <f t="shared" ref="GS41:GS42" si="681">IF($DA41&lt;&gt;"",GG41*$DA41,"")</f>
        <v/>
      </c>
      <c r="GT41" s="101">
        <f t="shared" ref="GT41:GT42" si="682">IF($CU41&lt;&gt;"",GH41*$CU41,"")</f>
        <v>2.3396561388391328E-3</v>
      </c>
      <c r="GU41" s="94">
        <f t="shared" ref="GU41:GU42" si="683">IF($DK41&lt;&gt;"",GI41*$DK41,"")</f>
        <v>3.6666814523522823E-6</v>
      </c>
      <c r="GV41" s="94">
        <f t="shared" ref="GV41:GV42" si="684">IF($CV41&lt;&gt;"",GJ41*$CV41,"")</f>
        <v>9.1021211346036126E-5</v>
      </c>
      <c r="GW41" s="94">
        <f t="shared" ref="GW41:GW42" si="685">IF($CW41&lt;&gt;"",GK41*$CW41,"")</f>
        <v>1.9296174575276752E-4</v>
      </c>
      <c r="GX41" s="94">
        <f t="shared" ref="GX41:GX42" si="686">IF($DL41&lt;&gt;"",GL41*$DL41,"")</f>
        <v>1.180081067852224E-5</v>
      </c>
      <c r="GY41" s="102">
        <f t="shared" ref="GY41:GY42" si="687">IF($CX41&lt;&gt;"",GM41*$CX41,"")</f>
        <v>5.7375453413528896E-5</v>
      </c>
      <c r="GZ41" s="199"/>
      <c r="HA41" s="92">
        <f>IF(AND(GQ41&lt;&gt;"",GU41&lt;&gt;""),LOG(GQ41*GU41/Minerals!$C$6),"")</f>
        <v>3.5366061489137124E-2</v>
      </c>
      <c r="HB41" s="94">
        <f>IF(AND(GQ41&lt;&gt;"",GU41&lt;&gt;""),LOG(GQ41*GU41/Minerals!$C$5),"")</f>
        <v>-9.5113467867080609E-2</v>
      </c>
      <c r="HC41" s="94">
        <f>IF(AND(GQ41&lt;&gt;"",GX41&lt;&gt;""),LOG(GQ41*GX41^2/Minerals!$C$2),"")</f>
        <v>-2.2953304960093801</v>
      </c>
      <c r="HD41" s="94">
        <f>IF(AND(GQ41&lt;&gt;"",GY41&lt;&gt;""),LOG($GQ41*$GY41/Minerals!$C$3),"")</f>
        <v>-2.6503726309089743</v>
      </c>
      <c r="HE41" s="102">
        <f>IF(AND(GQ41&lt;&gt;"",GY41&lt;&gt;""),LOG($GQ41*$GY41/Minerals!$C$3),"")</f>
        <v>-2.6503726309089743</v>
      </c>
      <c r="HF41" s="199"/>
      <c r="HG41" s="92">
        <f>IF(HA41&lt;&gt;"",LOG(GQ41*GU41/(EXP(-1*Minerals!$E$6/'Other Constants'!$B$2*(1/(273.15+'ppm-mgL-1'!$D41)-1/298.15)+LN(Minerals!$C$6)))),"")</f>
        <v>-1.2660635396282127</v>
      </c>
      <c r="HH41" s="94">
        <f>IF(HA41&lt;&gt;"",LOG(GQ41*GU41/(EXP(-1*Minerals!$E$5/'Other Constants'!$B$2*(1/(273.15+'ppm-mgL-1'!$D41)-1/298.15)+LN(Minerals!$C$5)))),"")</f>
        <v>-1.3966607221280081</v>
      </c>
      <c r="HI41" s="94">
        <f>IF(HC41&lt;&gt;"",LOG(GQ41*GX41^2/(EXP(-1*Minerals!$E$2/'Other Constants'!$B$2*(1/(273.15+'ppm-mgL-1'!$D41)-1/298.15)+LN(Minerals!$C$2)))),"")</f>
        <v>-2.2403080425292159</v>
      </c>
      <c r="HJ41" s="94">
        <f>IF(HD41&lt;&gt;"",LOG($FF41*$FN41/(EXP(-1*Minerals!$E$3/'Other Constants'!$B$2*(1/(273.15+'ppm-mgL-1'!$D41)-1/298.15)+LN(Minerals!$C$3)))),"")</f>
        <v>-1.5370463098652933</v>
      </c>
      <c r="HK41" s="95">
        <f>IF(HE41&lt;&gt;"",LOG($FF41*$FN41/(EXP(-1*Minerals!$E$4/'Other Constants'!$B$2*(1/(273.15+'ppm-mgL-1'!$D41)-1/298.15)+LN(Minerals!$C$4)))),"")</f>
        <v>-2.9310473672057107</v>
      </c>
      <c r="HL41" s="199"/>
      <c r="HM41" s="199"/>
    </row>
    <row r="42" spans="1:221" x14ac:dyDescent="0.25">
      <c r="A42" s="267" t="str">
        <f>'WC samples'!B13</f>
        <v>ISCD Direct</v>
      </c>
      <c r="C42" s="266">
        <f>'WC samples'!A13</f>
        <v>41546</v>
      </c>
      <c r="D42" s="4">
        <f>'WC samples'!I13</f>
        <v>20.6</v>
      </c>
      <c r="E42" s="4">
        <f>'WC samples'!F13</f>
        <v>7.64</v>
      </c>
      <c r="AD42" s="83">
        <f>IF(E42&lt;&gt;"",10^(-2*$E42)/(10^(-2*$E42)+10^(-$E42-pKa!$B$2)+(10^(-pKa!$B$2-pKa!$C$2))),"")</f>
        <v>4.3619589765195074E-2</v>
      </c>
      <c r="AE42" s="84">
        <f>IF(E42&lt;&gt;"",10^(-$E42-pKa!$B$2)/(10^(-2*$E42)+10^(-$E42-pKa!$B$2)+10^(-pKa!$B$2-pKa!$C$2)),"")</f>
        <v>0.95429264540716596</v>
      </c>
      <c r="AF42" s="212">
        <f>IF(E42&lt;&gt;"",10^(-pKa!$B$2-pKa!$C$2)/(10^(-2*$E42)+10^(-$E42-pKa!$B$2)+10^(-pKa!$B$2-pKa!$C$2)),"")</f>
        <v>2.0877648276390894E-3</v>
      </c>
      <c r="AG42" s="152"/>
      <c r="AH42" s="222">
        <f>IF($AK42&lt;&gt;"",$AK42/'Elements and ions'!$G$3,IF($E42="","",""))</f>
        <v>2.6550047495084965</v>
      </c>
      <c r="AI42" s="85">
        <f t="shared" si="624"/>
        <v>2.7700495488317779E-3</v>
      </c>
      <c r="AJ42" s="84">
        <f>IF(AI42&lt;&gt;"",AI42*1000*'Elements and ions'!$B$7,"")</f>
        <v>33.270234116153837</v>
      </c>
      <c r="AK42" s="99">
        <f>'WC samples'!H13</f>
        <v>162</v>
      </c>
      <c r="AL42" s="88">
        <f>IF($AK42&lt;&gt;"",$AK42/'Elements and ions'!$G$3*Minerals!$B$6/2,IF($E42="","","Enter Alk(HCO3-)"))</f>
        <v>132.86559743179097</v>
      </c>
      <c r="AM42" s="199"/>
      <c r="AN42" s="101">
        <f t="shared" si="491"/>
        <v>1.2082842494930585E-4</v>
      </c>
      <c r="AO42" s="94">
        <f t="shared" si="492"/>
        <v>2.6434379118636039E-3</v>
      </c>
      <c r="AP42" s="95">
        <f t="shared" si="493"/>
        <v>5.7832120188685138E-6</v>
      </c>
      <c r="AQ42" s="199"/>
      <c r="AR42" s="199"/>
      <c r="AS42" s="83">
        <f t="shared" si="66"/>
        <v>0.35537772043913485</v>
      </c>
      <c r="AT42" s="83">
        <f>IF(AN42&lt;&gt;"",AN42/'Henrys law constants'!$B$7*1000000,"")</f>
        <v>3553.7772043913483</v>
      </c>
      <c r="AU42" s="268">
        <f>'WC samples'!K13</f>
        <v>2.8698999999999999</v>
      </c>
      <c r="AV42" s="269">
        <f>'WC samples'!M13</f>
        <v>1.7506999999999999</v>
      </c>
      <c r="AW42" s="269">
        <f>'WC samples'!O13</f>
        <v>53.887099999999997</v>
      </c>
      <c r="AX42" s="269">
        <f>'WC samples'!N13</f>
        <v>3.4338000000000002</v>
      </c>
      <c r="AY42" s="226">
        <f>AO42*'Elements and ions'!$G$3*1000</f>
        <v>161.29422811811563</v>
      </c>
      <c r="AZ42" s="269">
        <f>'WC samples'!Q13</f>
        <v>4.2321999999999997</v>
      </c>
      <c r="BA42" s="269">
        <f>'WC samples'!T13</f>
        <v>10.138999999999999</v>
      </c>
      <c r="BB42" s="270">
        <f>'WC samples'!V13</f>
        <v>8.2616999999999994</v>
      </c>
      <c r="BC42" s="222">
        <f>IF($E42&lt;&gt;"",10^-$E42*'Elements and ions'!B43*1000,"")</f>
        <v>0</v>
      </c>
      <c r="BE42" s="6"/>
      <c r="BF42" s="6"/>
      <c r="BG42" s="270">
        <f>'WC samples'!L13</f>
        <v>0</v>
      </c>
      <c r="BH42" s="3"/>
      <c r="BJ42" s="92">
        <f>IF($AN42&lt;&gt;"",$AN42*'Elements and ions'!$G$2*1000,"")</f>
        <v>7.4943564752272058</v>
      </c>
      <c r="BK42" s="229"/>
      <c r="BL42" s="230"/>
      <c r="BM42" s="101">
        <f>IF($E42&lt;&gt;"",(10^-14+$E42)*'Elements and ions'!$G$8,"")</f>
        <v>129.93607760000015</v>
      </c>
      <c r="BO42" s="102">
        <f>IF($AP42&lt;&gt;"",$AP42*'Elements and ions'!$G$4*1000,"")</f>
        <v>0.34704419171907874</v>
      </c>
      <c r="BP42" s="269">
        <f>'WC samples'!P13</f>
        <v>0.16889999999999999</v>
      </c>
      <c r="BQ42" s="270">
        <f>'WC samples'!R13</f>
        <v>0</v>
      </c>
      <c r="BR42" s="195"/>
      <c r="BS42" s="238">
        <f>IF($AU42&lt;&gt;"",$AU42/'Elements and ions'!$B$12,"")</f>
        <v>0.12483378867558603</v>
      </c>
      <c r="BT42" s="239">
        <f>IF($AV42&lt;&gt;"",$AV42/'Elements and ions'!$B$20,"")</f>
        <v>4.4776882882375954E-2</v>
      </c>
      <c r="BU42" s="239">
        <f>IF($AW42&lt;&gt;"",$AW42/'Elements and ions'!$B$21, "")</f>
        <v>1.3445556165477317</v>
      </c>
      <c r="BV42" s="240">
        <f>IF($AX42&lt;&gt;"",$AX42/'Elements and ions'!$B$13, "")</f>
        <v>0.14127957210450526</v>
      </c>
      <c r="BW42" s="238">
        <f>IF($AY42&lt;&gt;"",$AY42/'Elements and ions'!$G$3,"")</f>
        <v>2.6434379118636042</v>
      </c>
      <c r="BX42" s="239">
        <f>IF($AZ42&lt;&gt;"",$AZ42/'Elements and ions'!$B$18,"")</f>
        <v>0.11937494711307928</v>
      </c>
      <c r="BY42" s="239">
        <f>IF($BA42&lt;&gt;"",$BA42/'Elements and ions'!$G$7,"")</f>
        <v>0.16351933476225264</v>
      </c>
      <c r="BZ42" s="241">
        <f>IF($BB42&lt;&gt;"",$BB42/'Elements and ions'!$G$5,"")</f>
        <v>8.6003293685575855E-2</v>
      </c>
      <c r="CA42" s="91">
        <f t="shared" si="67"/>
        <v>2.2908676527677691E-5</v>
      </c>
      <c r="CB42" s="163" t="str">
        <f>IF($BD42&lt;&gt;"",$BD42/'Elements and ions'!$B$14,"")</f>
        <v/>
      </c>
      <c r="CC42" s="89" t="str">
        <f>IF($BE42&lt;&gt;"",$BE42/'Elements and ions'!$B$27, "")</f>
        <v/>
      </c>
      <c r="CD42" s="249" t="str">
        <f>IF($BF42&lt;&gt;"",$BF42/'Elements and ions'!$B$26,"")</f>
        <v/>
      </c>
      <c r="CE42" s="250">
        <f>IF($BG42&lt;&gt;"",$BG42/'Elements and ions'!$G$6,"")</f>
        <v>0</v>
      </c>
      <c r="CF42" s="91" t="str">
        <f>IF($BH42&lt;&gt;"",$BH42/'Elements and ions'!$G$15,"")</f>
        <v/>
      </c>
      <c r="CG42" s="89" t="str">
        <f>IF($BI42&lt;&gt;"",$BI42/'Elements and ions'!$G$16,"")</f>
        <v/>
      </c>
      <c r="CH42" s="90">
        <f>IF($BJ42&lt;&gt;"",$BJ42/'Elements and ions'!$G$2,"")</f>
        <v>0.12082842494930586</v>
      </c>
      <c r="CI42" s="91" t="str">
        <f>IF($BK42&lt;&gt;"",$BK42/'Elements and ions'!$B$15, "")</f>
        <v/>
      </c>
      <c r="CJ42" s="88" t="str">
        <f>IF($BL42&lt;&gt;"", $BL42/'Elements and ions'!$G$17,"")</f>
        <v/>
      </c>
      <c r="CK42" s="89">
        <f t="shared" si="68"/>
        <v>4.365158322401653E-4</v>
      </c>
      <c r="CL42" s="163" t="str">
        <f>IF($BN42&lt;&gt;"", $BN42/'Elements and ions'!$G$19,"")</f>
        <v/>
      </c>
      <c r="CM42" s="89">
        <f>IF($BO42&lt;&gt;"",$BO42/'Elements and ions'!$G$4,"")</f>
        <v>5.7832120188685138E-3</v>
      </c>
      <c r="CN42" s="89">
        <f>IF($BP42&lt;&gt;"",$BP42/'Elements and ions'!$B$10,"")</f>
        <v>8.8902208370859291E-3</v>
      </c>
      <c r="CO42" s="104">
        <f>IF($BQ42&lt;&gt;"",$BQ42/'Elements and ions'!$G$18,"")</f>
        <v>0</v>
      </c>
      <c r="CP42" s="242"/>
      <c r="CQ42" s="238">
        <f t="shared" si="625"/>
        <v>1.2483378867558602E-4</v>
      </c>
      <c r="CR42" s="239">
        <f t="shared" si="626"/>
        <v>4.4776882882375952E-5</v>
      </c>
      <c r="CS42" s="239">
        <f t="shared" si="627"/>
        <v>1.3445556165477318E-3</v>
      </c>
      <c r="CT42" s="241">
        <f t="shared" si="628"/>
        <v>1.4127957210450525E-4</v>
      </c>
      <c r="CU42" s="238">
        <f t="shared" si="629"/>
        <v>2.6434379118636044E-3</v>
      </c>
      <c r="CV42" s="239">
        <f t="shared" si="630"/>
        <v>1.1937494711307927E-4</v>
      </c>
      <c r="CW42" s="239">
        <f t="shared" si="631"/>
        <v>1.6351933476225263E-4</v>
      </c>
      <c r="CX42" s="241">
        <f t="shared" si="632"/>
        <v>8.6003293685575855E-5</v>
      </c>
      <c r="CY42" s="258">
        <f t="shared" si="98"/>
        <v>2.2908676527677693E-8</v>
      </c>
      <c r="CZ42" s="259" t="str">
        <f t="shared" si="633"/>
        <v/>
      </c>
      <c r="DA42" s="260" t="str">
        <f t="shared" si="634"/>
        <v/>
      </c>
      <c r="DB42" s="261" t="str">
        <f t="shared" si="635"/>
        <v/>
      </c>
      <c r="DC42" s="262">
        <f t="shared" si="636"/>
        <v>0</v>
      </c>
      <c r="DD42" s="263" t="str">
        <f t="shared" si="637"/>
        <v/>
      </c>
      <c r="DE42" s="259" t="str">
        <f t="shared" si="638"/>
        <v/>
      </c>
      <c r="DF42" s="260">
        <f t="shared" si="639"/>
        <v>1.2082842494930586E-4</v>
      </c>
      <c r="DG42" s="260" t="str">
        <f t="shared" si="640"/>
        <v/>
      </c>
      <c r="DH42" s="264" t="str">
        <f t="shared" si="641"/>
        <v/>
      </c>
      <c r="DI42" s="258">
        <f t="shared" si="108"/>
        <v>4.365158322401653E-7</v>
      </c>
      <c r="DJ42" s="260" t="str">
        <f t="shared" si="642"/>
        <v/>
      </c>
      <c r="DK42" s="260">
        <f t="shared" si="643"/>
        <v>5.7832120188685138E-6</v>
      </c>
      <c r="DL42" s="260">
        <f t="shared" si="644"/>
        <v>8.8902208370859291E-6</v>
      </c>
      <c r="DM42" s="265">
        <f t="shared" si="645"/>
        <v>0</v>
      </c>
      <c r="DN42" s="242"/>
      <c r="DO42" s="238">
        <f t="shared" si="646"/>
        <v>0.12483378867558603</v>
      </c>
      <c r="DP42" s="239">
        <f t="shared" si="647"/>
        <v>4.4776882882375954E-2</v>
      </c>
      <c r="DQ42" s="239">
        <f t="shared" si="648"/>
        <v>2.6891112330954634</v>
      </c>
      <c r="DR42" s="241">
        <f t="shared" si="649"/>
        <v>0.28255914420901052</v>
      </c>
      <c r="DS42" s="238">
        <f t="shared" si="650"/>
        <v>-2.6434379118636042</v>
      </c>
      <c r="DT42" s="239">
        <f t="shared" si="651"/>
        <v>-0.11937494711307928</v>
      </c>
      <c r="DU42" s="239">
        <f t="shared" si="652"/>
        <v>-0.16351933476225264</v>
      </c>
      <c r="DV42" s="241">
        <f t="shared" si="653"/>
        <v>-0.17200658737115171</v>
      </c>
      <c r="DW42" s="91">
        <f t="shared" si="113"/>
        <v>2.2908676527677691E-5</v>
      </c>
      <c r="DX42" s="89">
        <f t="shared" si="654"/>
        <v>0</v>
      </c>
      <c r="DY42" s="89">
        <f t="shared" si="655"/>
        <v>0</v>
      </c>
      <c r="DZ42" s="89">
        <f t="shared" si="656"/>
        <v>0</v>
      </c>
      <c r="EA42" s="90">
        <f t="shared" si="657"/>
        <v>0</v>
      </c>
      <c r="EB42" s="91">
        <f t="shared" si="118"/>
        <v>-4.365158322401653E-4</v>
      </c>
      <c r="EC42" s="89">
        <f t="shared" si="658"/>
        <v>0</v>
      </c>
      <c r="ED42" s="89">
        <f t="shared" si="659"/>
        <v>-1.1566424037737028E-2</v>
      </c>
      <c r="EE42" s="89">
        <f t="shared" si="660"/>
        <v>-8.8902208370859291E-3</v>
      </c>
      <c r="EF42" s="90">
        <f t="shared" si="661"/>
        <v>0</v>
      </c>
      <c r="EG42" s="242"/>
      <c r="EH42" s="245">
        <f t="shared" si="662"/>
        <v>3.1413039575389639</v>
      </c>
      <c r="EI42" s="246">
        <f t="shared" si="663"/>
        <v>-3.119231941817151</v>
      </c>
      <c r="EJ42" s="198">
        <f t="shared" si="664"/>
        <v>0.35255792917157303</v>
      </c>
      <c r="EK42" s="198">
        <f t="shared" si="665"/>
        <v>7.8397704724182445E-3</v>
      </c>
      <c r="EL42" s="101">
        <f>IF(AND(CS42&lt;&gt;"",DK42&lt;&gt;""),LOG(CS42*DK42/Minerals!$C$6),"")</f>
        <v>0.37091989173035517</v>
      </c>
      <c r="EM42" s="94">
        <f>IF(AND(CS42&lt;&gt;"",DK42&lt;&gt;""),LOG(CS42*DK42/Minerals!$C$5),"")</f>
        <v>0.24044036237413746</v>
      </c>
      <c r="EN42" s="94">
        <f>IF(AND(CS42&lt;&gt;"",DL42&lt;&gt;""),LOG(CS42*DL42^2/Minerals!$C$2),"")</f>
        <v>-2.403671186002212</v>
      </c>
      <c r="EO42" s="94">
        <f>IF(AND(CS42&lt;&gt;"",CX42&lt;&gt;""),LOG($CS42*$CX42/Minerals!$C$3),"")</f>
        <v>-2.3369257800386545</v>
      </c>
      <c r="EP42" s="95">
        <f>IF(AND(CS42&lt;&gt;"",CX42&lt;&gt;""),LOG($CS42*$CX42/Minerals!$C$4),"")</f>
        <v>-2.5769102915045572</v>
      </c>
      <c r="EQ42" s="199"/>
      <c r="ER42" s="101">
        <f t="shared" si="621"/>
        <v>0.91060451860699387</v>
      </c>
      <c r="ES42" s="94">
        <f t="shared" si="621"/>
        <v>0.91060451860699387</v>
      </c>
      <c r="ET42" s="94">
        <f t="shared" si="622"/>
        <v>0.68757361730786393</v>
      </c>
      <c r="EU42" s="94">
        <f t="shared" si="622"/>
        <v>0.68757361730786393</v>
      </c>
      <c r="EV42" s="95">
        <f t="shared" si="622"/>
        <v>0.68757361730786393</v>
      </c>
      <c r="EW42" s="101">
        <f t="shared" si="623"/>
        <v>0.91060451860699387</v>
      </c>
      <c r="EX42" s="94">
        <f t="shared" si="31"/>
        <v>0.68757361730786393</v>
      </c>
      <c r="EY42" s="94">
        <f t="shared" si="623"/>
        <v>0.91060451860699387</v>
      </c>
      <c r="EZ42" s="94">
        <f t="shared" si="623"/>
        <v>0.91060451860699387</v>
      </c>
      <c r="FA42" s="94">
        <f t="shared" si="165"/>
        <v>0.91060451860699387</v>
      </c>
      <c r="FB42" s="95">
        <f t="shared" si="32"/>
        <v>0.68757361730786393</v>
      </c>
      <c r="FC42" s="199"/>
      <c r="FD42" s="101">
        <f t="shared" si="666"/>
        <v>1.1367421204281921E-4</v>
      </c>
      <c r="FE42" s="94">
        <f t="shared" si="667"/>
        <v>4.0774031881827696E-5</v>
      </c>
      <c r="FF42" s="94">
        <f t="shared" si="668"/>
        <v>9.2448096894132917E-4</v>
      </c>
      <c r="FG42" s="94">
        <f t="shared" si="669"/>
        <v>9.7140106443601866E-5</v>
      </c>
      <c r="FH42" s="95" t="str">
        <f t="shared" si="670"/>
        <v/>
      </c>
      <c r="FI42" s="101">
        <f t="shared" si="671"/>
        <v>2.4071265072000345E-3</v>
      </c>
      <c r="FJ42" s="94">
        <f t="shared" si="672"/>
        <v>3.9763840074717388E-6</v>
      </c>
      <c r="FK42" s="94">
        <f t="shared" si="673"/>
        <v>1.087033662496409E-4</v>
      </c>
      <c r="FL42" s="94">
        <f t="shared" si="674"/>
        <v>1.4890144511411693E-4</v>
      </c>
      <c r="FM42" s="94">
        <f t="shared" si="675"/>
        <v>8.0954752656644984E-6</v>
      </c>
      <c r="FN42" s="95">
        <f t="shared" si="676"/>
        <v>5.9133595739781966E-5</v>
      </c>
      <c r="FO42" s="199"/>
      <c r="FP42" s="101">
        <f>IF(EL42&lt;&gt;"",LOG(FF42*FJ42/Minerals!$C$6),"")</f>
        <v>4.5558300019160988E-2</v>
      </c>
      <c r="FQ42" s="94">
        <f>IF(EL42&lt;&gt;"",LOG(FF42*FJ42/Minerals!$C$5),"")</f>
        <v>-8.4921229337056703E-2</v>
      </c>
      <c r="FR42" s="94">
        <f>IF(EN42&lt;&gt;"",LOG(FF42*FM42^2/Minerals!$C$2),"")</f>
        <v>-2.6476923797856076</v>
      </c>
      <c r="FS42" s="94">
        <f>IF(EO42&lt;&gt;"",LOG($FF42*$FN42/Minerals!$C$3),"")</f>
        <v>-2.6622873717498488</v>
      </c>
      <c r="FT42" s="95">
        <f>IF(EP42&lt;&gt;"",LOG($FF42*$FN42/Minerals!$C$4),"")</f>
        <v>-2.902271883215751</v>
      </c>
      <c r="FU42" s="96"/>
      <c r="FV42" s="101">
        <f>IF(FP42&lt;&gt;"",LOG(FF42*FJ42/(EXP(-1*Minerals!$E$6/'Other Constants'!$B$2*(1/(273.15+'ppm-mgL-1'!$D42)-1/298.15)+LN(Minerals!$C$6)))),"")</f>
        <v>-1.6961790861456989</v>
      </c>
      <c r="FW42" s="94">
        <f>IF(FP42&lt;&gt;"",LOG(FF42*FJ42/(EXP(-1*Minerals!$E$5/'Other Constants'!$B$2*(1/(273.15+'ppm-mgL-1'!$D42)-1/298.15)+LN(Minerals!$C$5)))),"")</f>
        <v>-1.8268160737913204</v>
      </c>
      <c r="FX42" s="94">
        <f>IF(FR42&lt;&gt;"",LOG(FF42*FM42^2/(EXP(-1*Minerals!$E$2/'Other Constants'!$B$2*(1/(273.15+'ppm-mgL-1'!$D42)-1/298.15)+LN(Minerals!$C$2)))),"")</f>
        <v>-2.5740543864414893</v>
      </c>
      <c r="FY42" s="94">
        <f>IF(FS42&lt;&gt;"",LOG($FF42*$FN42/(EXP(-1*Minerals!$E$3/'Other Constants'!$B$2*(1/(273.15+'ppm-mgL-1'!$D42)-1/298.15)+LN(Minerals!$C$3)))),"")</f>
        <v>-1.1608491017575611</v>
      </c>
      <c r="FZ42" s="95">
        <f>IF(FT42&lt;&gt;"",LOG($FF42*$FN42/(EXP(-1*Minerals!$E$4/'Other Constants'!$B$2*(1/(273.15+'ppm-mgL-1'!$D42)-1/298.15)+LN(Minerals!$C$4)))),"")</f>
        <v>-2.9452842392709928</v>
      </c>
      <c r="GA42" s="96"/>
      <c r="GB42" s="96"/>
      <c r="GC42" s="101">
        <f>10^(-1825000*(79.755*EXP(-0.0046*($D42-20))*($D42+273.15))^-1.5*$EK42^0.5/(1+'Elements and ions'!$D$12*$EK42^0.5/(2*(79.755*EXP(-0.0046*($D42-20))*($D42+273.15))^0.5)))</f>
        <v>0.91085454683272704</v>
      </c>
      <c r="GD42" s="94">
        <f>10^(-1825000*(79.755*EXP(-0.0046*($D42-20))*($D42+273.15))^-1.5*$EK42^0.5/(1+'Elements and ions'!$D$20*$EK42^0.5/(2*(79.755*EXP(-0.0046*($D42-20))*($D42+273.15))^0.5)))</f>
        <v>0.90859098210792522</v>
      </c>
      <c r="GE42" s="94">
        <f>10^(-1825000*(79.755*EXP(-0.0046*($D42-20))*($D42+273.15))^-1.5*4*$EK42^0.5/(1+'Elements and ions'!$D$21*$EK42^0.5/(2*(79.755*EXP(-0.0046*($D42-20))*($D42+273.15))^0.5)))</f>
        <v>0.70113402226882116</v>
      </c>
      <c r="GF42" s="94">
        <f>10^(-1825000*(79.755*EXP(-0.0046*($D42-20))*($D42+273.15))^-1.5*4*$EK42^0.5/(1+'Elements and ions'!$D$13*$EK42^0.5/(2*(79.755*EXP(-0.0046*($D42-20))*($D42+273.15))^0.5)))</f>
        <v>0.712940059719126</v>
      </c>
      <c r="GG42" s="95">
        <f>10^(-1825000*(79.755*EXP(-0.0046*($D42-20))*($D42+273.15))^-1.5*4*$EK42^0.5/(1+'Elements and ions'!$D$27*$EK42^0.5/(2*(79.755*EXP(-0.0046*($D42-20))*($D42+273.15))^0.5)))</f>
        <v>0.70113402226882116</v>
      </c>
      <c r="GH42" s="101">
        <f>10^(-1825000*(79.755*EXP(-0.0046*($D42-20))*($D42+273.15))^-1.5*$EK42^0.5/(1+'Elements and ions'!$G$3*$EK42^0.5/(2*(79.755*EXP(-0.0046*($D42-20))*($D42+273.15))^0.5)))</f>
        <v>0.9026861952562949</v>
      </c>
      <c r="GI42" s="94">
        <f>10^(-1825000*(79.755*EXP(-0.0046*($D42-20))*($D42+273.15))^-1.5*4*$EK42^0.5/(1+'Elements and ions'!$G$4*$EK42^0.5/(2*(79.755*EXP(-0.0046*($D42-20))*($D42+273.15))^0.5)))</f>
        <v>0.66389006387902882</v>
      </c>
      <c r="GJ42" s="94">
        <f>10^(-1825000*(79.755*EXP(-0.0046*($D42-20))*($D42+273.15))^-1.5*$EK42^0.5/(1+'Elements and ions'!$D$18*$EK42^0.5/(2*(79.755*EXP(-0.0046*($D42-20))*($D42+273.15))^0.5)))</f>
        <v>0.90859098210792522</v>
      </c>
      <c r="GK42" s="94">
        <f>10^(-1825000*(79.755*EXP(-0.0046*($D42-20))*($D42+273.15))^-1.5*$EK42^0.5/(1+'Elements and ions'!$I$7*$EK42^0.5/(2*(79.755*EXP(-0.0046*($D42-20))*($D42+273.15))^0.5)))</f>
        <v>0.90859098210792522</v>
      </c>
      <c r="GL42" s="94">
        <f>10^(-1825000*(79.755*EXP(-0.0046*($D42-20))*($D42+273.15))^-1.5*$EK42^0.5/(1+'Elements and ions'!$D$10*$EK42^0.5/(2*(79.755*EXP(-0.0046*($D42-20))*($D42+273.15))^0.5)))</f>
        <v>0.90973694223652624</v>
      </c>
      <c r="GM42" s="95">
        <f>10^(-1825000*(79.755*EXP(-0.0046*($D42-20))*($D42+273.15))^-1.5*4*$EK42^0.5/(1+'Elements and ions'!$I$5*$EK42^0.5/(2*(79.755*EXP(-0.0046*($D42-20))*($D42+273.15))^0.5)))</f>
        <v>0.68832908743874088</v>
      </c>
      <c r="GN42" s="96"/>
      <c r="GO42" s="101">
        <f t="shared" si="677"/>
        <v>1.1370542401351332E-4</v>
      </c>
      <c r="GP42" s="94">
        <f t="shared" si="678"/>
        <v>4.0683871993829509E-5</v>
      </c>
      <c r="GQ42" s="94">
        <f t="shared" si="679"/>
        <v>9.4271368759424594E-4</v>
      </c>
      <c r="GR42" s="94">
        <f t="shared" si="680"/>
        <v>1.0072386657327854E-4</v>
      </c>
      <c r="GS42" s="95" t="str">
        <f t="shared" si="681"/>
        <v/>
      </c>
      <c r="GT42" s="101">
        <f t="shared" si="682"/>
        <v>2.3861949110564021E-3</v>
      </c>
      <c r="GU42" s="94">
        <f t="shared" si="683"/>
        <v>3.8394169966325848E-6</v>
      </c>
      <c r="GV42" s="94">
        <f t="shared" si="684"/>
        <v>1.0846300043655432E-4</v>
      </c>
      <c r="GW42" s="94">
        <f t="shared" si="685"/>
        <v>1.4857219296526971E-4</v>
      </c>
      <c r="GX42" s="94">
        <f t="shared" si="686"/>
        <v>8.0877623201380033E-6</v>
      </c>
      <c r="GY42" s="102">
        <f t="shared" si="687"/>
        <v>5.9198568659318457E-5</v>
      </c>
      <c r="GZ42" s="199"/>
      <c r="HA42" s="92">
        <f>IF(AND(GQ42&lt;&gt;"",GU42&lt;&gt;""),LOG(GQ42*GU42/Minerals!$C$6),"")</f>
        <v>3.8817102152931424E-2</v>
      </c>
      <c r="HB42" s="94">
        <f>IF(AND(GQ42&lt;&gt;"",GU42&lt;&gt;""),LOG(GQ42*GU42/Minerals!$C$5),"")</f>
        <v>-9.166242720328624E-2</v>
      </c>
      <c r="HC42" s="94">
        <f>IF(AND(GQ42&lt;&gt;"",GX42&lt;&gt;""),LOG(GQ42*GX42^2/Minerals!$C$2),"")</f>
        <v>-2.6400384829466135</v>
      </c>
      <c r="HD42" s="94">
        <f>IF(AND(GQ42&lt;&gt;"",GY42&lt;&gt;""),LOG($GQ42*$GY42/Minerals!$C$3),"")</f>
        <v>-2.6533286160610183</v>
      </c>
      <c r="HE42" s="102">
        <f>IF(AND(GQ42&lt;&gt;"",GY42&lt;&gt;""),LOG($GQ42*$GY42/Minerals!$C$3),"")</f>
        <v>-2.6533286160610183</v>
      </c>
      <c r="HF42" s="199"/>
      <c r="HG42" s="92">
        <f>IF(HA42&lt;&gt;"",LOG(GQ42*GU42/(EXP(-1*Minerals!$E$6/'Other Constants'!$B$2*(1/(273.15+'ppm-mgL-1'!$D42)-1/298.15)+LN(Minerals!$C$6)))),"")</f>
        <v>-1.7029202840119284</v>
      </c>
      <c r="HH42" s="94">
        <f>IF(HA42&lt;&gt;"",LOG(GQ42*GU42/(EXP(-1*Minerals!$E$5/'Other Constants'!$B$2*(1/(273.15+'ppm-mgL-1'!$D42)-1/298.15)+LN(Minerals!$C$5)))),"")</f>
        <v>-1.8335572716575499</v>
      </c>
      <c r="HI42" s="94">
        <f>IF(HC42&lt;&gt;"",LOG(GQ42*GX42^2/(EXP(-1*Minerals!$E$2/'Other Constants'!$B$2*(1/(273.15+'ppm-mgL-1'!$D42)-1/298.15)+LN(Minerals!$C$2)))),"")</f>
        <v>-2.5664004896024952</v>
      </c>
      <c r="HJ42" s="94">
        <f>IF(HD42&lt;&gt;"",LOG($FF42*$FN42/(EXP(-1*Minerals!$E$3/'Other Constants'!$B$2*(1/(273.15+'ppm-mgL-1'!$D42)-1/298.15)+LN(Minerals!$C$3)))),"")</f>
        <v>-1.1608491017575611</v>
      </c>
      <c r="HK42" s="95">
        <f>IF(HE42&lt;&gt;"",LOG($FF42*$FN42/(EXP(-1*Minerals!$E$4/'Other Constants'!$B$2*(1/(273.15+'ppm-mgL-1'!$D42)-1/298.15)+LN(Minerals!$C$4)))),"")</f>
        <v>-2.9452842392709928</v>
      </c>
      <c r="HL42" s="199"/>
      <c r="HM42" s="199"/>
    </row>
    <row r="43" spans="1:221" x14ac:dyDescent="0.25">
      <c r="A43" s="267" t="str">
        <f>'WC samples'!B14</f>
        <v>ISCD Direct</v>
      </c>
      <c r="C43" s="266">
        <f>'WC samples'!A14</f>
        <v>41566</v>
      </c>
      <c r="D43" s="4">
        <f>'WC samples'!I14</f>
        <v>20.100000000000001</v>
      </c>
      <c r="E43" s="4">
        <f>'WC samples'!F14</f>
        <v>7.57</v>
      </c>
      <c r="AD43" s="83">
        <f>IF(E43&lt;&gt;"",10^(-2*$E43)/(10^(-2*$E43)+10^(-$E43-pKa!$B$2)+(10^(-pKa!$B$2-pKa!$C$2))),"")</f>
        <v>5.0876228431774688E-2</v>
      </c>
      <c r="AE43" s="84">
        <f>IF(E43&lt;&gt;"",10^(-$E43-pKa!$B$2)/(10^(-2*$E43)+10^(-$E43-pKa!$B$2)+10^(-pKa!$B$2-pKa!$C$2)),"")</f>
        <v>0.94735970524729152</v>
      </c>
      <c r="AF43" s="212">
        <f>IF(E43&lt;&gt;"",10^(-pKa!$B$2-pKa!$C$2)/(10^(-2*$E43)+10^(-$E43-pKa!$B$2)+10^(-pKa!$B$2-pKa!$C$2)),"")</f>
        <v>1.7640663209337094E-3</v>
      </c>
      <c r="AG43" s="152"/>
      <c r="AH43" s="222">
        <f>IF($AK43&lt;&gt;"",$AK43/'Elements and ions'!$G$3,IF($E43="","",""))</f>
        <v>2.29444854895796</v>
      </c>
      <c r="AI43" s="85">
        <f t="shared" ref="AI43:AI73" si="688">IF($AH43&lt;&gt;"",($AH43-10^(-14+$E43)+10^(-$E43))/1000/(AE43+2*AF43),IF($E43="","",""))</f>
        <v>2.4129535712975785E-3</v>
      </c>
      <c r="AJ43" s="84">
        <f>IF(AI43&lt;&gt;"",AI43*1000*'Elements and ions'!$B$7,"")</f>
        <v>28.981261458783827</v>
      </c>
      <c r="AK43" s="99">
        <f>'WC samples'!H14</f>
        <v>140</v>
      </c>
      <c r="AL43" s="88">
        <f>IF($AK43&lt;&gt;"",$AK43/'Elements and ions'!$G$3*Minerals!$B$6/2,IF($E43="","","Enter Alk(HCO3-)"))</f>
        <v>114.82212123735023</v>
      </c>
      <c r="AM43" s="199"/>
      <c r="AN43" s="101">
        <f t="shared" si="491"/>
        <v>1.2276197708860212E-4</v>
      </c>
      <c r="AO43" s="94">
        <f t="shared" si="492"/>
        <v>2.2859349840798735E-3</v>
      </c>
      <c r="AP43" s="95">
        <f t="shared" si="493"/>
        <v>4.2566101291027746E-6</v>
      </c>
      <c r="AQ43" s="199"/>
      <c r="AR43" s="199"/>
      <c r="AS43" s="83">
        <f t="shared" si="66"/>
        <v>0.3610646384958886</v>
      </c>
      <c r="AT43" s="83">
        <f>IF(AN43&lt;&gt;"",AN43/'Henrys law constants'!$B$7*1000000,"")</f>
        <v>3610.6463849588858</v>
      </c>
      <c r="AU43" s="268">
        <f>'WC samples'!K14</f>
        <v>2.4820000000000002</v>
      </c>
      <c r="AV43" s="269">
        <f>'WC samples'!M14</f>
        <v>1.9426000000000001</v>
      </c>
      <c r="AW43" s="269">
        <f>'WC samples'!O14</f>
        <v>47.576099999999997</v>
      </c>
      <c r="AX43" s="269">
        <f>'WC samples'!N14</f>
        <v>3.1181000000000001</v>
      </c>
      <c r="AY43" s="226">
        <f>AO43*'Elements and ions'!$G$3*1000</f>
        <v>139.48052917400418</v>
      </c>
      <c r="AZ43" s="269">
        <f>'WC samples'!Q14</f>
        <v>3.1793</v>
      </c>
      <c r="BA43" s="269">
        <f>'WC samples'!T14</f>
        <v>6.3261000000000003</v>
      </c>
      <c r="BB43" s="270">
        <f>'WC samples'!V14</f>
        <v>6.0820999999999996</v>
      </c>
      <c r="BC43" s="222">
        <f>IF($E43&lt;&gt;"",10^-$E43*'Elements and ions'!B44*1000,"")</f>
        <v>0</v>
      </c>
      <c r="BE43" s="6"/>
      <c r="BF43" s="6"/>
      <c r="BG43" s="270">
        <f>'WC samples'!L14</f>
        <v>0</v>
      </c>
      <c r="BH43" s="3"/>
      <c r="BJ43" s="92">
        <f>IF($AN43&lt;&gt;"",$AN43*'Elements and ions'!$G$2*1000,"")</f>
        <v>7.6142846212855861</v>
      </c>
      <c r="BK43" s="229"/>
      <c r="BL43" s="230"/>
      <c r="BM43" s="101">
        <f>IF($E43&lt;&gt;"",(10^-14+$E43)*'Elements and ions'!$G$8,"")</f>
        <v>128.74556380000016</v>
      </c>
      <c r="BO43" s="102">
        <f>IF($AP43&lt;&gt;"",$AP43*'Elements and ions'!$G$4*1000,"")</f>
        <v>0.25543449157631548</v>
      </c>
      <c r="BP43" s="269">
        <f>'WC samples'!P14</f>
        <v>0.20130000000000001</v>
      </c>
      <c r="BQ43" s="270">
        <f>'WC samples'!R14</f>
        <v>0</v>
      </c>
      <c r="BR43" s="195"/>
      <c r="BS43" s="238">
        <f>IF($AU43&lt;&gt;"",$AU43/'Elements and ions'!$B$12,"")</f>
        <v>0.10796106606251249</v>
      </c>
      <c r="BT43" s="239">
        <f>IF($AV43&lt;&gt;"",$AV43/'Elements and ions'!$B$20,"")</f>
        <v>4.9685024668591732E-2</v>
      </c>
      <c r="BU43" s="239">
        <f>IF($AW43&lt;&gt;"",$AW43/'Elements and ions'!$B$21, "")</f>
        <v>1.1870876790258993</v>
      </c>
      <c r="BV43" s="240">
        <f>IF($AX43&lt;&gt;"",$AX43/'Elements and ions'!$B$13, "")</f>
        <v>0.12829047521086198</v>
      </c>
      <c r="BW43" s="238">
        <f>IF($AY43&lt;&gt;"",$AY43/'Elements and ions'!$G$3,"")</f>
        <v>2.2859349840798733</v>
      </c>
      <c r="BX43" s="239">
        <f>IF($AZ43&lt;&gt;"",$AZ43/'Elements and ions'!$B$18,"")</f>
        <v>8.9676473077031554E-2</v>
      </c>
      <c r="BY43" s="239">
        <f>IF($BA43&lt;&gt;"",$BA43/'Elements and ions'!$G$7,"")</f>
        <v>0.10202580763778347</v>
      </c>
      <c r="BZ43" s="241">
        <f>IF($BB43&lt;&gt;"",$BB43/'Elements and ions'!$G$5,"")</f>
        <v>6.3313922379781506E-2</v>
      </c>
      <c r="CA43" s="91">
        <f t="shared" si="67"/>
        <v>2.6915348039269099E-5</v>
      </c>
      <c r="CB43" s="163" t="str">
        <f>IF($BD43&lt;&gt;"",$BD43/'Elements and ions'!$B$14,"")</f>
        <v/>
      </c>
      <c r="CC43" s="89" t="str">
        <f>IF($BE43&lt;&gt;"",$BE43/'Elements and ions'!$B$27, "")</f>
        <v/>
      </c>
      <c r="CD43" s="249" t="str">
        <f>IF($BF43&lt;&gt;"",$BF43/'Elements and ions'!$B$26,"")</f>
        <v/>
      </c>
      <c r="CE43" s="250">
        <f>IF($BG43&lt;&gt;"",$BG43/'Elements and ions'!$G$6,"")</f>
        <v>0</v>
      </c>
      <c r="CF43" s="91" t="str">
        <f>IF($BH43&lt;&gt;"",$BH43/'Elements and ions'!$G$15,"")</f>
        <v/>
      </c>
      <c r="CG43" s="89" t="str">
        <f>IF($BI43&lt;&gt;"",$BI43/'Elements and ions'!$G$16,"")</f>
        <v/>
      </c>
      <c r="CH43" s="90">
        <f>IF($BJ43&lt;&gt;"",$BJ43/'Elements and ions'!$G$2,"")</f>
        <v>0.12276197708860212</v>
      </c>
      <c r="CI43" s="91" t="str">
        <f>IF($BK43&lt;&gt;"",$BK43/'Elements and ions'!$B$15, "")</f>
        <v/>
      </c>
      <c r="CJ43" s="88" t="str">
        <f>IF($BL43&lt;&gt;"", $BL43/'Elements and ions'!$G$17,"")</f>
        <v/>
      </c>
      <c r="CK43" s="89">
        <f t="shared" si="68"/>
        <v>3.7153522909717226E-4</v>
      </c>
      <c r="CL43" s="163" t="str">
        <f>IF($BN43&lt;&gt;"", $BN43/'Elements and ions'!$G$19,"")</f>
        <v/>
      </c>
      <c r="CM43" s="89">
        <f>IF($BO43&lt;&gt;"",$BO43/'Elements and ions'!$G$4,"")</f>
        <v>4.2566101291027746E-3</v>
      </c>
      <c r="CN43" s="89">
        <f>IF($BP43&lt;&gt;"",$BP43/'Elements and ions'!$B$10,"")</f>
        <v>1.0595627320931899E-2</v>
      </c>
      <c r="CO43" s="104">
        <f>IF($BQ43&lt;&gt;"",$BQ43/'Elements and ions'!$G$18,"")</f>
        <v>0</v>
      </c>
      <c r="CP43" s="242"/>
      <c r="CQ43" s="238">
        <f t="shared" ref="CQ43:CQ73" si="689">IF($BS43&lt;&gt;"",BS43/1000,"")</f>
        <v>1.0796106606251249E-4</v>
      </c>
      <c r="CR43" s="239">
        <f t="shared" ref="CR43:CR73" si="690">IF($BT43&lt;&gt;"",BT43/1000,"")</f>
        <v>4.968502466859173E-5</v>
      </c>
      <c r="CS43" s="239">
        <f t="shared" ref="CS43:CS73" si="691">IF($BU43&lt;&gt;"",BU43/1000,"")</f>
        <v>1.1870876790258994E-3</v>
      </c>
      <c r="CT43" s="241">
        <f t="shared" ref="CT43:CT73" si="692">IF($BV43&lt;&gt;"",BV43/1000,"")</f>
        <v>1.2829047521086199E-4</v>
      </c>
      <c r="CU43" s="238">
        <f t="shared" ref="CU43:CU73" si="693">IF($BW43&lt;&gt;"",BW43/1000,"")</f>
        <v>2.2859349840798735E-3</v>
      </c>
      <c r="CV43" s="239">
        <f t="shared" ref="CV43:CV73" si="694">IF($BX43&lt;&gt;"",BX43/1000,"")</f>
        <v>8.9676473077031555E-5</v>
      </c>
      <c r="CW43" s="239">
        <f t="shared" ref="CW43:CW73" si="695">IF($BY43&lt;&gt;"",BY43/1000,"")</f>
        <v>1.0202580763778347E-4</v>
      </c>
      <c r="CX43" s="241">
        <f t="shared" ref="CX43:CX73" si="696">IF(BZ43&lt;&gt;"",BZ43/1000,"")</f>
        <v>6.3313922379781503E-5</v>
      </c>
      <c r="CY43" s="258">
        <f t="shared" si="98"/>
        <v>2.6915348039269097E-8</v>
      </c>
      <c r="CZ43" s="259" t="str">
        <f t="shared" ref="CZ43:CZ73" si="697">IF(CB43&lt;&gt;"",CB43/1000,"")</f>
        <v/>
      </c>
      <c r="DA43" s="260" t="str">
        <f t="shared" ref="DA43:DA73" si="698">IF(CC43&lt;&gt;"",CC43/1000,"")</f>
        <v/>
      </c>
      <c r="DB43" s="261" t="str">
        <f t="shared" ref="DB43:DB73" si="699">IF(CD43&lt;&gt;"",CD43/1000,"")</f>
        <v/>
      </c>
      <c r="DC43" s="262">
        <f t="shared" ref="DC43:DC73" si="700">IF(CE43&lt;&gt;"",CE43/1000,"")</f>
        <v>0</v>
      </c>
      <c r="DD43" s="263" t="str">
        <f t="shared" ref="DD43:DD73" si="701">IF(CF43&lt;&gt;"",CF43/1000,"")</f>
        <v/>
      </c>
      <c r="DE43" s="259" t="str">
        <f t="shared" ref="DE43:DE73" si="702">IF(CG43&lt;&gt;"",CG43/1000,"")</f>
        <v/>
      </c>
      <c r="DF43" s="260">
        <f t="shared" ref="DF43:DF73" si="703">IF(CH43&lt;&gt;"",CH43/1000,"")</f>
        <v>1.2276197708860212E-4</v>
      </c>
      <c r="DG43" s="260" t="str">
        <f t="shared" ref="DG43:DG73" si="704">IF(CI43&lt;&gt;"",CI43/1000,"")</f>
        <v/>
      </c>
      <c r="DH43" s="264" t="str">
        <f t="shared" ref="DH43:DH73" si="705">IF(CJ43&lt;&gt;"",CJ43/1000,"")</f>
        <v/>
      </c>
      <c r="DI43" s="258">
        <f t="shared" si="108"/>
        <v>3.7153522909717226E-7</v>
      </c>
      <c r="DJ43" s="260" t="str">
        <f t="shared" ref="DJ43:DJ73" si="706">IF(CL43&lt;&gt;"",CL43/1000,"")</f>
        <v/>
      </c>
      <c r="DK43" s="260">
        <f t="shared" ref="DK43:DK73" si="707">IF(CM43&lt;&gt;"",CM43/1000,"")</f>
        <v>4.2566101291027746E-6</v>
      </c>
      <c r="DL43" s="260">
        <f t="shared" ref="DL43:DL73" si="708">IF(CN43&lt;&gt;"",CN43/1000,"")</f>
        <v>1.05956273209319E-5</v>
      </c>
      <c r="DM43" s="265">
        <f t="shared" ref="DM43:DM73" si="709">IF(CO43&lt;&gt;"",CO43/1000,"")</f>
        <v>0</v>
      </c>
      <c r="DN43" s="242"/>
      <c r="DO43" s="238">
        <f t="shared" ref="DO43:DO73" si="710">IF($BS43&lt;&gt;"",BS43,0)</f>
        <v>0.10796106606251249</v>
      </c>
      <c r="DP43" s="239">
        <f t="shared" ref="DP43:DP73" si="711">IF($BT43&lt;&gt;"",BT43,0)</f>
        <v>4.9685024668591732E-2</v>
      </c>
      <c r="DQ43" s="239">
        <f t="shared" ref="DQ43:DQ73" si="712">IF($BU43&lt;&gt;"",BU43*2,0)</f>
        <v>2.3741753580517986</v>
      </c>
      <c r="DR43" s="241">
        <f t="shared" ref="DR43:DR73" si="713">IF($BV43&lt;&gt;"",BV43*2,0)</f>
        <v>0.25658095042172396</v>
      </c>
      <c r="DS43" s="238">
        <f t="shared" ref="DS43:DS73" si="714">IF($BW43&lt;&gt;"",BW43*-1,0)</f>
        <v>-2.2859349840798733</v>
      </c>
      <c r="DT43" s="239">
        <f t="shared" ref="DT43:DT73" si="715">IF($BX43&lt;&gt;"",BX43*-1,0)</f>
        <v>-8.9676473077031554E-2</v>
      </c>
      <c r="DU43" s="239">
        <f t="shared" ref="DU43:DU73" si="716">IF($BY43&lt;&gt;"",BY43*-1,0)</f>
        <v>-0.10202580763778347</v>
      </c>
      <c r="DV43" s="241">
        <f t="shared" ref="DV43:DV73" si="717">IF($BZ43&lt;&gt;"",BZ43*-2,0)</f>
        <v>-0.12662784475956301</v>
      </c>
      <c r="DW43" s="91">
        <f t="shared" si="113"/>
        <v>2.6915348039269099E-5</v>
      </c>
      <c r="DX43" s="89">
        <f t="shared" ref="DX43:DX73" si="718">IF(CB43&lt;&gt;"",CB43*3,0)</f>
        <v>0</v>
      </c>
      <c r="DY43" s="89">
        <f t="shared" ref="DY43:DY73" si="719">IF(CC43&lt;&gt;"",CC43*2,0)</f>
        <v>0</v>
      </c>
      <c r="DZ43" s="89">
        <f t="shared" ref="DZ43:DZ73" si="720">IF(CD43&lt;&gt;"",CD43*2,0)</f>
        <v>0</v>
      </c>
      <c r="EA43" s="90">
        <f t="shared" ref="EA43:EA73" si="721">IF(CE43&lt;&gt;"",CE43,0)</f>
        <v>0</v>
      </c>
      <c r="EB43" s="91">
        <f t="shared" si="118"/>
        <v>-3.7153522909717226E-4</v>
      </c>
      <c r="EC43" s="89">
        <f t="shared" ref="EC43:EC73" si="722">IF(CL43&lt;&gt;"",CL43*-1,0)</f>
        <v>0</v>
      </c>
      <c r="ED43" s="89">
        <f t="shared" ref="ED43:ED73" si="723">IF(CM43&lt;&gt;"",CM43*-2,0)</f>
        <v>-8.5132202582055491E-3</v>
      </c>
      <c r="EE43" s="89">
        <f t="shared" ref="EE43:EE73" si="724">IF(CN43&lt;&gt;"",CN43*-1,0)</f>
        <v>-1.0595627320931899E-2</v>
      </c>
      <c r="EF43" s="90">
        <f t="shared" ref="EF43:EF73" si="725">IF(CO43&lt;&gt;"",CO43*-2,0)</f>
        <v>0</v>
      </c>
      <c r="EG43" s="242"/>
      <c r="EH43" s="245">
        <f t="shared" ref="EH43:EH73" si="726">SUM(DO43:DR43,DW43:EA43)</f>
        <v>2.788429314552666</v>
      </c>
      <c r="EI43" s="246">
        <f t="shared" ref="EI43:EI73" si="727">SUM(DS43:DV43,EB43:EF43)</f>
        <v>-2.6237454923624868</v>
      </c>
      <c r="EJ43" s="198">
        <f t="shared" ref="EJ43:EJ73" si="728">IF(EH43&lt;&gt;EI43,(EH43+EI43)/(EH43-EI43)*100,0)</f>
        <v>3.042840042412565</v>
      </c>
      <c r="EK43" s="198">
        <f t="shared" ref="EK43:EK73" si="729">0.5*(DO43+DP43+4*DQ43+4*DR43+4*DY43-DS43-DT43-4*DV43-DU43-EE43)/1000</f>
        <v>6.8377077978895324E-3</v>
      </c>
      <c r="EL43" s="101">
        <f>IF(AND(CS43&lt;&gt;"",DK43&lt;&gt;""),LOG(CS43*DK43/Minerals!$C$6),"")</f>
        <v>0.18371867777439488</v>
      </c>
      <c r="EM43" s="94">
        <f>IF(AND(CS43&lt;&gt;"",DK43&lt;&gt;""),LOG(CS43*DK43/Minerals!$C$5),"")</f>
        <v>5.3239148418177125E-2</v>
      </c>
      <c r="EN43" s="94">
        <f>IF(AND(CS43&lt;&gt;"",DL43&lt;&gt;""),LOG(CS43*DL43^2/Minerals!$C$2),"")</f>
        <v>-2.3053389091707861</v>
      </c>
      <c r="EO43" s="94">
        <f>IF(AND(CS43&lt;&gt;"",CX43&lt;&gt;""),LOG($CS43*$CX43/Minerals!$C$3),"")</f>
        <v>-2.5240376182058881</v>
      </c>
      <c r="EP43" s="95">
        <f>IF(AND(CS43&lt;&gt;"",CX43&lt;&gt;""),LOG($CS43*$CX43/Minerals!$C$4),"")</f>
        <v>-2.7640221296717904</v>
      </c>
      <c r="EQ43" s="199"/>
      <c r="ER43" s="101">
        <f t="shared" si="621"/>
        <v>0.91582505838057215</v>
      </c>
      <c r="ES43" s="94">
        <f t="shared" si="621"/>
        <v>0.91582505838057215</v>
      </c>
      <c r="ET43" s="94">
        <f t="shared" si="622"/>
        <v>0.70347730196233527</v>
      </c>
      <c r="EU43" s="94">
        <f t="shared" si="622"/>
        <v>0.70347730196233527</v>
      </c>
      <c r="EV43" s="95">
        <f t="shared" si="622"/>
        <v>0.70347730196233527</v>
      </c>
      <c r="EW43" s="101">
        <f t="shared" si="623"/>
        <v>0.91582505838057215</v>
      </c>
      <c r="EX43" s="94">
        <f t="shared" si="31"/>
        <v>0.70347730196233527</v>
      </c>
      <c r="EY43" s="94">
        <f t="shared" si="623"/>
        <v>0.91582505838057215</v>
      </c>
      <c r="EZ43" s="94">
        <f t="shared" si="623"/>
        <v>0.91582505838057215</v>
      </c>
      <c r="FA43" s="94">
        <f t="shared" si="165"/>
        <v>0.91582505838057215</v>
      </c>
      <c r="FB43" s="95">
        <f t="shared" si="32"/>
        <v>0.70347730196233527</v>
      </c>
      <c r="FC43" s="199"/>
      <c r="FD43" s="101">
        <f t="shared" ref="FD43:FD73" si="730">IF($CQ43&lt;&gt;"",ER43*$CQ43,"")</f>
        <v>9.8873449629529315E-5</v>
      </c>
      <c r="FE43" s="94">
        <f t="shared" ref="FE43:FE73" si="731">IF($CR43&lt;&gt;"",ES43*$CR43,"")</f>
        <v>4.550279061775319E-5</v>
      </c>
      <c r="FF43" s="94">
        <f t="shared" ref="FF43:FF73" si="732">IF($CS43&lt;&gt;"",ET43*$CS43,"")</f>
        <v>8.3508923763387039E-4</v>
      </c>
      <c r="FG43" s="94">
        <f t="shared" ref="FG43:FG73" si="733">IF($CT43&lt;&gt;"",EU43*$CT43,"")</f>
        <v>9.0249437368803049E-5</v>
      </c>
      <c r="FH43" s="95" t="str">
        <f t="shared" ref="FH43:FH73" si="734">IF($DA43&lt;&gt;"",EV43*$DA43,"")</f>
        <v/>
      </c>
      <c r="FI43" s="101">
        <f t="shared" ref="FI43:FI73" si="735">IF($CU43&lt;&gt;"",EW43*$CU43,"")</f>
        <v>2.0935165402491424E-3</v>
      </c>
      <c r="FJ43" s="94">
        <f t="shared" ref="FJ43:FJ73" si="736">IF($DK43&lt;&gt;"",EX43*$DK43,"")</f>
        <v>2.9944286091267674E-6</v>
      </c>
      <c r="FK43" s="94">
        <f t="shared" ref="FK43:FK73" si="737">IF($CV43&lt;&gt;"",EY43*$CV43,"")</f>
        <v>8.2127961191136227E-5</v>
      </c>
      <c r="FL43" s="94">
        <f t="shared" ref="FL43:FL73" si="738">IF($CW43&lt;&gt;"",EZ43*$CW43,"")</f>
        <v>9.3437791236198069E-5</v>
      </c>
      <c r="FM43" s="94">
        <f t="shared" ref="FM43:FM73" si="739">IF($DL43&lt;&gt;"",FA43*$DL43,"")</f>
        <v>9.7037410097712421E-6</v>
      </c>
      <c r="FN43" s="95">
        <f t="shared" ref="FN43:FN73" si="740">IF($CX43&lt;&gt;"",FB43*$CX43,"")</f>
        <v>4.453990729238141E-5</v>
      </c>
      <c r="FO43" s="199"/>
      <c r="FP43" s="101">
        <f>IF(EL43&lt;&gt;"",LOG(FF43*FJ43/Minerals!$C$6),"")</f>
        <v>-0.12178114367778413</v>
      </c>
      <c r="FQ43" s="94">
        <f>IF(EL43&lt;&gt;"",LOG(FF43*FJ43/Minerals!$C$5),"")</f>
        <v>-0.25226067303400185</v>
      </c>
      <c r="FR43" s="94">
        <f>IF(EN43&lt;&gt;"",LOG(FF43*FM43^2/Minerals!$C$2),"")</f>
        <v>-2.5344637752599204</v>
      </c>
      <c r="FS43" s="94">
        <f>IF(EO43&lt;&gt;"",LOG($FF43*$FN43/Minerals!$C$3),"")</f>
        <v>-2.829537439658067</v>
      </c>
      <c r="FT43" s="95">
        <f>IF(EP43&lt;&gt;"",LOG($FF43*$FN43/Minerals!$C$4),"")</f>
        <v>-3.0695219511239693</v>
      </c>
      <c r="FU43" s="96"/>
      <c r="FV43" s="101">
        <f>IF(FP43&lt;&gt;"",LOG(FF43*FJ43/(EXP(-1*Minerals!$E$6/'Other Constants'!$B$2*(1/(273.15+'ppm-mgL-1'!$D43)-1/298.15)+LN(Minerals!$C$6)))),"")</f>
        <v>-2.064750414553588</v>
      </c>
      <c r="FW43" s="94">
        <f>IF(FP43&lt;&gt;"",LOG(FF43*FJ43/(EXP(-1*Minerals!$E$5/'Other Constants'!$B$2*(1/(273.15+'ppm-mgL-1'!$D43)-1/298.15)+LN(Minerals!$C$5)))),"")</f>
        <v>-2.1954055941657997</v>
      </c>
      <c r="FX43" s="94">
        <f>IF(FR43&lt;&gt;"",LOG(FF43*FM43^2/(EXP(-1*Minerals!$E$2/'Other Constants'!$B$2*(1/(273.15+'ppm-mgL-1'!$D43)-1/298.15)+LN(Minerals!$C$2)))),"")</f>
        <v>-2.4523180055399396</v>
      </c>
      <c r="FY43" s="94">
        <f>IF(FS43&lt;&gt;"",LOG($FF43*$FN43/(EXP(-1*Minerals!$E$3/'Other Constants'!$B$2*(1/(273.15+'ppm-mgL-1'!$D43)-1/298.15)+LN(Minerals!$C$3)))),"")</f>
        <v>-1.1546302786333806</v>
      </c>
      <c r="FZ43" s="95">
        <f>IF(FT43&lt;&gt;"",LOG($FF43*$FN43/(EXP(-1*Minerals!$E$4/'Other Constants'!$B$2*(1/(273.15+'ppm-mgL-1'!$D43)-1/298.15)+LN(Minerals!$C$4)))),"")</f>
        <v>-3.1175037460530666</v>
      </c>
      <c r="GA43" s="96"/>
      <c r="GB43" s="96"/>
      <c r="GC43" s="101">
        <f>10^(-1825000*(79.755*EXP(-0.0046*($D43-20))*($D43+273.15))^-1.5*$EK43^0.5/(1+'Elements and ions'!$D$12*$EK43^0.5/(2*(79.755*EXP(-0.0046*($D43-20))*($D43+273.15))^0.5)))</f>
        <v>0.9160105749323415</v>
      </c>
      <c r="GD43" s="94">
        <f>10^(-1825000*(79.755*EXP(-0.0046*($D43-20))*($D43+273.15))^-1.5*$EK43^0.5/(1+'Elements and ions'!$D$20*$EK43^0.5/(2*(79.755*EXP(-0.0046*($D43-20))*($D43+273.15))^0.5)))</f>
        <v>0.91400281881696133</v>
      </c>
      <c r="GE43" s="94">
        <f>10^(-1825000*(79.755*EXP(-0.0046*($D43-20))*($D43+273.15))^-1.5*4*$EK43^0.5/(1+'Elements and ions'!$D$21*$EK43^0.5/(2*(79.755*EXP(-0.0046*($D43-20))*($D43+273.15))^0.5)))</f>
        <v>0.7156380878406321</v>
      </c>
      <c r="GF43" s="94">
        <f>10^(-1825000*(79.755*EXP(-0.0046*($D43-20))*($D43+273.15))^-1.5*4*$EK43^0.5/(1+'Elements and ions'!$D$13*$EK43^0.5/(2*(79.755*EXP(-0.0046*($D43-20))*($D43+273.15))^0.5)))</f>
        <v>0.72636400572939597</v>
      </c>
      <c r="GG43" s="95">
        <f>10^(-1825000*(79.755*EXP(-0.0046*($D43-20))*($D43+273.15))^-1.5*4*$EK43^0.5/(1+'Elements and ions'!$D$27*$EK43^0.5/(2*(79.755*EXP(-0.0046*($D43-20))*($D43+273.15))^0.5)))</f>
        <v>0.7156380878406321</v>
      </c>
      <c r="GH43" s="101">
        <f>10^(-1825000*(79.755*EXP(-0.0046*($D43-20))*($D43+273.15))^-1.5*$EK43^0.5/(1+'Elements and ions'!$G$3*$EK43^0.5/(2*(79.755*EXP(-0.0046*($D43-20))*($D43+273.15))^0.5)))</f>
        <v>0.90879257430699301</v>
      </c>
      <c r="GI43" s="94">
        <f>10^(-1825000*(79.755*EXP(-0.0046*($D43-20))*($D43+273.15))^-1.5*4*$EK43^0.5/(1+'Elements and ions'!$G$4*$EK43^0.5/(2*(79.755*EXP(-0.0046*($D43-20))*($D43+273.15))^0.5)))</f>
        <v>0.68204733902690229</v>
      </c>
      <c r="GJ43" s="94">
        <f>10^(-1825000*(79.755*EXP(-0.0046*($D43-20))*($D43+273.15))^-1.5*$EK43^0.5/(1+'Elements and ions'!$D$18*$EK43^0.5/(2*(79.755*EXP(-0.0046*($D43-20))*($D43+273.15))^0.5)))</f>
        <v>0.91400281881696133</v>
      </c>
      <c r="GK43" s="94">
        <f>10^(-1825000*(79.755*EXP(-0.0046*($D43-20))*($D43+273.15))^-1.5*$EK43^0.5/(1+'Elements and ions'!$I$7*$EK43^0.5/(2*(79.755*EXP(-0.0046*($D43-20))*($D43+273.15))^0.5)))</f>
        <v>0.91400281881696133</v>
      </c>
      <c r="GL43" s="94">
        <f>10^(-1825000*(79.755*EXP(-0.0046*($D43-20))*($D43+273.15))^-1.5*$EK43^0.5/(1+'Elements and ions'!$D$10*$EK43^0.5/(2*(79.755*EXP(-0.0046*($D43-20))*($D43+273.15))^0.5)))</f>
        <v>0.9150185457910428</v>
      </c>
      <c r="GM43" s="95">
        <f>10^(-1825000*(79.755*EXP(-0.0046*($D43-20))*($D43+273.15))^-1.5*4*$EK43^0.5/(1+'Elements and ions'!$I$5*$EK43^0.5/(2*(79.755*EXP(-0.0046*($D43-20))*($D43+273.15))^0.5)))</f>
        <v>0.70404748222600833</v>
      </c>
      <c r="GN43" s="96"/>
      <c r="GO43" s="101">
        <f t="shared" ref="GO43:GO73" si="741">IF($CQ43&lt;&gt;"",GC43*$CQ43,"")</f>
        <v>9.8893478194230568E-5</v>
      </c>
      <c r="GP43" s="94">
        <f t="shared" ref="GP43:GP73" si="742">IF($CR43&lt;&gt;"",GD43*$CR43,"")</f>
        <v>4.5412252600083101E-5</v>
      </c>
      <c r="GQ43" s="94">
        <f t="shared" ref="GQ43:GQ73" si="743">IF($CS43&lt;&gt;"",GE43*$CS43,"")</f>
        <v>8.4952515671726867E-4</v>
      </c>
      <c r="GR43" s="94">
        <f t="shared" ref="GR43:GR73" si="744">IF($CT43&lt;&gt;"",GF43*$CT43,"")</f>
        <v>9.3185583471089487E-5</v>
      </c>
      <c r="GS43" s="95" t="str">
        <f t="shared" ref="GS43:GS73" si="745">IF($DA43&lt;&gt;"",GG43*$DA43,"")</f>
        <v/>
      </c>
      <c r="GT43" s="101">
        <f t="shared" ref="GT43:GT73" si="746">IF($CU43&lt;&gt;"",GH43*$CU43,"")</f>
        <v>2.0774407388803634E-3</v>
      </c>
      <c r="GU43" s="94">
        <f t="shared" ref="GU43:GU73" si="747">IF($DK43&lt;&gt;"",GI43*$DK43,"")</f>
        <v>2.9032096118295064E-6</v>
      </c>
      <c r="GV43" s="94">
        <f t="shared" ref="GV43:GV73" si="748">IF($CV43&lt;&gt;"",GJ43*$CV43,"")</f>
        <v>8.1964549173970178E-5</v>
      </c>
      <c r="GW43" s="94">
        <f t="shared" ref="GW43:GW73" si="749">IF($CW43&lt;&gt;"",GK43*$CW43,"")</f>
        <v>9.3251875773011164E-5</v>
      </c>
      <c r="GX43" s="94">
        <f t="shared" ref="GX43:GX73" si="750">IF($DL43&lt;&gt;"",GL43*$DL43,"")</f>
        <v>9.6951955029429492E-6</v>
      </c>
      <c r="GY43" s="102">
        <f t="shared" ref="GY43:GY73" si="751">IF($CX43&lt;&gt;"",GM43*$CX43,"")</f>
        <v>4.4576007641338091E-5</v>
      </c>
      <c r="GZ43" s="199"/>
      <c r="HA43" s="92">
        <f>IF(AND(GQ43&lt;&gt;"",GU43&lt;&gt;""),LOG(GQ43*GU43/Minerals!$C$6),"")</f>
        <v>-0.12777335671681345</v>
      </c>
      <c r="HB43" s="94">
        <f>IF(AND(GQ43&lt;&gt;"",GU43&lt;&gt;""),LOG(GQ43*GU43/Minerals!$C$5),"")</f>
        <v>-0.25825288607303121</v>
      </c>
      <c r="HC43" s="94">
        <f>IF(AND(GQ43&lt;&gt;"",GX43&lt;&gt;""),LOG(GQ43*GX43^2/Minerals!$C$2),"")</f>
        <v>-2.527785669490517</v>
      </c>
      <c r="HD43" s="94">
        <f>IF(AND(GQ43&lt;&gt;"",GY43&lt;&gt;""),LOG($GQ43*$GY43/Minerals!$C$3),"")</f>
        <v>-2.8217422218540267</v>
      </c>
      <c r="HE43" s="102">
        <f>IF(AND(GQ43&lt;&gt;"",GY43&lt;&gt;""),LOG($GQ43*$GY43/Minerals!$C$3),"")</f>
        <v>-2.8217422218540267</v>
      </c>
      <c r="HF43" s="199"/>
      <c r="HG43" s="92">
        <f>IF(HA43&lt;&gt;"",LOG(GQ43*GU43/(EXP(-1*Minerals!$E$6/'Other Constants'!$B$2*(1/(273.15+'ppm-mgL-1'!$D43)-1/298.15)+LN(Minerals!$C$6)))),"")</f>
        <v>-2.0707426275926175</v>
      </c>
      <c r="HH43" s="94">
        <f>IF(HA43&lt;&gt;"",LOG(GQ43*GU43/(EXP(-1*Minerals!$E$5/'Other Constants'!$B$2*(1/(273.15+'ppm-mgL-1'!$D43)-1/298.15)+LN(Minerals!$C$5)))),"")</f>
        <v>-2.2013978072048288</v>
      </c>
      <c r="HI43" s="94">
        <f>IF(HC43&lt;&gt;"",LOG(GQ43*GX43^2/(EXP(-1*Minerals!$E$2/'Other Constants'!$B$2*(1/(273.15+'ppm-mgL-1'!$D43)-1/298.15)+LN(Minerals!$C$2)))),"")</f>
        <v>-2.4456398997705362</v>
      </c>
      <c r="HJ43" s="94">
        <f>IF(HD43&lt;&gt;"",LOG($FF43*$FN43/(EXP(-1*Minerals!$E$3/'Other Constants'!$B$2*(1/(273.15+'ppm-mgL-1'!$D43)-1/298.15)+LN(Minerals!$C$3)))),"")</f>
        <v>-1.1546302786333806</v>
      </c>
      <c r="HK43" s="95">
        <f>IF(HE43&lt;&gt;"",LOG($FF43*$FN43/(EXP(-1*Minerals!$E$4/'Other Constants'!$B$2*(1/(273.15+'ppm-mgL-1'!$D43)-1/298.15)+LN(Minerals!$C$4)))),"")</f>
        <v>-3.1175037460530666</v>
      </c>
      <c r="HL43" s="199"/>
      <c r="HM43" s="199"/>
    </row>
    <row r="44" spans="1:221" x14ac:dyDescent="0.25">
      <c r="A44" s="267" t="str">
        <f>'WC samples'!B15</f>
        <v>ISCD Direct</v>
      </c>
      <c r="C44" s="266">
        <f>'WC samples'!A15</f>
        <v>41594</v>
      </c>
      <c r="D44" s="276">
        <v>20</v>
      </c>
      <c r="E44" s="4">
        <f>'WC samples'!F15</f>
        <v>8.07</v>
      </c>
      <c r="AD44" s="83">
        <f>IF(E44&lt;&gt;"",10^(-2*$E44)/(10^(-2*$E44)+10^(-$E44-pKa!$B$2)+(10^(-pKa!$B$2-pKa!$C$2))),"")</f>
        <v>1.6602717871427357E-2</v>
      </c>
      <c r="AE44" s="84">
        <f>IF(E44&lt;&gt;"",10^(-$E44-pKa!$B$2)/(10^(-2*$E44)+10^(-$E44-pKa!$B$2)+10^(-pKa!$B$2-pKa!$C$2)),"")</f>
        <v>0.97764050802488212</v>
      </c>
      <c r="AF44" s="212">
        <f>IF(E44&lt;&gt;"",10^(-pKa!$B$2-pKa!$C$2)/(10^(-2*$E44)+10^(-$E44-pKa!$B$2)+10^(-pKa!$B$2-pKa!$C$2)),"")</f>
        <v>5.7567741036906655E-3</v>
      </c>
      <c r="AG44" s="152"/>
      <c r="AH44" s="222">
        <f>IF($AK44&lt;&gt;"",$AK44/'Elements and ions'!$G$3,IF($E44="","",""))</f>
        <v>2.9172274408179777</v>
      </c>
      <c r="AI44" s="85">
        <f t="shared" si="688"/>
        <v>2.9492132757799748E-3</v>
      </c>
      <c r="AJ44" s="84">
        <f>IF(AI44&lt;&gt;"",AI44*1000*'Elements and ions'!$B$7,"")</f>
        <v>35.422115891410542</v>
      </c>
      <c r="AK44" s="99">
        <f>'WC samples'!H15</f>
        <v>178</v>
      </c>
      <c r="AL44" s="88">
        <f>IF($AK44&lt;&gt;"",$AK44/'Elements and ions'!$G$3*Minerals!$B$6/2,IF($E44="","","Enter Alk(HCO3-)"))</f>
        <v>145.98812557320244</v>
      </c>
      <c r="AM44" s="199"/>
      <c r="AN44" s="101">
        <f t="shared" si="491"/>
        <v>4.8964955960443008E-5</v>
      </c>
      <c r="AO44" s="94">
        <f t="shared" si="492"/>
        <v>2.8832703652072614E-3</v>
      </c>
      <c r="AP44" s="95">
        <f t="shared" si="493"/>
        <v>1.6977954612270878E-5</v>
      </c>
      <c r="AQ44" s="199"/>
      <c r="AR44" s="199"/>
      <c r="AS44" s="83">
        <f t="shared" si="66"/>
        <v>0.14401457635424414</v>
      </c>
      <c r="AT44" s="83">
        <f>IF(AN44&lt;&gt;"",AN44/'Henrys law constants'!$B$7*1000000,"")</f>
        <v>1440.1457635424415</v>
      </c>
      <c r="AU44" s="268">
        <f>'WC samples'!K15</f>
        <v>2.9026999999999998</v>
      </c>
      <c r="AV44" s="269">
        <f>'WC samples'!M15</f>
        <v>1.427</v>
      </c>
      <c r="AW44" s="269">
        <f>'WC samples'!O15</f>
        <v>66.715599999999995</v>
      </c>
      <c r="AX44" s="269">
        <f>'WC samples'!N15</f>
        <v>4.0167000000000002</v>
      </c>
      <c r="AY44" s="226">
        <f>AO44*'Elements and ions'!$G$3*1000</f>
        <v>175.92804655059302</v>
      </c>
      <c r="AZ44" s="269">
        <f>'WC samples'!Q15</f>
        <v>3.8148</v>
      </c>
      <c r="BA44" s="269">
        <f>'WC samples'!T15</f>
        <v>20.111000000000001</v>
      </c>
      <c r="BB44" s="270">
        <f>'WC samples'!V15</f>
        <v>7.8151999999999999</v>
      </c>
      <c r="BC44" s="222">
        <f>IF($E44&lt;&gt;"",10^-$E44*'Elements and ions'!B45*1000,"")</f>
        <v>0</v>
      </c>
      <c r="BE44" s="6"/>
      <c r="BF44" s="6"/>
      <c r="BG44" s="270">
        <f>'WC samples'!L15</f>
        <v>0</v>
      </c>
      <c r="BH44" s="3"/>
      <c r="BJ44" s="92">
        <f>IF($AN44&lt;&gt;"",$AN44*'Elements and ions'!$G$2*1000,"")</f>
        <v>3.0370406211561658</v>
      </c>
      <c r="BK44" s="229"/>
      <c r="BL44" s="230"/>
      <c r="BM44" s="101">
        <f>IF($E44&lt;&gt;"",(10^-14+$E44)*'Elements and ions'!$G$8,"")</f>
        <v>137.24923380000018</v>
      </c>
      <c r="BO44" s="102">
        <f>IF($AP44&lt;&gt;"",$AP44*'Elements and ions'!$G$4*1000,"")</f>
        <v>1.018828380532302</v>
      </c>
      <c r="BP44" s="269">
        <f>'WC samples'!P15</f>
        <v>0.18260000000000001</v>
      </c>
      <c r="BQ44" s="270">
        <f>'WC samples'!R15</f>
        <v>0</v>
      </c>
      <c r="BR44" s="195"/>
      <c r="BS44" s="238">
        <f>IF($AU44&lt;&gt;"",$AU44/'Elements and ions'!$B$12,"")</f>
        <v>0.12626051025771753</v>
      </c>
      <c r="BT44" s="239">
        <f>IF($AV44&lt;&gt;"",$AV44/'Elements and ions'!$B$20,"")</f>
        <v>3.6497750541583648E-2</v>
      </c>
      <c r="BU44" s="239">
        <f>IF($AW44&lt;&gt;"",$AW44/'Elements and ions'!$B$21, "")</f>
        <v>1.6646439443085981</v>
      </c>
      <c r="BV44" s="240">
        <f>IF($AX44&lt;&gt;"",$AX44/'Elements and ions'!$B$13, "")</f>
        <v>0.16526229170952481</v>
      </c>
      <c r="BW44" s="238">
        <f>IF($AY44&lt;&gt;"",$AY44/'Elements and ions'!$G$3,"")</f>
        <v>2.8832703652072613</v>
      </c>
      <c r="BX44" s="239">
        <f>IF($AZ44&lt;&gt;"",$AZ44/'Elements and ions'!$B$18,"")</f>
        <v>0.10760161340366117</v>
      </c>
      <c r="BY44" s="239">
        <f>IF($BA44&lt;&gt;"",$BA44/'Elements and ions'!$G$7,"")</f>
        <v>0.32434533399779697</v>
      </c>
      <c r="BZ44" s="241">
        <f>IF($BB44&lt;&gt;"",$BB44/'Elements and ions'!$G$5,"")</f>
        <v>8.1355282909269577E-2</v>
      </c>
      <c r="CA44" s="91">
        <f t="shared" si="67"/>
        <v>8.5113803820237548E-6</v>
      </c>
      <c r="CB44" s="163" t="str">
        <f>IF($BD44&lt;&gt;"",$BD44/'Elements and ions'!$B$14,"")</f>
        <v/>
      </c>
      <c r="CC44" s="89" t="str">
        <f>IF($BE44&lt;&gt;"",$BE44/'Elements and ions'!$B$27, "")</f>
        <v/>
      </c>
      <c r="CD44" s="249" t="str">
        <f>IF($BF44&lt;&gt;"",$BF44/'Elements and ions'!$B$26,"")</f>
        <v/>
      </c>
      <c r="CE44" s="250">
        <f>IF($BG44&lt;&gt;"",$BG44/'Elements and ions'!$G$6,"")</f>
        <v>0</v>
      </c>
      <c r="CF44" s="91" t="str">
        <f>IF($BH44&lt;&gt;"",$BH44/'Elements and ions'!$G$15,"")</f>
        <v/>
      </c>
      <c r="CG44" s="89" t="str">
        <f>IF($BI44&lt;&gt;"",$BI44/'Elements and ions'!$G$16,"")</f>
        <v/>
      </c>
      <c r="CH44" s="90">
        <f>IF($BJ44&lt;&gt;"",$BJ44/'Elements and ions'!$G$2,"")</f>
        <v>4.8964955960443007E-2</v>
      </c>
      <c r="CI44" s="91" t="str">
        <f>IF($BK44&lt;&gt;"",$BK44/'Elements and ions'!$B$15, "")</f>
        <v/>
      </c>
      <c r="CJ44" s="88" t="str">
        <f>IF($BL44&lt;&gt;"", $BL44/'Elements and ions'!$G$17,"")</f>
        <v/>
      </c>
      <c r="CK44" s="89">
        <f t="shared" si="68"/>
        <v>1.1748975549395291E-3</v>
      </c>
      <c r="CL44" s="163" t="str">
        <f>IF($BN44&lt;&gt;"", $BN44/'Elements and ions'!$G$19,"")</f>
        <v/>
      </c>
      <c r="CM44" s="89">
        <f>IF($BO44&lt;&gt;"",$BO44/'Elements and ions'!$G$4,"")</f>
        <v>1.697795461227088E-2</v>
      </c>
      <c r="CN44" s="89">
        <f>IF($BP44&lt;&gt;"",$BP44/'Elements and ions'!$B$10,"")</f>
        <v>9.6113340725393192E-3</v>
      </c>
      <c r="CO44" s="104">
        <f>IF($BQ44&lt;&gt;"",$BQ44/'Elements and ions'!$G$18,"")</f>
        <v>0</v>
      </c>
      <c r="CP44" s="242"/>
      <c r="CQ44" s="238">
        <f t="shared" si="689"/>
        <v>1.2626051025771754E-4</v>
      </c>
      <c r="CR44" s="239">
        <f t="shared" si="690"/>
        <v>3.6497750541583649E-5</v>
      </c>
      <c r="CS44" s="239">
        <f t="shared" si="691"/>
        <v>1.6646439443085981E-3</v>
      </c>
      <c r="CT44" s="241">
        <f t="shared" si="692"/>
        <v>1.6526229170952481E-4</v>
      </c>
      <c r="CU44" s="238">
        <f t="shared" si="693"/>
        <v>2.8832703652072614E-3</v>
      </c>
      <c r="CV44" s="239">
        <f t="shared" si="694"/>
        <v>1.0760161340366117E-4</v>
      </c>
      <c r="CW44" s="239">
        <f t="shared" si="695"/>
        <v>3.2434533399779695E-4</v>
      </c>
      <c r="CX44" s="241">
        <f t="shared" si="696"/>
        <v>8.1355282909269575E-5</v>
      </c>
      <c r="CY44" s="258">
        <f t="shared" si="98"/>
        <v>8.5113803820237553E-9</v>
      </c>
      <c r="CZ44" s="259" t="str">
        <f t="shared" si="697"/>
        <v/>
      </c>
      <c r="DA44" s="260" t="str">
        <f t="shared" si="698"/>
        <v/>
      </c>
      <c r="DB44" s="261" t="str">
        <f t="shared" si="699"/>
        <v/>
      </c>
      <c r="DC44" s="262">
        <f t="shared" si="700"/>
        <v>0</v>
      </c>
      <c r="DD44" s="263" t="str">
        <f t="shared" si="701"/>
        <v/>
      </c>
      <c r="DE44" s="259" t="str">
        <f t="shared" si="702"/>
        <v/>
      </c>
      <c r="DF44" s="260">
        <f t="shared" si="703"/>
        <v>4.8964955960443008E-5</v>
      </c>
      <c r="DG44" s="260" t="str">
        <f t="shared" si="704"/>
        <v/>
      </c>
      <c r="DH44" s="264" t="str">
        <f t="shared" si="705"/>
        <v/>
      </c>
      <c r="DI44" s="258">
        <f t="shared" si="108"/>
        <v>1.1748975549395291E-6</v>
      </c>
      <c r="DJ44" s="260" t="str">
        <f t="shared" si="706"/>
        <v/>
      </c>
      <c r="DK44" s="260">
        <f t="shared" si="707"/>
        <v>1.6977954612270881E-5</v>
      </c>
      <c r="DL44" s="260">
        <f t="shared" si="708"/>
        <v>9.6113340725393191E-6</v>
      </c>
      <c r="DM44" s="265">
        <f t="shared" si="709"/>
        <v>0</v>
      </c>
      <c r="DN44" s="242"/>
      <c r="DO44" s="238">
        <f t="shared" si="710"/>
        <v>0.12626051025771753</v>
      </c>
      <c r="DP44" s="239">
        <f t="shared" si="711"/>
        <v>3.6497750541583648E-2</v>
      </c>
      <c r="DQ44" s="239">
        <f t="shared" si="712"/>
        <v>3.3292878886171962</v>
      </c>
      <c r="DR44" s="241">
        <f t="shared" si="713"/>
        <v>0.33052458341904961</v>
      </c>
      <c r="DS44" s="238">
        <f t="shared" si="714"/>
        <v>-2.8832703652072613</v>
      </c>
      <c r="DT44" s="239">
        <f t="shared" si="715"/>
        <v>-0.10760161340366117</v>
      </c>
      <c r="DU44" s="239">
        <f t="shared" si="716"/>
        <v>-0.32434533399779697</v>
      </c>
      <c r="DV44" s="241">
        <f t="shared" si="717"/>
        <v>-0.16271056581853915</v>
      </c>
      <c r="DW44" s="91">
        <f t="shared" si="113"/>
        <v>8.5113803820237548E-6</v>
      </c>
      <c r="DX44" s="89">
        <f t="shared" si="718"/>
        <v>0</v>
      </c>
      <c r="DY44" s="89">
        <f t="shared" si="719"/>
        <v>0</v>
      </c>
      <c r="DZ44" s="89">
        <f t="shared" si="720"/>
        <v>0</v>
      </c>
      <c r="EA44" s="90">
        <f t="shared" si="721"/>
        <v>0</v>
      </c>
      <c r="EB44" s="91">
        <f t="shared" si="118"/>
        <v>-1.1748975549395291E-3</v>
      </c>
      <c r="EC44" s="89">
        <f t="shared" si="722"/>
        <v>0</v>
      </c>
      <c r="ED44" s="89">
        <f t="shared" si="723"/>
        <v>-3.395590922454176E-2</v>
      </c>
      <c r="EE44" s="89">
        <f t="shared" si="724"/>
        <v>-9.6113340725393192E-3</v>
      </c>
      <c r="EF44" s="90">
        <f t="shared" si="725"/>
        <v>0</v>
      </c>
      <c r="EG44" s="242"/>
      <c r="EH44" s="245">
        <f t="shared" si="726"/>
        <v>3.8225792442159285</v>
      </c>
      <c r="EI44" s="246">
        <f t="shared" si="727"/>
        <v>-3.5226700192792793</v>
      </c>
      <c r="EJ44" s="198">
        <f t="shared" si="728"/>
        <v>4.0830367245282382</v>
      </c>
      <c r="EK44" s="198">
        <f t="shared" si="729"/>
        <v>9.3888395294498498E-3</v>
      </c>
      <c r="EL44" s="101">
        <f>IF(AND(CS44&lt;&gt;"",DK44&lt;&gt;""),LOG(CS44*DK44/Minerals!$C$6),"")</f>
        <v>0.93137872968262003</v>
      </c>
      <c r="EM44" s="94">
        <f>IF(AND(CS44&lt;&gt;"",DK44&lt;&gt;""),LOG(CS44*DK44/Minerals!$C$5),"")</f>
        <v>0.80089920032640238</v>
      </c>
      <c r="EN44" s="94">
        <f>IF(AND(CS44&lt;&gt;"",DL44&lt;&gt;""),LOG(CS44*DL44^2/Minerals!$C$2),"")</f>
        <v>-2.2431863547235471</v>
      </c>
      <c r="EO44" s="94">
        <f>IF(AND(CS44&lt;&gt;"",CX44&lt;&gt;""),LOG($CS44*$CX44/Minerals!$C$3),"")</f>
        <v>-2.2683125201846353</v>
      </c>
      <c r="EP44" s="95">
        <f>IF(AND(CS44&lt;&gt;"",CX44&lt;&gt;""),LOG($CS44*$CX44/Minerals!$C$4),"")</f>
        <v>-2.508297031650538</v>
      </c>
      <c r="EQ44" s="199"/>
      <c r="ER44" s="101">
        <f t="shared" si="621"/>
        <v>0.90329939363082645</v>
      </c>
      <c r="ES44" s="94">
        <f t="shared" si="621"/>
        <v>0.90329939363082645</v>
      </c>
      <c r="ET44" s="94">
        <f t="shared" si="622"/>
        <v>0.66577406719978116</v>
      </c>
      <c r="EU44" s="94">
        <f t="shared" si="622"/>
        <v>0.66577406719978116</v>
      </c>
      <c r="EV44" s="95">
        <f t="shared" si="622"/>
        <v>0.66577406719978116</v>
      </c>
      <c r="EW44" s="101">
        <f t="shared" si="623"/>
        <v>0.90329939363082645</v>
      </c>
      <c r="EX44" s="94">
        <f t="shared" si="31"/>
        <v>0.66577406719978116</v>
      </c>
      <c r="EY44" s="94">
        <f t="shared" si="623"/>
        <v>0.90329939363082645</v>
      </c>
      <c r="EZ44" s="94">
        <f t="shared" si="623"/>
        <v>0.90329939363082645</v>
      </c>
      <c r="FA44" s="94">
        <f t="shared" si="165"/>
        <v>0.90329939363082645</v>
      </c>
      <c r="FB44" s="95">
        <f t="shared" si="32"/>
        <v>0.66577406719978116</v>
      </c>
      <c r="FC44" s="199"/>
      <c r="FD44" s="101">
        <f t="shared" si="730"/>
        <v>1.14051042355315E-4</v>
      </c>
      <c r="FE44" s="94">
        <f t="shared" si="731"/>
        <v>3.296839593310168E-5</v>
      </c>
      <c r="FF44" s="94">
        <f t="shared" si="732"/>
        <v>1.1082767692418213E-3</v>
      </c>
      <c r="FG44" s="94">
        <f t="shared" si="733"/>
        <v>1.1002734810620701E-4</v>
      </c>
      <c r="FH44" s="95" t="str">
        <f t="shared" si="734"/>
        <v/>
      </c>
      <c r="FI44" s="101">
        <f t="shared" si="735"/>
        <v>2.6044563725654509E-3</v>
      </c>
      <c r="FJ44" s="94">
        <f t="shared" si="736"/>
        <v>1.1303481894944869E-5</v>
      </c>
      <c r="FK44" s="94">
        <f t="shared" si="737"/>
        <v>9.7196472141225743E-5</v>
      </c>
      <c r="FL44" s="94">
        <f t="shared" si="738"/>
        <v>2.9298094352719786E-4</v>
      </c>
      <c r="FM44" s="94">
        <f t="shared" si="739"/>
        <v>8.6819122397080694E-6</v>
      </c>
      <c r="FN44" s="95">
        <f t="shared" si="740"/>
        <v>5.4164237590693252E-5</v>
      </c>
      <c r="FO44" s="199"/>
      <c r="FP44" s="101">
        <f>IF(EL44&lt;&gt;"",LOG(FF44*FJ44/Minerals!$C$6),"")</f>
        <v>0.57803247926811441</v>
      </c>
      <c r="FQ44" s="94">
        <f>IF(EL44&lt;&gt;"",LOG(FF44*FJ44/Minerals!$C$5),"")</f>
        <v>0.44755294991189676</v>
      </c>
      <c r="FR44" s="94">
        <f>IF(EN44&lt;&gt;"",LOG(FF44*FM44^2/Minerals!$C$2),"")</f>
        <v>-2.5081960425344265</v>
      </c>
      <c r="FS44" s="94">
        <f>IF(EO44&lt;&gt;"",LOG($FF44*$FN44/Minerals!$C$3),"")</f>
        <v>-2.621658770599141</v>
      </c>
      <c r="FT44" s="95">
        <f>IF(EP44&lt;&gt;"",LOG($FF44*$FN44/Minerals!$C$4),"")</f>
        <v>-2.8616432820650433</v>
      </c>
      <c r="FU44" s="96"/>
      <c r="FV44" s="101">
        <f>IF(FP44&lt;&gt;"",LOG(FF44*FJ44/(EXP(-1*Minerals!$E$6/'Other Constants'!$B$2*(1/(273.15+'ppm-mgL-1'!$D44)-1/298.15)+LN(Minerals!$C$6)))),"")</f>
        <v>-1.4052655421680587</v>
      </c>
      <c r="FW44" s="94">
        <f>IF(FP44&lt;&gt;"",LOG(FF44*FJ44/(EXP(-1*Minerals!$E$5/'Other Constants'!$B$2*(1/(273.15+'ppm-mgL-1'!$D44)-1/298.15)+LN(Minerals!$C$5)))),"")</f>
        <v>-1.5359243676204108</v>
      </c>
      <c r="FX44" s="94">
        <f>IF(FR44&lt;&gt;"",LOG(FF44*FM44^2/(EXP(-1*Minerals!$E$2/'Other Constants'!$B$2*(1/(273.15+'ppm-mgL-1'!$D44)-1/298.15)+LN(Minerals!$C$2)))),"")</f>
        <v>-2.4243452349086576</v>
      </c>
      <c r="FY44" s="94">
        <f>IF(FS44&lt;&gt;"",LOG($FF44*$FN44/(EXP(-1*Minerals!$E$3/'Other Constants'!$B$2*(1/(273.15+'ppm-mgL-1'!$D44)-1/298.15)+LN(Minerals!$C$3)))),"")</f>
        <v>-0.91198682244105189</v>
      </c>
      <c r="FZ44" s="95">
        <f>IF(FT44&lt;&gt;"",LOG($FF44*$FN44/(EXP(-1*Minerals!$E$4/'Other Constants'!$B$2*(1/(273.15+'ppm-mgL-1'!$D44)-1/298.15)+LN(Minerals!$C$4)))),"")</f>
        <v>-2.9106209989925684</v>
      </c>
      <c r="GA44" s="96"/>
      <c r="GB44" s="96"/>
      <c r="GC44" s="101">
        <f>10^(-1825000*(79.755*EXP(-0.0046*($D44-20))*($D44+273.15))^-1.5*$EK44^0.5/(1+'Elements and ions'!$D$12*$EK44^0.5/(2*(79.755*EXP(-0.0046*($D44-20))*($D44+273.15))^0.5)))</f>
        <v>0.90385566589145117</v>
      </c>
      <c r="GD44" s="94">
        <f>10^(-1825000*(79.755*EXP(-0.0046*($D44-20))*($D44+273.15))^-1.5*$EK44^0.5/(1+'Elements and ions'!$D$20*$EK44^0.5/(2*(79.755*EXP(-0.0046*($D44-20))*($D44+273.15))^0.5)))</f>
        <v>0.90121587429743177</v>
      </c>
      <c r="GE44" s="94">
        <f>10^(-1825000*(79.755*EXP(-0.0046*($D44-20))*($D44+273.15))^-1.5*4*$EK44^0.5/(1+'Elements and ions'!$D$21*$EK44^0.5/(2*(79.755*EXP(-0.0046*($D44-20))*($D44+273.15))^0.5)))</f>
        <v>0.68194085325981491</v>
      </c>
      <c r="GF44" s="94">
        <f>10^(-1825000*(79.755*EXP(-0.0046*($D44-20))*($D44+273.15))^-1.5*4*$EK44^0.5/(1+'Elements and ions'!$D$13*$EK44^0.5/(2*(79.755*EXP(-0.0046*($D44-20))*($D44+273.15))^0.5)))</f>
        <v>0.69526707017802925</v>
      </c>
      <c r="GG44" s="95">
        <f>10^(-1825000*(79.755*EXP(-0.0046*($D44-20))*($D44+273.15))^-1.5*4*$EK44^0.5/(1+'Elements and ions'!$D$27*$EK44^0.5/(2*(79.755*EXP(-0.0046*($D44-20))*($D44+273.15))^0.5)))</f>
        <v>0.68194085325981491</v>
      </c>
      <c r="GH44" s="101">
        <f>10^(-1825000*(79.755*EXP(-0.0046*($D44-20))*($D44+273.15))^-1.5*$EK44^0.5/(1+'Elements and ions'!$G$3*$EK44^0.5/(2*(79.755*EXP(-0.0046*($D44-20))*($D44+273.15))^0.5)))</f>
        <v>0.89427950262182365</v>
      </c>
      <c r="GI44" s="94">
        <f>10^(-1825000*(79.755*EXP(-0.0046*($D44-20))*($D44+273.15))^-1.5*4*$EK44^0.5/(1+'Elements and ions'!$G$4*$EK44^0.5/(2*(79.755*EXP(-0.0046*($D44-20))*($D44+273.15))^0.5)))</f>
        <v>0.63948781279369638</v>
      </c>
      <c r="GJ44" s="94">
        <f>10^(-1825000*(79.755*EXP(-0.0046*($D44-20))*($D44+273.15))^-1.5*$EK44^0.5/(1+'Elements and ions'!$D$18*$EK44^0.5/(2*(79.755*EXP(-0.0046*($D44-20))*($D44+273.15))^0.5)))</f>
        <v>0.90121587429743177</v>
      </c>
      <c r="GK44" s="94">
        <f>10^(-1825000*(79.755*EXP(-0.0046*($D44-20))*($D44+273.15))^-1.5*$EK44^0.5/(1+'Elements and ions'!$I$7*$EK44^0.5/(2*(79.755*EXP(-0.0046*($D44-20))*($D44+273.15))^0.5)))</f>
        <v>0.90121587429743177</v>
      </c>
      <c r="GL44" s="94">
        <f>10^(-1825000*(79.755*EXP(-0.0046*($D44-20))*($D44+273.15))^-1.5*$EK44^0.5/(1+'Elements and ions'!$D$10*$EK44^0.5/(2*(79.755*EXP(-0.0046*($D44-20))*($D44+273.15))^0.5)))</f>
        <v>0.90255362811388495</v>
      </c>
      <c r="GM44" s="95">
        <f>10^(-1825000*(79.755*EXP(-0.0046*($D44-20))*($D44+273.15))^-1.5*4*$EK44^0.5/(1+'Elements and ions'!$I$5*$EK44^0.5/(2*(79.755*EXP(-0.0046*($D44-20))*($D44+273.15))^0.5)))</f>
        <v>0.66741557784367989</v>
      </c>
      <c r="GN44" s="96"/>
      <c r="GO44" s="101">
        <f t="shared" si="741"/>
        <v>1.1412127757478369E-4</v>
      </c>
      <c r="GP44" s="94">
        <f t="shared" si="742"/>
        <v>3.2892352164222869E-5</v>
      </c>
      <c r="GQ44" s="94">
        <f t="shared" si="743"/>
        <v>1.1351887117555892E-3</v>
      </c>
      <c r="GR44" s="94">
        <f t="shared" si="744"/>
        <v>1.1490142936778813E-4</v>
      </c>
      <c r="GS44" s="95" t="str">
        <f t="shared" si="745"/>
        <v/>
      </c>
      <c r="GT44" s="101">
        <f t="shared" si="746"/>
        <v>2.5784495881217935E-3</v>
      </c>
      <c r="GU44" s="94">
        <f t="shared" si="747"/>
        <v>1.0857195060711755E-5</v>
      </c>
      <c r="GV44" s="94">
        <f t="shared" si="748"/>
        <v>9.6972282099394753E-5</v>
      </c>
      <c r="GW44" s="94">
        <f t="shared" si="749"/>
        <v>2.9230516375311711E-4</v>
      </c>
      <c r="GX44" s="94">
        <f t="shared" si="750"/>
        <v>8.6747444381849638E-6</v>
      </c>
      <c r="GY44" s="102">
        <f t="shared" si="751"/>
        <v>5.4297783153526206E-5</v>
      </c>
      <c r="GZ44" s="199"/>
      <c r="HA44" s="92">
        <f>IF(AND(GQ44&lt;&gt;"",GU44&lt;&gt;""),LOG(GQ44*GU44/Minerals!$C$6),"")</f>
        <v>0.57095771054486799</v>
      </c>
      <c r="HB44" s="94">
        <f>IF(AND(GQ44&lt;&gt;"",GU44&lt;&gt;""),LOG(GQ44*GU44/Minerals!$C$5),"")</f>
        <v>0.44047818118865034</v>
      </c>
      <c r="HC44" s="94">
        <f>IF(AND(GQ44&lt;&gt;"",GX44&lt;&gt;""),LOG(GQ44*GX44^2/Minerals!$C$2),"")</f>
        <v>-2.4984936133907887</v>
      </c>
      <c r="HD44" s="94">
        <f>IF(AND(GQ44&lt;&gt;"",GY44&lt;&gt;""),LOG($GQ44*$GY44/Minerals!$C$3),"")</f>
        <v>-2.6101694724280113</v>
      </c>
      <c r="HE44" s="102">
        <f>IF(AND(GQ44&lt;&gt;"",GY44&lt;&gt;""),LOG($GQ44*$GY44/Minerals!$C$3),"")</f>
        <v>-2.6101694724280113</v>
      </c>
      <c r="HF44" s="199"/>
      <c r="HG44" s="92">
        <f>IF(HA44&lt;&gt;"",LOG(GQ44*GU44/(EXP(-1*Minerals!$E$6/'Other Constants'!$B$2*(1/(273.15+'ppm-mgL-1'!$D44)-1/298.15)+LN(Minerals!$C$6)))),"")</f>
        <v>-1.4123403108913051</v>
      </c>
      <c r="HH44" s="94">
        <f>IF(HA44&lt;&gt;"",LOG(GQ44*GU44/(EXP(-1*Minerals!$E$5/'Other Constants'!$B$2*(1/(273.15+'ppm-mgL-1'!$D44)-1/298.15)+LN(Minerals!$C$5)))),"")</f>
        <v>-1.5429991363436573</v>
      </c>
      <c r="HI44" s="94">
        <f>IF(HC44&lt;&gt;"",LOG(GQ44*GX44^2/(EXP(-1*Minerals!$E$2/'Other Constants'!$B$2*(1/(273.15+'ppm-mgL-1'!$D44)-1/298.15)+LN(Minerals!$C$2)))),"")</f>
        <v>-2.4146428057650198</v>
      </c>
      <c r="HJ44" s="94">
        <f>IF(HD44&lt;&gt;"",LOG($FF44*$FN44/(EXP(-1*Minerals!$E$3/'Other Constants'!$B$2*(1/(273.15+'ppm-mgL-1'!$D44)-1/298.15)+LN(Minerals!$C$3)))),"")</f>
        <v>-0.91198682244105189</v>
      </c>
      <c r="HK44" s="95">
        <f>IF(HE44&lt;&gt;"",LOG($FF44*$FN44/(EXP(-1*Minerals!$E$4/'Other Constants'!$B$2*(1/(273.15+'ppm-mgL-1'!$D44)-1/298.15)+LN(Minerals!$C$4)))),"")</f>
        <v>-2.9106209989925684</v>
      </c>
      <c r="HL44" s="199"/>
      <c r="HM44" s="199"/>
    </row>
    <row r="45" spans="1:221" x14ac:dyDescent="0.25">
      <c r="A45" s="267" t="str">
        <f>'WC samples'!B16</f>
        <v>ISCD Direct</v>
      </c>
      <c r="C45" s="266">
        <f>'WC samples'!A16</f>
        <v>41624</v>
      </c>
      <c r="D45" s="4">
        <f>'WC samples'!I16</f>
        <v>20.3</v>
      </c>
      <c r="E45" s="4">
        <f>'WC samples'!F16</f>
        <v>7.71</v>
      </c>
      <c r="AD45" s="83">
        <f>IF(E45&lt;&gt;"",10^(-2*$E45)/(10^(-2*$E45)+10^(-$E45-pKa!$B$2)+(10^(-pKa!$B$2-pKa!$C$2))),"")</f>
        <v>3.7355210495552418E-2</v>
      </c>
      <c r="AE45" s="84">
        <f>IF(E45&lt;&gt;"",10^(-$E45-pKa!$B$2)/(10^(-2*$E45)+10^(-$E45-pKa!$B$2)+10^(-pKa!$B$2-pKa!$C$2)),"")</f>
        <v>0.9601767552221121</v>
      </c>
      <c r="AF45" s="212">
        <f>IF(E45&lt;&gt;"",10^(-pKa!$B$2-pKa!$C$2)/(10^(-2*$E45)+10^(-$E45-pKa!$B$2)+10^(-pKa!$B$2-pKa!$C$2)),"")</f>
        <v>2.4680342823355994E-3</v>
      </c>
      <c r="AG45" s="152"/>
      <c r="AH45" s="222">
        <f>IF($AK45&lt;&gt;"",$AK45/'Elements and ions'!$G$3,IF($E45="","",""))</f>
        <v>2.9663941954385056</v>
      </c>
      <c r="AI45" s="85">
        <f t="shared" si="688"/>
        <v>3.0736237556521326E-3</v>
      </c>
      <c r="AJ45" s="84">
        <f>IF(AI45&lt;&gt;"",AI45*1000*'Elements and ions'!$B$7,"")</f>
        <v>36.916372842011064</v>
      </c>
      <c r="AK45" s="99">
        <f>'WC samples'!H16</f>
        <v>181</v>
      </c>
      <c r="AL45" s="88">
        <f>IF($AK45&lt;&gt;"",$AK45/'Elements and ions'!$G$3*Minerals!$B$6/2,IF($E45="","","Enter Alk(HCO3-)"))</f>
        <v>148.44859959971708</v>
      </c>
      <c r="AM45" s="199"/>
      <c r="AN45" s="101">
        <f t="shared" si="491"/>
        <v>1.1481586237651578E-4</v>
      </c>
      <c r="AO45" s="94">
        <f t="shared" si="492"/>
        <v>2.9512220844756668E-3</v>
      </c>
      <c r="AP45" s="95">
        <f t="shared" si="493"/>
        <v>7.5858087999505604E-6</v>
      </c>
      <c r="AQ45" s="199"/>
      <c r="AR45" s="199"/>
      <c r="AS45" s="83">
        <f t="shared" si="66"/>
        <v>0.3376937128721052</v>
      </c>
      <c r="AT45" s="83">
        <f>IF(AN45&lt;&gt;"",AN45/'Henrys law constants'!$B$7*1000000,"")</f>
        <v>3376.937128721052</v>
      </c>
      <c r="AU45" s="268">
        <f>'WC samples'!K16</f>
        <v>10.4345</v>
      </c>
      <c r="AV45" s="269">
        <f>'WC samples'!M16</f>
        <v>1.4378</v>
      </c>
      <c r="AW45" s="269">
        <f>'WC samples'!O16</f>
        <v>66.619799999999998</v>
      </c>
      <c r="AX45" s="269">
        <f>'WC samples'!N16</f>
        <v>3.8540000000000001</v>
      </c>
      <c r="AY45" s="226">
        <f>AO45*'Elements and ions'!$G$3*1000</f>
        <v>180.07424573291823</v>
      </c>
      <c r="AZ45" s="269">
        <f>'WC samples'!Q16</f>
        <v>20.613499999999998</v>
      </c>
      <c r="BA45" s="269">
        <f>'WC samples'!T16</f>
        <v>23.210899999999999</v>
      </c>
      <c r="BB45" s="270">
        <f>'WC samples'!V16</f>
        <v>8.6523000000000003</v>
      </c>
      <c r="BC45" s="222">
        <f>IF($E45&lt;&gt;"",10^-$E45*'Elements and ions'!B46*1000,"")</f>
        <v>0</v>
      </c>
      <c r="BE45" s="6"/>
      <c r="BF45" s="6"/>
      <c r="BG45" s="270">
        <f>'WC samples'!L16</f>
        <v>0</v>
      </c>
      <c r="BH45" s="3"/>
      <c r="BJ45" s="92">
        <f>IF($AN45&lt;&gt;"",$AN45*'Elements and ions'!$G$2*1000,"")</f>
        <v>7.1214286044136674</v>
      </c>
      <c r="BK45" s="229"/>
      <c r="BL45" s="230"/>
      <c r="BM45" s="101">
        <f>IF($E45&lt;&gt;"",(10^-14+$E45)*'Elements and ions'!$G$8,"")</f>
        <v>131.12659140000017</v>
      </c>
      <c r="BO45" s="102">
        <f>IF($AP45&lt;&gt;"",$AP45*'Elements and ions'!$G$4*1000,"")</f>
        <v>0.45521604169535318</v>
      </c>
      <c r="BP45" s="269">
        <f>'WC samples'!P16</f>
        <v>0.1958</v>
      </c>
      <c r="BQ45" s="270">
        <f>'WC samples'!R16</f>
        <v>0</v>
      </c>
      <c r="BR45" s="195"/>
      <c r="BS45" s="238">
        <f>IF($AU45&lt;&gt;"",$AU45/'Elements and ions'!$B$12,"")</f>
        <v>0.4538758033155868</v>
      </c>
      <c r="BT45" s="239">
        <f>IF($AV45&lt;&gt;"",$AV45/'Elements and ions'!$B$20,"")</f>
        <v>3.6773977385206005E-2</v>
      </c>
      <c r="BU45" s="239">
        <f>IF($AW45&lt;&gt;"",$AW45/'Elements and ions'!$B$21, "")</f>
        <v>1.6622536054693346</v>
      </c>
      <c r="BV45" s="240">
        <f>IF($AX45&lt;&gt;"",$AX45/'Elements and ions'!$B$13, "")</f>
        <v>0.15856819584447646</v>
      </c>
      <c r="BW45" s="238">
        <f>IF($AY45&lt;&gt;"",$AY45/'Elements and ions'!$G$3,"")</f>
        <v>2.9512220844756669</v>
      </c>
      <c r="BX45" s="239">
        <f>IF($AZ45&lt;&gt;"",$AZ45/'Elements and ions'!$B$18,"")</f>
        <v>0.58143175471751318</v>
      </c>
      <c r="BY45" s="239">
        <f>IF($BA45&lt;&gt;"",$BA45/'Elements and ions'!$G$7,"")</f>
        <v>0.37433976992140944</v>
      </c>
      <c r="BZ45" s="241">
        <f>IF($BB45&lt;&gt;"",$BB45/'Elements and ions'!$G$5,"")</f>
        <v>9.0069392250470004E-2</v>
      </c>
      <c r="CA45" s="91">
        <f t="shared" si="67"/>
        <v>1.9498445997580436E-5</v>
      </c>
      <c r="CB45" s="163" t="str">
        <f>IF($BD45&lt;&gt;"",$BD45/'Elements and ions'!$B$14,"")</f>
        <v/>
      </c>
      <c r="CC45" s="89" t="str">
        <f>IF($BE45&lt;&gt;"",$BE45/'Elements and ions'!$B$27, "")</f>
        <v/>
      </c>
      <c r="CD45" s="249" t="str">
        <f>IF($BF45&lt;&gt;"",$BF45/'Elements and ions'!$B$26,"")</f>
        <v/>
      </c>
      <c r="CE45" s="250">
        <f>IF($BG45&lt;&gt;"",$BG45/'Elements and ions'!$G$6,"")</f>
        <v>0</v>
      </c>
      <c r="CF45" s="91" t="str">
        <f>IF($BH45&lt;&gt;"",$BH45/'Elements and ions'!$G$15,"")</f>
        <v/>
      </c>
      <c r="CG45" s="89" t="str">
        <f>IF($BI45&lt;&gt;"",$BI45/'Elements and ions'!$G$16,"")</f>
        <v/>
      </c>
      <c r="CH45" s="90">
        <f>IF($BJ45&lt;&gt;"",$BJ45/'Elements and ions'!$G$2,"")</f>
        <v>0.11481586237651578</v>
      </c>
      <c r="CI45" s="91" t="str">
        <f>IF($BK45&lt;&gt;"",$BK45/'Elements and ions'!$B$15, "")</f>
        <v/>
      </c>
      <c r="CJ45" s="88" t="str">
        <f>IF($BL45&lt;&gt;"", $BL45/'Elements and ions'!$G$17,"")</f>
        <v/>
      </c>
      <c r="CK45" s="89">
        <f t="shared" si="68"/>
        <v>5.1286138399136375E-4</v>
      </c>
      <c r="CL45" s="163" t="str">
        <f>IF($BN45&lt;&gt;"", $BN45/'Elements and ions'!$G$19,"")</f>
        <v/>
      </c>
      <c r="CM45" s="89">
        <f>IF($BO45&lt;&gt;"",$BO45/'Elements and ions'!$G$4,"")</f>
        <v>7.585808799950561E-3</v>
      </c>
      <c r="CN45" s="89">
        <f>IF($BP45&lt;&gt;"",$BP45/'Elements and ions'!$B$10,"")</f>
        <v>1.0306129306698787E-2</v>
      </c>
      <c r="CO45" s="104">
        <f>IF($BQ45&lt;&gt;"",$BQ45/'Elements and ions'!$G$18,"")</f>
        <v>0</v>
      </c>
      <c r="CP45" s="242"/>
      <c r="CQ45" s="238">
        <f t="shared" si="689"/>
        <v>4.5387580331558681E-4</v>
      </c>
      <c r="CR45" s="239">
        <f t="shared" si="690"/>
        <v>3.6773977385206008E-5</v>
      </c>
      <c r="CS45" s="239">
        <f t="shared" si="691"/>
        <v>1.6622536054693346E-3</v>
      </c>
      <c r="CT45" s="241">
        <f t="shared" si="692"/>
        <v>1.5856819584447645E-4</v>
      </c>
      <c r="CU45" s="238">
        <f t="shared" si="693"/>
        <v>2.9512220844756668E-3</v>
      </c>
      <c r="CV45" s="239">
        <f t="shared" si="694"/>
        <v>5.8143175471751319E-4</v>
      </c>
      <c r="CW45" s="239">
        <f t="shared" si="695"/>
        <v>3.7433976992140946E-4</v>
      </c>
      <c r="CX45" s="241">
        <f t="shared" si="696"/>
        <v>9.0069392250470001E-5</v>
      </c>
      <c r="CY45" s="258">
        <f t="shared" si="98"/>
        <v>1.9498445997580434E-8</v>
      </c>
      <c r="CZ45" s="259" t="str">
        <f t="shared" si="697"/>
        <v/>
      </c>
      <c r="DA45" s="260" t="str">
        <f t="shared" si="698"/>
        <v/>
      </c>
      <c r="DB45" s="261" t="str">
        <f t="shared" si="699"/>
        <v/>
      </c>
      <c r="DC45" s="262">
        <f t="shared" si="700"/>
        <v>0</v>
      </c>
      <c r="DD45" s="263" t="str">
        <f t="shared" si="701"/>
        <v/>
      </c>
      <c r="DE45" s="259" t="str">
        <f t="shared" si="702"/>
        <v/>
      </c>
      <c r="DF45" s="260">
        <f t="shared" si="703"/>
        <v>1.1481586237651578E-4</v>
      </c>
      <c r="DG45" s="260" t="str">
        <f t="shared" si="704"/>
        <v/>
      </c>
      <c r="DH45" s="264" t="str">
        <f t="shared" si="705"/>
        <v/>
      </c>
      <c r="DI45" s="258">
        <f t="shared" si="108"/>
        <v>5.1286138399136375E-7</v>
      </c>
      <c r="DJ45" s="260" t="str">
        <f t="shared" si="706"/>
        <v/>
      </c>
      <c r="DK45" s="260">
        <f t="shared" si="707"/>
        <v>7.5858087999505612E-6</v>
      </c>
      <c r="DL45" s="260">
        <f t="shared" si="708"/>
        <v>1.0306129306698787E-5</v>
      </c>
      <c r="DM45" s="265">
        <f t="shared" si="709"/>
        <v>0</v>
      </c>
      <c r="DN45" s="242"/>
      <c r="DO45" s="238">
        <f t="shared" si="710"/>
        <v>0.4538758033155868</v>
      </c>
      <c r="DP45" s="239">
        <f t="shared" si="711"/>
        <v>3.6773977385206005E-2</v>
      </c>
      <c r="DQ45" s="239">
        <f t="shared" si="712"/>
        <v>3.3245072109386693</v>
      </c>
      <c r="DR45" s="241">
        <f t="shared" si="713"/>
        <v>0.31713639168895291</v>
      </c>
      <c r="DS45" s="238">
        <f t="shared" si="714"/>
        <v>-2.9512220844756669</v>
      </c>
      <c r="DT45" s="239">
        <f t="shared" si="715"/>
        <v>-0.58143175471751318</v>
      </c>
      <c r="DU45" s="239">
        <f t="shared" si="716"/>
        <v>-0.37433976992140944</v>
      </c>
      <c r="DV45" s="241">
        <f t="shared" si="717"/>
        <v>-0.18013878450094001</v>
      </c>
      <c r="DW45" s="91">
        <f t="shared" si="113"/>
        <v>1.9498445997580436E-5</v>
      </c>
      <c r="DX45" s="89">
        <f t="shared" si="718"/>
        <v>0</v>
      </c>
      <c r="DY45" s="89">
        <f t="shared" si="719"/>
        <v>0</v>
      </c>
      <c r="DZ45" s="89">
        <f t="shared" si="720"/>
        <v>0</v>
      </c>
      <c r="EA45" s="90">
        <f t="shared" si="721"/>
        <v>0</v>
      </c>
      <c r="EB45" s="91">
        <f t="shared" si="118"/>
        <v>-5.1286138399136375E-4</v>
      </c>
      <c r="EC45" s="89">
        <f t="shared" si="722"/>
        <v>0</v>
      </c>
      <c r="ED45" s="89">
        <f t="shared" si="723"/>
        <v>-1.5171617599901122E-2</v>
      </c>
      <c r="EE45" s="89">
        <f t="shared" si="724"/>
        <v>-1.0306129306698787E-2</v>
      </c>
      <c r="EF45" s="90">
        <f t="shared" si="725"/>
        <v>0</v>
      </c>
      <c r="EG45" s="242"/>
      <c r="EH45" s="245">
        <f t="shared" si="726"/>
        <v>4.1323128817744124</v>
      </c>
      <c r="EI45" s="246">
        <f t="shared" si="727"/>
        <v>-4.1131230019061205</v>
      </c>
      <c r="EJ45" s="198">
        <f t="shared" si="728"/>
        <v>0.23273335866055003</v>
      </c>
      <c r="EK45" s="198">
        <f t="shared" si="729"/>
        <v>9.8475395338181657E-3</v>
      </c>
      <c r="EL45" s="101">
        <f>IF(AND(CS45&lt;&gt;"",DK45&lt;&gt;""),LOG(CS45*DK45/Minerals!$C$6),"")</f>
        <v>0.58087118197151133</v>
      </c>
      <c r="EM45" s="94">
        <f>IF(AND(CS45&lt;&gt;"",DK45&lt;&gt;""),LOG(CS45*DK45/Minerals!$C$5),"")</f>
        <v>0.45039165261529368</v>
      </c>
      <c r="EN45" s="94">
        <f>IF(AND(CS45&lt;&gt;"",DL45&lt;&gt;""),LOG(CS45*DL45^2/Minerals!$C$2),"")</f>
        <v>-2.1831865977906437</v>
      </c>
      <c r="EO45" s="94">
        <f>IF(AND(CS45&lt;&gt;"",CX45&lt;&gt;""),LOG($CS45*$CX45/Minerals!$C$3),"")</f>
        <v>-2.2247451191239742</v>
      </c>
      <c r="EP45" s="95">
        <f>IF(AND(CS45&lt;&gt;"",CX45&lt;&gt;""),LOG($CS45*$CX45/Minerals!$C$4),"")</f>
        <v>-2.4647296305898765</v>
      </c>
      <c r="EQ45" s="199"/>
      <c r="ER45" s="101">
        <f t="shared" si="621"/>
        <v>0.90128446520640804</v>
      </c>
      <c r="ES45" s="94">
        <f t="shared" si="621"/>
        <v>0.90128446520640804</v>
      </c>
      <c r="ET45" s="94">
        <f t="shared" si="622"/>
        <v>0.65985352644885253</v>
      </c>
      <c r="EU45" s="94">
        <f t="shared" si="622"/>
        <v>0.65985352644885253</v>
      </c>
      <c r="EV45" s="95">
        <f t="shared" si="622"/>
        <v>0.65985352644885253</v>
      </c>
      <c r="EW45" s="101">
        <f t="shared" si="623"/>
        <v>0.90128446520640804</v>
      </c>
      <c r="EX45" s="94">
        <f t="shared" si="31"/>
        <v>0.65985352644885253</v>
      </c>
      <c r="EY45" s="94">
        <f t="shared" si="623"/>
        <v>0.90128446520640804</v>
      </c>
      <c r="EZ45" s="94">
        <f t="shared" si="623"/>
        <v>0.90128446520640804</v>
      </c>
      <c r="FA45" s="94">
        <f t="shared" si="165"/>
        <v>0.90128446520640804</v>
      </c>
      <c r="FB45" s="95">
        <f t="shared" si="32"/>
        <v>0.65985352644885253</v>
      </c>
      <c r="FC45" s="199"/>
      <c r="FD45" s="101">
        <f t="shared" si="730"/>
        <v>4.0907121066141751E-4</v>
      </c>
      <c r="FE45" s="94">
        <f t="shared" si="731"/>
        <v>3.314381454113794E-5</v>
      </c>
      <c r="FF45" s="94">
        <f t="shared" si="732"/>
        <v>1.09684390342126E-3</v>
      </c>
      <c r="FG45" s="94">
        <f t="shared" si="733"/>
        <v>1.0463178321061006E-4</v>
      </c>
      <c r="FH45" s="95" t="str">
        <f t="shared" si="734"/>
        <v/>
      </c>
      <c r="FI45" s="101">
        <f t="shared" si="735"/>
        <v>2.659890618111992E-3</v>
      </c>
      <c r="FJ45" s="94">
        <f t="shared" si="736"/>
        <v>5.0055226876141163E-6</v>
      </c>
      <c r="FK45" s="94">
        <f t="shared" si="737"/>
        <v>5.2403540810459727E-4</v>
      </c>
      <c r="FL45" s="94">
        <f t="shared" si="738"/>
        <v>3.3738661933910736E-4</v>
      </c>
      <c r="FM45" s="94">
        <f t="shared" si="739"/>
        <v>9.2887542405361057E-6</v>
      </c>
      <c r="FN45" s="95">
        <f t="shared" si="740"/>
        <v>5.9432606101577581E-5</v>
      </c>
      <c r="FO45" s="199"/>
      <c r="FP45" s="101">
        <f>IF(EL45&lt;&gt;"",LOG(FF45*FJ45/Minerals!$C$6),"")</f>
        <v>0.21976626604064586</v>
      </c>
      <c r="FQ45" s="94">
        <f>IF(EL45&lt;&gt;"",LOG(FF45*FJ45/Minerals!$C$5),"")</f>
        <v>8.9286736684428172E-2</v>
      </c>
      <c r="FR45" s="94">
        <f>IF(EN45&lt;&gt;"",LOG(FF45*FM45^2/Minerals!$C$2),"")</f>
        <v>-2.4540152847387926</v>
      </c>
      <c r="FS45" s="94">
        <f>IF(EO45&lt;&gt;"",LOG($FF45*$FN45/Minerals!$C$3),"")</f>
        <v>-2.5858500350548397</v>
      </c>
      <c r="FT45" s="95">
        <f>IF(EP45&lt;&gt;"",LOG($FF45*$FN45/Minerals!$C$4),"")</f>
        <v>-2.825834546520742</v>
      </c>
      <c r="FU45" s="96"/>
      <c r="FV45" s="101">
        <f>IF(FP45&lt;&gt;"",LOG(FF45*FJ45/(EXP(-1*Minerals!$E$6/'Other Constants'!$B$2*(1/(273.15+'ppm-mgL-1'!$D45)-1/298.15)+LN(Minerals!$C$6)))),"")</f>
        <v>-1.6426279615448693</v>
      </c>
      <c r="FW45" s="94">
        <f>IF(FP45&lt;&gt;"",LOG(FF45*FJ45/(EXP(-1*Minerals!$E$5/'Other Constants'!$B$2*(1/(273.15+'ppm-mgL-1'!$D45)-1/298.15)+LN(Minerals!$C$5)))),"")</f>
        <v>-1.7732758569312359</v>
      </c>
      <c r="FX45" s="94">
        <f>IF(FR45&lt;&gt;"",LOG(FF45*FM45^2/(EXP(-1*Minerals!$E$2/'Other Constants'!$B$2*(1/(273.15+'ppm-mgL-1'!$D45)-1/298.15)+LN(Minerals!$C$2)))),"")</f>
        <v>-2.3752761046394082</v>
      </c>
      <c r="FY45" s="94">
        <f>IF(FS45&lt;&gt;"",LOG($FF45*$FN45/(EXP(-1*Minerals!$E$3/'Other Constants'!$B$2*(1/(273.15+'ppm-mgL-1'!$D45)-1/298.15)+LN(Minerals!$C$3)))),"")</f>
        <v>-0.98040136677612766</v>
      </c>
      <c r="FZ45" s="95">
        <f>IF(FT45&lt;&gt;"",LOG($FF45*$FN45/(EXP(-1*Minerals!$E$4/'Other Constants'!$B$2*(1/(273.15+'ppm-mgL-1'!$D45)-1/298.15)+LN(Minerals!$C$4)))),"")</f>
        <v>-2.8718265337562698</v>
      </c>
      <c r="GA45" s="96"/>
      <c r="GB45" s="96"/>
      <c r="GC45" s="101">
        <f>10^(-1825000*(79.755*EXP(-0.0046*($D45-20))*($D45+273.15))^-1.5*$EK45^0.5/(1+'Elements and ions'!$D$12*$EK45^0.5/(2*(79.755*EXP(-0.0046*($D45-20))*($D45+273.15))^0.5)))</f>
        <v>0.90185785492721915</v>
      </c>
      <c r="GD45" s="94">
        <f>10^(-1825000*(79.755*EXP(-0.0046*($D45-20))*($D45+273.15))^-1.5*$EK45^0.5/(1+'Elements and ions'!$D$20*$EK45^0.5/(2*(79.755*EXP(-0.0046*($D45-20))*($D45+273.15))^0.5)))</f>
        <v>0.89910676893987795</v>
      </c>
      <c r="GE45" s="94">
        <f>10^(-1825000*(79.755*EXP(-0.0046*($D45-20))*($D45+273.15))^-1.5*4*$EK45^0.5/(1+'Elements and ions'!$D$21*$EK45^0.5/(2*(79.755*EXP(-0.0046*($D45-20))*($D45+273.15))^0.5)))</f>
        <v>0.67655314545600775</v>
      </c>
      <c r="GF45" s="94">
        <f>10^(-1825000*(79.755*EXP(-0.0046*($D45-20))*($D45+273.15))^-1.5*4*$EK45^0.5/(1+'Elements and ions'!$D$13*$EK45^0.5/(2*(79.755*EXP(-0.0046*($D45-20))*($D45+273.15))^0.5)))</f>
        <v>0.69031395866055545</v>
      </c>
      <c r="GG45" s="95">
        <f>10^(-1825000*(79.755*EXP(-0.0046*($D45-20))*($D45+273.15))^-1.5*4*$EK45^0.5/(1+'Elements and ions'!$D$27*$EK45^0.5/(2*(79.755*EXP(-0.0046*($D45-20))*($D45+273.15))^0.5)))</f>
        <v>0.67655314545600775</v>
      </c>
      <c r="GH45" s="101">
        <f>10^(-1825000*(79.755*EXP(-0.0046*($D45-20))*($D45+273.15))^-1.5*$EK45^0.5/(1+'Elements and ions'!$G$3*$EK45^0.5/(2*(79.755*EXP(-0.0046*($D45-20))*($D45+273.15))^0.5)))</f>
        <v>0.89186330817535042</v>
      </c>
      <c r="GI45" s="94">
        <f>10^(-1825000*(79.755*EXP(-0.0046*($D45-20))*($D45+273.15))^-1.5*4*$EK45^0.5/(1+'Elements and ions'!$G$4*$EK45^0.5/(2*(79.755*EXP(-0.0046*($D45-20))*($D45+273.15))^0.5)))</f>
        <v>0.63260030223121588</v>
      </c>
      <c r="GJ45" s="94">
        <f>10^(-1825000*(79.755*EXP(-0.0046*($D45-20))*($D45+273.15))^-1.5*$EK45^0.5/(1+'Elements and ions'!$D$18*$EK45^0.5/(2*(79.755*EXP(-0.0046*($D45-20))*($D45+273.15))^0.5)))</f>
        <v>0.89910676893987795</v>
      </c>
      <c r="GK45" s="94">
        <f>10^(-1825000*(79.755*EXP(-0.0046*($D45-20))*($D45+273.15))^-1.5*$EK45^0.5/(1+'Elements and ions'!$I$7*$EK45^0.5/(2*(79.755*EXP(-0.0046*($D45-20))*($D45+273.15))^0.5)))</f>
        <v>0.89910676893987795</v>
      </c>
      <c r="GL45" s="94">
        <f>10^(-1825000*(79.755*EXP(-0.0046*($D45-20))*($D45+273.15))^-1.5*$EK45^0.5/(1+'Elements and ions'!$D$10*$EK45^0.5/(2*(79.755*EXP(-0.0046*($D45-20))*($D45+273.15))^0.5)))</f>
        <v>0.90050130647572868</v>
      </c>
      <c r="GM45" s="95">
        <f>10^(-1825000*(79.755*EXP(-0.0046*($D45-20))*($D45+273.15))^-1.5*4*$EK45^0.5/(1+'Elements and ions'!$I$5*$EK45^0.5/(2*(79.755*EXP(-0.0046*($D45-20))*($D45+273.15))^0.5)))</f>
        <v>0.66153430296227367</v>
      </c>
      <c r="GN45" s="96"/>
      <c r="GO45" s="101">
        <f t="shared" si="741"/>
        <v>4.0933145838156353E-4</v>
      </c>
      <c r="GP45" s="94">
        <f t="shared" si="742"/>
        <v>3.3063731987880714E-5</v>
      </c>
      <c r="GQ45" s="94">
        <f t="shared" si="743"/>
        <v>1.124602905325868E-3</v>
      </c>
      <c r="GR45" s="94">
        <f t="shared" si="744"/>
        <v>1.0946183899106278E-4</v>
      </c>
      <c r="GS45" s="95" t="str">
        <f t="shared" si="745"/>
        <v/>
      </c>
      <c r="GT45" s="101">
        <f t="shared" si="746"/>
        <v>2.6320866914206218E-3</v>
      </c>
      <c r="GU45" s="94">
        <f t="shared" si="747"/>
        <v>4.7987849395169419E-6</v>
      </c>
      <c r="GV45" s="94">
        <f t="shared" si="748"/>
        <v>5.2276922634310688E-4</v>
      </c>
      <c r="GW45" s="94">
        <f t="shared" si="749"/>
        <v>3.3657142101973576E-4</v>
      </c>
      <c r="GX45" s="94">
        <f t="shared" si="750"/>
        <v>9.2806829053900545E-6</v>
      </c>
      <c r="GY45" s="102">
        <f t="shared" si="751"/>
        <v>5.9583992620650282E-5</v>
      </c>
      <c r="GZ45" s="199"/>
      <c r="HA45" s="92">
        <f>IF(AND(GQ45&lt;&gt;"",GU45&lt;&gt;""),LOG(GQ45*GU45/Minerals!$C$6),"")</f>
        <v>0.21230249456141745</v>
      </c>
      <c r="HB45" s="94">
        <f>IF(AND(GQ45&lt;&gt;"",GU45&lt;&gt;""),LOG(GQ45*GU45/Minerals!$C$5),"")</f>
        <v>8.1822965205199744E-2</v>
      </c>
      <c r="HC45" s="94">
        <f>IF(AND(GQ45&lt;&gt;"",GX45&lt;&gt;""),LOG(GQ45*GX45^2/Minerals!$C$2),"")</f>
        <v>-2.4439159857807757</v>
      </c>
      <c r="HD45" s="94">
        <f>IF(AND(GQ45&lt;&gt;"",GY45&lt;&gt;""),LOG($GQ45*$GY45/Minerals!$C$3),"")</f>
        <v>-2.5738908327448482</v>
      </c>
      <c r="HE45" s="102">
        <f>IF(AND(GQ45&lt;&gt;"",GY45&lt;&gt;""),LOG($GQ45*$GY45/Minerals!$C$3),"")</f>
        <v>-2.5738908327448482</v>
      </c>
      <c r="HF45" s="199"/>
      <c r="HG45" s="92">
        <f>IF(HA45&lt;&gt;"",LOG(GQ45*GU45/(EXP(-1*Minerals!$E$6/'Other Constants'!$B$2*(1/(273.15+'ppm-mgL-1'!$D45)-1/298.15)+LN(Minerals!$C$6)))),"")</f>
        <v>-1.6500917330240978</v>
      </c>
      <c r="HH45" s="94">
        <f>IF(HA45&lt;&gt;"",LOG(GQ45*GU45/(EXP(-1*Minerals!$E$5/'Other Constants'!$B$2*(1/(273.15+'ppm-mgL-1'!$D45)-1/298.15)+LN(Minerals!$C$5)))),"")</f>
        <v>-1.7807396284104642</v>
      </c>
      <c r="HI45" s="94">
        <f>IF(HC45&lt;&gt;"",LOG(GQ45*GX45^2/(EXP(-1*Minerals!$E$2/'Other Constants'!$B$2*(1/(273.15+'ppm-mgL-1'!$D45)-1/298.15)+LN(Minerals!$C$2)))),"")</f>
        <v>-2.3651768056813909</v>
      </c>
      <c r="HJ45" s="94">
        <f>IF(HD45&lt;&gt;"",LOG($FF45*$FN45/(EXP(-1*Minerals!$E$3/'Other Constants'!$B$2*(1/(273.15+'ppm-mgL-1'!$D45)-1/298.15)+LN(Minerals!$C$3)))),"")</f>
        <v>-0.98040136677612766</v>
      </c>
      <c r="HK45" s="95">
        <f>IF(HE45&lt;&gt;"",LOG($FF45*$FN45/(EXP(-1*Minerals!$E$4/'Other Constants'!$B$2*(1/(273.15+'ppm-mgL-1'!$D45)-1/298.15)+LN(Minerals!$C$4)))),"")</f>
        <v>-2.8718265337562698</v>
      </c>
      <c r="HL45" s="199"/>
      <c r="HM45" s="199"/>
    </row>
    <row r="46" spans="1:221" x14ac:dyDescent="0.25">
      <c r="A46" s="267" t="str">
        <f>'WC samples'!B17</f>
        <v>ISCD Direct</v>
      </c>
      <c r="C46" s="266">
        <f>'WC samples'!A17</f>
        <v>41659</v>
      </c>
      <c r="D46" s="276">
        <v>20</v>
      </c>
      <c r="E46" s="4">
        <f>'WC samples'!F17</f>
        <v>7.55</v>
      </c>
      <c r="AD46" s="83">
        <f>IF(E46&lt;&gt;"",10^(-2*$E46)/(10^(-2*$E46)+10^(-$E46-pKa!$B$2)+(10^(-pKa!$B$2-pKa!$C$2))),"")</f>
        <v>5.3150730449847076E-2</v>
      </c>
      <c r="AE46" s="84">
        <f>IF(E46&lt;&gt;"",10^(-$E46-pKa!$B$2)/(10^(-2*$E46)+10^(-$E46-pKa!$B$2)+10^(-pKa!$B$2-pKa!$C$2)),"")</f>
        <v>0.94516849587492091</v>
      </c>
      <c r="AF46" s="212">
        <f>IF(E46&lt;&gt;"",10^(-pKa!$B$2-pKa!$C$2)/(10^(-2*$E46)+10^(-$E46-pKa!$B$2)+10^(-pKa!$B$2-pKa!$C$2)),"")</f>
        <v>1.6807736752318268E-3</v>
      </c>
      <c r="AG46" s="152"/>
      <c r="AH46" s="222">
        <f>IF($AK46&lt;&gt;"",$AK46/'Elements and ions'!$G$3,IF($E46="","",""))</f>
        <v>2.8025050133700797</v>
      </c>
      <c r="AI46" s="85">
        <f t="shared" si="688"/>
        <v>2.9545766175321912E-3</v>
      </c>
      <c r="AJ46" s="84">
        <f>IF(AI46&lt;&gt;"",AI46*1000*'Elements and ions'!$B$7,"")</f>
        <v>35.486533380193883</v>
      </c>
      <c r="AK46" s="99">
        <f>'WC samples'!H17</f>
        <v>171</v>
      </c>
      <c r="AL46" s="88">
        <f>IF($AK46&lt;&gt;"",$AK46/'Elements and ions'!$G$3*Minerals!$B$6/2,IF($E46="","","Enter Alk(HCO3-)"))</f>
        <v>140.24701951133491</v>
      </c>
      <c r="AM46" s="199"/>
      <c r="AN46" s="101">
        <f t="shared" si="491"/>
        <v>1.5703790539187441E-4</v>
      </c>
      <c r="AO46" s="94">
        <f t="shared" si="492"/>
        <v>2.7925727375401124E-3</v>
      </c>
      <c r="AP46" s="95">
        <f t="shared" si="493"/>
        <v>4.9659746002036002E-6</v>
      </c>
      <c r="AQ46" s="199"/>
      <c r="AR46" s="199"/>
      <c r="AS46" s="83">
        <f t="shared" si="66"/>
        <v>0.46187619232904237</v>
      </c>
      <c r="AT46" s="83">
        <f>IF(AN46&lt;&gt;"",AN46/'Henrys law constants'!$B$7*1000000,"")</f>
        <v>4618.7619232904235</v>
      </c>
      <c r="AU46" s="268">
        <f>'WC samples'!K17</f>
        <v>4.0119999999999996</v>
      </c>
      <c r="AV46" s="269">
        <f>'WC samples'!M17</f>
        <v>1.1338999999999999</v>
      </c>
      <c r="AW46" s="269">
        <f>'WC samples'!O17</f>
        <v>68.141900000000007</v>
      </c>
      <c r="AX46" s="269">
        <f>'WC samples'!N17</f>
        <v>3.6044</v>
      </c>
      <c r="AY46" s="226">
        <f>AO46*'Elements and ions'!$G$3*1000</f>
        <v>170.39396391484701</v>
      </c>
      <c r="AZ46" s="269">
        <f>'WC samples'!Q17</f>
        <v>5.4783999999999997</v>
      </c>
      <c r="BA46" s="269">
        <f>'WC samples'!T17</f>
        <v>23.054099999999998</v>
      </c>
      <c r="BB46" s="270">
        <f>'WC samples'!V17</f>
        <v>7.6661000000000001</v>
      </c>
      <c r="BC46" s="222">
        <f>IF($E46&lt;&gt;"",10^-$E46*'Elements and ions'!B47*1000,"")</f>
        <v>0</v>
      </c>
      <c r="BE46" s="6"/>
      <c r="BF46" s="6"/>
      <c r="BG46" s="270">
        <f>'WC samples'!L17</f>
        <v>0</v>
      </c>
      <c r="BH46" s="3"/>
      <c r="BJ46" s="92">
        <f>IF($AN46&lt;&gt;"",$AN46*'Elements and ions'!$G$2*1000,"")</f>
        <v>9.7402415335918242</v>
      </c>
      <c r="BK46" s="229"/>
      <c r="BL46" s="230"/>
      <c r="BM46" s="101">
        <f>IF($E46&lt;&gt;"",(10^-14+$E46)*'Elements and ions'!$G$8,"")</f>
        <v>128.40541700000017</v>
      </c>
      <c r="BO46" s="102">
        <f>IF($AP46&lt;&gt;"",$AP46*'Elements and ions'!$G$4*1000,"")</f>
        <v>0.29800267318615781</v>
      </c>
      <c r="BP46" s="269">
        <f>'WC samples'!P17</f>
        <v>0.17660000000000001</v>
      </c>
      <c r="BQ46" s="270">
        <f>'WC samples'!R17</f>
        <v>0</v>
      </c>
      <c r="BR46" s="195"/>
      <c r="BS46" s="238">
        <f>IF($AU46&lt;&gt;"",$AU46/'Elements and ions'!$B$12,"")</f>
        <v>0.17451240815584207</v>
      </c>
      <c r="BT46" s="239">
        <f>IF($AV46&lt;&gt;"",$AV46/'Elements and ions'!$B$20,"")</f>
        <v>2.9001260924388012E-2</v>
      </c>
      <c r="BU46" s="239">
        <f>IF($AW46&lt;&gt;"",$AW46/'Elements and ions'!$B$21, "")</f>
        <v>1.7002320475073607</v>
      </c>
      <c r="BV46" s="240">
        <f>IF($AX46&lt;&gt;"",$AX46/'Elements and ions'!$B$13, "")</f>
        <v>0.14829870397037648</v>
      </c>
      <c r="BW46" s="238">
        <f>IF($AY46&lt;&gt;"",$AY46/'Elements and ions'!$G$3,"")</f>
        <v>2.7925727375401124</v>
      </c>
      <c r="BX46" s="239">
        <f>IF($AZ46&lt;&gt;"",$AZ46/'Elements and ions'!$B$18,"")</f>
        <v>0.15452571009505539</v>
      </c>
      <c r="BY46" s="239">
        <f>IF($BA46&lt;&gt;"",$BA46/'Elements and ions'!$G$7,"")</f>
        <v>0.37181093752267963</v>
      </c>
      <c r="BZ46" s="241">
        <f>IF($BB46&lt;&gt;"",$BB46/'Elements and ions'!$G$5,"")</f>
        <v>7.9803170016218589E-2</v>
      </c>
      <c r="CA46" s="91">
        <f t="shared" si="67"/>
        <v>2.8183829312644467E-5</v>
      </c>
      <c r="CB46" s="163" t="str">
        <f>IF($BD46&lt;&gt;"",$BD46/'Elements and ions'!$B$14,"")</f>
        <v/>
      </c>
      <c r="CC46" s="89" t="str">
        <f>IF($BE46&lt;&gt;"",$BE46/'Elements and ions'!$B$27, "")</f>
        <v/>
      </c>
      <c r="CD46" s="249" t="str">
        <f>IF($BF46&lt;&gt;"",$BF46/'Elements and ions'!$B$26,"")</f>
        <v/>
      </c>
      <c r="CE46" s="250">
        <f>IF($BG46&lt;&gt;"",$BG46/'Elements and ions'!$G$6,"")</f>
        <v>0</v>
      </c>
      <c r="CF46" s="91" t="str">
        <f>IF($BH46&lt;&gt;"",$BH46/'Elements and ions'!$G$15,"")</f>
        <v/>
      </c>
      <c r="CG46" s="89" t="str">
        <f>IF($BI46&lt;&gt;"",$BI46/'Elements and ions'!$G$16,"")</f>
        <v/>
      </c>
      <c r="CH46" s="90">
        <f>IF($BJ46&lt;&gt;"",$BJ46/'Elements and ions'!$G$2,"")</f>
        <v>0.15703790539187443</v>
      </c>
      <c r="CI46" s="91" t="str">
        <f>IF($BK46&lt;&gt;"",$BK46/'Elements and ions'!$B$15, "")</f>
        <v/>
      </c>
      <c r="CJ46" s="88" t="str">
        <f>IF($BL46&lt;&gt;"", $BL46/'Elements and ions'!$G$17,"")</f>
        <v/>
      </c>
      <c r="CK46" s="89">
        <f t="shared" si="68"/>
        <v>3.5481338923357462E-4</v>
      </c>
      <c r="CL46" s="163" t="str">
        <f>IF($BN46&lt;&gt;"", $BN46/'Elements and ions'!$G$19,"")</f>
        <v/>
      </c>
      <c r="CM46" s="89">
        <f>IF($BO46&lt;&gt;"",$BO46/'Elements and ions'!$G$4,"")</f>
        <v>4.9659746002036001E-3</v>
      </c>
      <c r="CN46" s="89">
        <f>IF($BP46&lt;&gt;"",$BP46/'Elements and ions'!$B$10,"")</f>
        <v>9.2955180570122881E-3</v>
      </c>
      <c r="CO46" s="104">
        <f>IF($BQ46&lt;&gt;"",$BQ46/'Elements and ions'!$G$18,"")</f>
        <v>0</v>
      </c>
      <c r="CP46" s="242"/>
      <c r="CQ46" s="238">
        <f t="shared" si="689"/>
        <v>1.7451240815584206E-4</v>
      </c>
      <c r="CR46" s="239">
        <f t="shared" si="690"/>
        <v>2.9001260924388011E-5</v>
      </c>
      <c r="CS46" s="239">
        <f t="shared" si="691"/>
        <v>1.7002320475073608E-3</v>
      </c>
      <c r="CT46" s="241">
        <f t="shared" si="692"/>
        <v>1.4829870397037648E-4</v>
      </c>
      <c r="CU46" s="238">
        <f t="shared" si="693"/>
        <v>2.7925727375401124E-3</v>
      </c>
      <c r="CV46" s="239">
        <f t="shared" si="694"/>
        <v>1.545257100950554E-4</v>
      </c>
      <c r="CW46" s="239">
        <f t="shared" si="695"/>
        <v>3.7181093752267964E-4</v>
      </c>
      <c r="CX46" s="241">
        <f t="shared" si="696"/>
        <v>7.9803170016218587E-5</v>
      </c>
      <c r="CY46" s="258">
        <f t="shared" si="98"/>
        <v>2.8183829312644468E-8</v>
      </c>
      <c r="CZ46" s="259" t="str">
        <f t="shared" si="697"/>
        <v/>
      </c>
      <c r="DA46" s="260" t="str">
        <f t="shared" si="698"/>
        <v/>
      </c>
      <c r="DB46" s="261" t="str">
        <f t="shared" si="699"/>
        <v/>
      </c>
      <c r="DC46" s="262">
        <f t="shared" si="700"/>
        <v>0</v>
      </c>
      <c r="DD46" s="263" t="str">
        <f t="shared" si="701"/>
        <v/>
      </c>
      <c r="DE46" s="259" t="str">
        <f t="shared" si="702"/>
        <v/>
      </c>
      <c r="DF46" s="260">
        <f t="shared" si="703"/>
        <v>1.5703790539187444E-4</v>
      </c>
      <c r="DG46" s="260" t="str">
        <f t="shared" si="704"/>
        <v/>
      </c>
      <c r="DH46" s="264" t="str">
        <f t="shared" si="705"/>
        <v/>
      </c>
      <c r="DI46" s="258">
        <f t="shared" si="108"/>
        <v>3.5481338923357463E-7</v>
      </c>
      <c r="DJ46" s="260" t="str">
        <f t="shared" si="706"/>
        <v/>
      </c>
      <c r="DK46" s="260">
        <f t="shared" si="707"/>
        <v>4.9659746002036002E-6</v>
      </c>
      <c r="DL46" s="260">
        <f t="shared" si="708"/>
        <v>9.2955180570122887E-6</v>
      </c>
      <c r="DM46" s="265">
        <f t="shared" si="709"/>
        <v>0</v>
      </c>
      <c r="DN46" s="242"/>
      <c r="DO46" s="238">
        <f t="shared" si="710"/>
        <v>0.17451240815584207</v>
      </c>
      <c r="DP46" s="239">
        <f t="shared" si="711"/>
        <v>2.9001260924388012E-2</v>
      </c>
      <c r="DQ46" s="239">
        <f t="shared" si="712"/>
        <v>3.4004640950147214</v>
      </c>
      <c r="DR46" s="241">
        <f t="shared" si="713"/>
        <v>0.29659740794075296</v>
      </c>
      <c r="DS46" s="238">
        <f t="shared" si="714"/>
        <v>-2.7925727375401124</v>
      </c>
      <c r="DT46" s="239">
        <f t="shared" si="715"/>
        <v>-0.15452571009505539</v>
      </c>
      <c r="DU46" s="239">
        <f t="shared" si="716"/>
        <v>-0.37181093752267963</v>
      </c>
      <c r="DV46" s="241">
        <f t="shared" si="717"/>
        <v>-0.15960634003243718</v>
      </c>
      <c r="DW46" s="91">
        <f t="shared" si="113"/>
        <v>2.8183829312644467E-5</v>
      </c>
      <c r="DX46" s="89">
        <f t="shared" si="718"/>
        <v>0</v>
      </c>
      <c r="DY46" s="89">
        <f t="shared" si="719"/>
        <v>0</v>
      </c>
      <c r="DZ46" s="89">
        <f t="shared" si="720"/>
        <v>0</v>
      </c>
      <c r="EA46" s="90">
        <f t="shared" si="721"/>
        <v>0</v>
      </c>
      <c r="EB46" s="91">
        <f t="shared" si="118"/>
        <v>-3.5481338923357462E-4</v>
      </c>
      <c r="EC46" s="89">
        <f t="shared" si="722"/>
        <v>0</v>
      </c>
      <c r="ED46" s="89">
        <f t="shared" si="723"/>
        <v>-9.9319492004072002E-3</v>
      </c>
      <c r="EE46" s="89">
        <f t="shared" si="724"/>
        <v>-9.2955180570122881E-3</v>
      </c>
      <c r="EF46" s="90">
        <f t="shared" si="725"/>
        <v>0</v>
      </c>
      <c r="EG46" s="242"/>
      <c r="EH46" s="245">
        <f t="shared" si="726"/>
        <v>3.9006033558650168</v>
      </c>
      <c r="EI46" s="246">
        <f t="shared" si="727"/>
        <v>-3.4980980058369369</v>
      </c>
      <c r="EJ46" s="198">
        <f t="shared" si="728"/>
        <v>5.4402161994478719</v>
      </c>
      <c r="EK46" s="198">
        <f t="shared" si="729"/>
        <v>9.479194972123366E-3</v>
      </c>
      <c r="EL46" s="101">
        <f>IF(AND(CS46&lt;&gt;"",DK46&lt;&gt;""),LOG(CS46*DK46/Minerals!$C$6),"")</f>
        <v>0.4066846980267802</v>
      </c>
      <c r="EM46" s="94">
        <f>IF(AND(CS46&lt;&gt;"",DK46&lt;&gt;""),LOG(CS46*DK46/Minerals!$C$5),"")</f>
        <v>0.2762051686705625</v>
      </c>
      <c r="EN46" s="94">
        <f>IF(AND(CS46&lt;&gt;"",DL46&lt;&gt;""),LOG(CS46*DL46^2/Minerals!$C$2),"")</f>
        <v>-2.2630196599689651</v>
      </c>
      <c r="EO46" s="94">
        <f>IF(AND(CS46&lt;&gt;"",CX46&lt;&gt;""),LOG($CS46*$CX46/Minerals!$C$3),"")</f>
        <v>-2.2674912940270731</v>
      </c>
      <c r="EP46" s="95">
        <f>IF(AND(CS46&lt;&gt;"",CX46&lt;&gt;""),LOG($CS46*$CX46/Minerals!$C$4),"")</f>
        <v>-2.5074758054929758</v>
      </c>
      <c r="EQ46" s="199"/>
      <c r="ER46" s="101">
        <f t="shared" si="621"/>
        <v>0.90289761854930894</v>
      </c>
      <c r="ES46" s="94">
        <f t="shared" si="621"/>
        <v>0.90289761854930894</v>
      </c>
      <c r="ET46" s="94">
        <f t="shared" si="622"/>
        <v>0.66459034884378687</v>
      </c>
      <c r="EU46" s="94">
        <f t="shared" si="622"/>
        <v>0.66459034884378687</v>
      </c>
      <c r="EV46" s="95">
        <f t="shared" si="622"/>
        <v>0.66459034884378687</v>
      </c>
      <c r="EW46" s="101">
        <f t="shared" si="623"/>
        <v>0.90289761854930894</v>
      </c>
      <c r="EX46" s="94">
        <f t="shared" si="31"/>
        <v>0.66459034884378687</v>
      </c>
      <c r="EY46" s="94">
        <f t="shared" si="623"/>
        <v>0.90289761854930894</v>
      </c>
      <c r="EZ46" s="94">
        <f t="shared" si="623"/>
        <v>0.90289761854930894</v>
      </c>
      <c r="FA46" s="94">
        <f t="shared" si="165"/>
        <v>0.90289761854930894</v>
      </c>
      <c r="FB46" s="95">
        <f t="shared" si="32"/>
        <v>0.66459034884378687</v>
      </c>
      <c r="FC46" s="199"/>
      <c r="FD46" s="101">
        <f t="shared" si="730"/>
        <v>1.5756683773121479E-4</v>
      </c>
      <c r="FE46" s="94">
        <f t="shared" si="731"/>
        <v>2.6185169423557067E-5</v>
      </c>
      <c r="FF46" s="94">
        <f t="shared" si="732"/>
        <v>1.1299578095683028E-3</v>
      </c>
      <c r="FG46" s="94">
        <f t="shared" si="733"/>
        <v>9.855788740475398E-5</v>
      </c>
      <c r="FH46" s="95" t="str">
        <f t="shared" si="734"/>
        <v/>
      </c>
      <c r="FI46" s="101">
        <f t="shared" si="735"/>
        <v>2.5214072743506917E-3</v>
      </c>
      <c r="FJ46" s="94">
        <f t="shared" si="736"/>
        <v>3.3003387918986958E-6</v>
      </c>
      <c r="FK46" s="94">
        <f t="shared" si="737"/>
        <v>1.3952089564946642E-4</v>
      </c>
      <c r="FL46" s="94">
        <f t="shared" si="738"/>
        <v>3.3570721003981332E-4</v>
      </c>
      <c r="FM46" s="94">
        <f t="shared" si="739"/>
        <v>8.392901116858495E-6</v>
      </c>
      <c r="FN46" s="95">
        <f t="shared" si="740"/>
        <v>5.3036416599918745E-5</v>
      </c>
      <c r="FO46" s="199"/>
      <c r="FP46" s="101">
        <f>IF(EL46&lt;&gt;"",LOG(FF46*FJ46/Minerals!$C$6),"")</f>
        <v>5.1792758387273978E-2</v>
      </c>
      <c r="FQ46" s="94">
        <f>IF(EL46&lt;&gt;"",LOG(FF46*FJ46/Minerals!$C$5),"")</f>
        <v>-7.8686770968943748E-2</v>
      </c>
      <c r="FR46" s="94">
        <f>IF(EN46&lt;&gt;"",LOG(FF46*FM46^2/Minerals!$C$2),"")</f>
        <v>-2.5291886146985947</v>
      </c>
      <c r="FS46" s="94">
        <f>IF(EO46&lt;&gt;"",LOG($FF46*$FN46/Minerals!$C$3),"")</f>
        <v>-2.6223832336665795</v>
      </c>
      <c r="FT46" s="95">
        <f>IF(EP46&lt;&gt;"",LOG($FF46*$FN46/Minerals!$C$4),"")</f>
        <v>-2.8623677451324818</v>
      </c>
      <c r="FU46" s="96"/>
      <c r="FV46" s="101">
        <f>IF(FP46&lt;&gt;"",LOG(FF46*FJ46/(EXP(-1*Minerals!$E$6/'Other Constants'!$B$2*(1/(273.15+'ppm-mgL-1'!$D46)-1/298.15)+LN(Minerals!$C$6)))),"")</f>
        <v>-1.9315052630488989</v>
      </c>
      <c r="FW46" s="94">
        <f>IF(FP46&lt;&gt;"",LOG(FF46*FJ46/(EXP(-1*Minerals!$E$5/'Other Constants'!$B$2*(1/(273.15+'ppm-mgL-1'!$D46)-1/298.15)+LN(Minerals!$C$5)))),"")</f>
        <v>-2.0621640885012513</v>
      </c>
      <c r="FX46" s="94">
        <f>IF(FR46&lt;&gt;"",LOG(FF46*FM46^2/(EXP(-1*Minerals!$E$2/'Other Constants'!$B$2*(1/(273.15+'ppm-mgL-1'!$D46)-1/298.15)+LN(Minerals!$C$2)))),"")</f>
        <v>-2.4453378070728258</v>
      </c>
      <c r="FY46" s="94">
        <f>IF(FS46&lt;&gt;"",LOG($FF46*$FN46/(EXP(-1*Minerals!$E$3/'Other Constants'!$B$2*(1/(273.15+'ppm-mgL-1'!$D46)-1/298.15)+LN(Minerals!$C$3)))),"")</f>
        <v>-0.91271128550849046</v>
      </c>
      <c r="FZ46" s="95">
        <f>IF(FT46&lt;&gt;"",LOG($FF46*$FN46/(EXP(-1*Minerals!$E$4/'Other Constants'!$B$2*(1/(273.15+'ppm-mgL-1'!$D46)-1/298.15)+LN(Minerals!$C$4)))),"")</f>
        <v>-2.911345462060007</v>
      </c>
      <c r="GA46" s="96"/>
      <c r="GB46" s="96"/>
      <c r="GC46" s="101">
        <f>10^(-1825000*(79.755*EXP(-0.0046*($D46-20))*($D46+273.15))^-1.5*$EK46^0.5/(1+'Elements and ions'!$D$12*$EK46^0.5/(2*(79.755*EXP(-0.0046*($D46-20))*($D46+273.15))^0.5)))</f>
        <v>0.9034667029755522</v>
      </c>
      <c r="GD46" s="94">
        <f>10^(-1825000*(79.755*EXP(-0.0046*($D46-20))*($D46+273.15))^-1.5*$EK46^0.5/(1+'Elements and ions'!$D$20*$EK46^0.5/(2*(79.755*EXP(-0.0046*($D46-20))*($D46+273.15))^0.5)))</f>
        <v>0.90080523412680402</v>
      </c>
      <c r="GE46" s="94">
        <f>10^(-1825000*(79.755*EXP(-0.0046*($D46-20))*($D46+273.15))^-1.5*4*$EK46^0.5/(1+'Elements and ions'!$D$21*$EK46^0.5/(2*(79.755*EXP(-0.0046*($D46-20))*($D46+273.15))^0.5)))</f>
        <v>0.6808894987091576</v>
      </c>
      <c r="GF46" s="94">
        <f>10^(-1825000*(79.755*EXP(-0.0046*($D46-20))*($D46+273.15))^-1.5*4*$EK46^0.5/(1+'Elements and ions'!$D$13*$EK46^0.5/(2*(79.755*EXP(-0.0046*($D46-20))*($D46+273.15))^0.5)))</f>
        <v>0.69430093416064431</v>
      </c>
      <c r="GG46" s="95">
        <f>10^(-1825000*(79.755*EXP(-0.0046*($D46-20))*($D46+273.15))^-1.5*4*$EK46^0.5/(1+'Elements and ions'!$D$27*$EK46^0.5/(2*(79.755*EXP(-0.0046*($D46-20))*($D46+273.15))^0.5)))</f>
        <v>0.6808894987091576</v>
      </c>
      <c r="GH46" s="101">
        <f>10^(-1825000*(79.755*EXP(-0.0046*($D46-20))*($D46+273.15))^-1.5*$EK46^0.5/(1+'Elements and ions'!$G$3*$EK46^0.5/(2*(79.755*EXP(-0.0046*($D46-20))*($D46+273.15))^0.5)))</f>
        <v>0.89380909831308153</v>
      </c>
      <c r="GI46" s="94">
        <f>10^(-1825000*(79.755*EXP(-0.0046*($D46-20))*($D46+273.15))^-1.5*4*$EK46^0.5/(1+'Elements and ions'!$G$4*$EK46^0.5/(2*(79.755*EXP(-0.0046*($D46-20))*($D46+273.15))^0.5)))</f>
        <v>0.63814250974376951</v>
      </c>
      <c r="GJ46" s="94">
        <f>10^(-1825000*(79.755*EXP(-0.0046*($D46-20))*($D46+273.15))^-1.5*$EK46^0.5/(1+'Elements and ions'!$D$18*$EK46^0.5/(2*(79.755*EXP(-0.0046*($D46-20))*($D46+273.15))^0.5)))</f>
        <v>0.90080523412680402</v>
      </c>
      <c r="GK46" s="94">
        <f>10^(-1825000*(79.755*EXP(-0.0046*($D46-20))*($D46+273.15))^-1.5*$EK46^0.5/(1+'Elements and ions'!$I$7*$EK46^0.5/(2*(79.755*EXP(-0.0046*($D46-20))*($D46+273.15))^0.5)))</f>
        <v>0.90080523412680402</v>
      </c>
      <c r="GL46" s="94">
        <f>10^(-1825000*(79.755*EXP(-0.0046*($D46-20))*($D46+273.15))^-1.5*$EK46^0.5/(1+'Elements and ions'!$D$10*$EK46^0.5/(2*(79.755*EXP(-0.0046*($D46-20))*($D46+273.15))^0.5)))</f>
        <v>0.90215404675901467</v>
      </c>
      <c r="GM46" s="95">
        <f>10^(-1825000*(79.755*EXP(-0.0046*($D46-20))*($D46+273.15))^-1.5*4*$EK46^0.5/(1+'Elements and ions'!$I$5*$EK46^0.5/(2*(79.755*EXP(-0.0046*($D46-20))*($D46+273.15))^0.5)))</f>
        <v>0.66626746363119316</v>
      </c>
      <c r="GN46" s="96"/>
      <c r="GO46" s="101">
        <f t="shared" si="741"/>
        <v>1.5766615002488248E-4</v>
      </c>
      <c r="GP46" s="94">
        <f t="shared" si="742"/>
        <v>2.6124487636965874E-5</v>
      </c>
      <c r="GQ46" s="94">
        <f t="shared" si="743"/>
        <v>1.1576701465165315E-3</v>
      </c>
      <c r="GR46" s="94">
        <f t="shared" si="744"/>
        <v>1.0296392870144524E-4</v>
      </c>
      <c r="GS46" s="95" t="str">
        <f t="shared" si="745"/>
        <v/>
      </c>
      <c r="GT46" s="101">
        <f t="shared" si="746"/>
        <v>2.4960269205144218E-3</v>
      </c>
      <c r="GU46" s="94">
        <f t="shared" si="747"/>
        <v>3.168999494697738E-6</v>
      </c>
      <c r="GV46" s="94">
        <f t="shared" si="748"/>
        <v>1.3919756846078702E-4</v>
      </c>
      <c r="GW46" s="94">
        <f t="shared" si="749"/>
        <v>3.3492923862602392E-4</v>
      </c>
      <c r="GX46" s="94">
        <f t="shared" si="750"/>
        <v>8.3859892318551292E-6</v>
      </c>
      <c r="GY46" s="102">
        <f t="shared" si="751"/>
        <v>5.3170255676434838E-5</v>
      </c>
      <c r="GZ46" s="199"/>
      <c r="HA46" s="92">
        <f>IF(AND(GQ46&lt;&gt;"",GU46&lt;&gt;""),LOG(GQ46*GU46/Minerals!$C$6),"")</f>
        <v>4.4679010207892542E-2</v>
      </c>
      <c r="HB46" s="94">
        <f>IF(AND(GQ46&lt;&gt;"",GU46&lt;&gt;""),LOG(GQ46*GU46/Minerals!$C$5),"")</f>
        <v>-8.5800519148325191E-2</v>
      </c>
      <c r="HC46" s="94">
        <f>IF(AND(GQ46&lt;&gt;"",GX46&lt;&gt;""),LOG(GQ46*GX46^2/Minerals!$C$2),"")</f>
        <v>-2.51938162069745</v>
      </c>
      <c r="HD46" s="94">
        <f>IF(AND(GQ46&lt;&gt;"",GY46&lt;&gt;""),LOG($GQ46*$GY46/Minerals!$C$3),"")</f>
        <v>-2.6107660523393537</v>
      </c>
      <c r="HE46" s="102">
        <f>IF(AND(GQ46&lt;&gt;"",GY46&lt;&gt;""),LOG($GQ46*$GY46/Minerals!$C$3),"")</f>
        <v>-2.6107660523393537</v>
      </c>
      <c r="HF46" s="199"/>
      <c r="HG46" s="92">
        <f>IF(HA46&lt;&gt;"",LOG(GQ46*GU46/(EXP(-1*Minerals!$E$6/'Other Constants'!$B$2*(1/(273.15+'ppm-mgL-1'!$D46)-1/298.15)+LN(Minerals!$C$6)))),"")</f>
        <v>-1.9386190112282804</v>
      </c>
      <c r="HH46" s="94">
        <f>IF(HA46&lt;&gt;"",LOG(GQ46*GU46/(EXP(-1*Minerals!$E$5/'Other Constants'!$B$2*(1/(273.15+'ppm-mgL-1'!$D46)-1/298.15)+LN(Minerals!$C$5)))),"")</f>
        <v>-2.0692778366806328</v>
      </c>
      <c r="HI46" s="94">
        <f>IF(HC46&lt;&gt;"",LOG(GQ46*GX46^2/(EXP(-1*Minerals!$E$2/'Other Constants'!$B$2*(1/(273.15+'ppm-mgL-1'!$D46)-1/298.15)+LN(Minerals!$C$2)))),"")</f>
        <v>-2.4355308130716811</v>
      </c>
      <c r="HJ46" s="94">
        <f>IF(HD46&lt;&gt;"",LOG($FF46*$FN46/(EXP(-1*Minerals!$E$3/'Other Constants'!$B$2*(1/(273.15+'ppm-mgL-1'!$D46)-1/298.15)+LN(Minerals!$C$3)))),"")</f>
        <v>-0.91271128550849046</v>
      </c>
      <c r="HK46" s="95">
        <f>IF(HE46&lt;&gt;"",LOG($FF46*$FN46/(EXP(-1*Minerals!$E$4/'Other Constants'!$B$2*(1/(273.15+'ppm-mgL-1'!$D46)-1/298.15)+LN(Minerals!$C$4)))),"")</f>
        <v>-2.911345462060007</v>
      </c>
      <c r="HL46" s="199"/>
      <c r="HM46" s="199"/>
    </row>
    <row r="47" spans="1:221" x14ac:dyDescent="0.25">
      <c r="A47" s="267" t="str">
        <f>'WC samples'!B18</f>
        <v>ISCD Indirect</v>
      </c>
      <c r="C47" s="266">
        <f>'WC samples'!A18</f>
        <v>41502</v>
      </c>
      <c r="D47" s="4">
        <f>'WC samples'!I18</f>
        <v>22.7</v>
      </c>
      <c r="E47" s="4">
        <f>'WC samples'!F18</f>
        <v>7.66</v>
      </c>
      <c r="AD47" s="83">
        <f>IF(E47&lt;&gt;"",10^(-2*$E47)/(10^(-2*$E47)+10^(-$E47-pKa!$B$2)+(10^(-pKa!$B$2-pKa!$C$2))),"")</f>
        <v>4.1734211272737465E-2</v>
      </c>
      <c r="AE47" s="84">
        <f>IF(E47&lt;&gt;"",10^(-$E47-pKa!$B$2)/(10^(-2*$E47)+10^(-$E47-pKa!$B$2)+10^(-pKa!$B$2-pKa!$C$2)),"")</f>
        <v>0.95607554618490531</v>
      </c>
      <c r="AF47" s="212">
        <f>IF(E47&lt;&gt;"",10^(-pKa!$B$2-pKa!$C$2)/(10^(-2*$E47)+10^(-$E47-pKa!$B$2)+10^(-pKa!$B$2-pKa!$C$2)),"")</f>
        <v>2.1902425423572735E-3</v>
      </c>
      <c r="AG47" s="152"/>
      <c r="AH47" s="222">
        <f>IF($AK47&lt;&gt;"",$AK47/'Elements and ions'!$G$3,IF($E47="","",""))</f>
        <v>2.6058379948879686</v>
      </c>
      <c r="AI47" s="85">
        <f t="shared" si="688"/>
        <v>2.7131253017722815E-3</v>
      </c>
      <c r="AJ47" s="84">
        <f>IF(AI47&lt;&gt;"",AI47*1000*'Elements and ions'!$B$7,"")</f>
        <v>32.586534061996346</v>
      </c>
      <c r="AK47" s="99">
        <f>'WC samples'!H18</f>
        <v>159</v>
      </c>
      <c r="AL47" s="88">
        <f>IF($AK47&lt;&gt;"",$AK47/'Elements and ions'!$G$3*Minerals!$B$6/2,IF($E47="","","Enter Alk(HCO3-)"))</f>
        <v>130.40512340527633</v>
      </c>
      <c r="AM47" s="199"/>
      <c r="AN47" s="101">
        <f t="shared" si="491"/>
        <v>1.1323014455357398E-4</v>
      </c>
      <c r="AO47" s="94">
        <f t="shared" si="492"/>
        <v>2.5939527547600202E-3</v>
      </c>
      <c r="AP47" s="95">
        <f t="shared" si="493"/>
        <v>5.9424024586875666E-6</v>
      </c>
      <c r="AQ47" s="199"/>
      <c r="AR47" s="199"/>
      <c r="AS47" s="83">
        <f t="shared" si="66"/>
        <v>0.33302983692227639</v>
      </c>
      <c r="AT47" s="83">
        <f>IF(AN47&lt;&gt;"",AN47/'Henrys law constants'!$B$7*1000000,"")</f>
        <v>3330.298369222764</v>
      </c>
      <c r="AU47" s="268">
        <f>'WC samples'!K18</f>
        <v>2.5048733463898682</v>
      </c>
      <c r="AV47" s="269">
        <f>'WC samples'!M18</f>
        <v>1.5081809740174956</v>
      </c>
      <c r="AW47" s="269">
        <f>'WC samples'!O18</f>
        <v>56.092539579579579</v>
      </c>
      <c r="AX47" s="269">
        <f>'WC samples'!N18</f>
        <v>3.0566771954563259</v>
      </c>
      <c r="AY47" s="226">
        <f>AO47*'Elements and ions'!$G$3*1000</f>
        <v>158.27480020475139</v>
      </c>
      <c r="AZ47" s="269">
        <f>'WC samples'!Q18</f>
        <v>3.4930409087348218</v>
      </c>
      <c r="BA47" s="269">
        <f>'WC samples'!T18</f>
        <v>13.279345220002611</v>
      </c>
      <c r="BB47" s="270">
        <f>'WC samples'!V18</f>
        <v>7.9884573965269619</v>
      </c>
      <c r="BC47" s="222">
        <f>IF($E47&lt;&gt;"",10^-$E47*'Elements and ions'!B48*1000,"")</f>
        <v>0</v>
      </c>
      <c r="BE47" s="6"/>
      <c r="BF47" s="6"/>
      <c r="BG47" s="270">
        <f>'WC samples'!L18</f>
        <v>0</v>
      </c>
      <c r="BH47" s="3"/>
      <c r="BJ47" s="92">
        <f>IF($AN47&lt;&gt;"",$AN47*'Elements and ions'!$G$2*1000,"")</f>
        <v>7.023074805303624</v>
      </c>
      <c r="BK47" s="229"/>
      <c r="BL47" s="230"/>
      <c r="BM47" s="101">
        <f>IF($E47&lt;&gt;"",(10^-14+$E47)*'Elements and ions'!$G$8,"")</f>
        <v>130.27622440000016</v>
      </c>
      <c r="BO47" s="102">
        <f>IF($AP47&lt;&gt;"",$AP47*'Elements and ions'!$G$4*1000,"")</f>
        <v>0.35659703490313632</v>
      </c>
      <c r="BP47" s="269">
        <f>'WC samples'!P18</f>
        <v>0.21240984984984984</v>
      </c>
      <c r="BQ47" s="270">
        <f>'WC samples'!R18</f>
        <v>0</v>
      </c>
      <c r="BR47" s="195"/>
      <c r="BS47" s="238">
        <f>IF($AU47&lt;&gt;"",$AU47/'Elements and ions'!$B$12,"")</f>
        <v>0.10895600194513427</v>
      </c>
      <c r="BT47" s="239">
        <f>IF($AV47&lt;&gt;"",$AV47/'Elements and ions'!$B$20,"")</f>
        <v>3.8574080561494889E-2</v>
      </c>
      <c r="BU47" s="239">
        <f>IF($AW47&lt;&gt;"",$AW47/'Elements and ions'!$B$21, "")</f>
        <v>1.399584300104286</v>
      </c>
      <c r="BV47" s="240">
        <f>IF($AX47&lt;&gt;"",$AX47/'Elements and ions'!$B$13, "")</f>
        <v>0.12576330777438083</v>
      </c>
      <c r="BW47" s="238">
        <f>IF($AY47&lt;&gt;"",$AY47/'Elements and ions'!$G$3,"")</f>
        <v>2.5939527547600205</v>
      </c>
      <c r="BX47" s="239">
        <f>IF($AZ47&lt;&gt;"",$AZ47/'Elements and ions'!$B$18,"")</f>
        <v>9.8525961378016572E-2</v>
      </c>
      <c r="BY47" s="239">
        <f>IF($BA47&lt;&gt;"",$BA47/'Elements and ions'!$G$7,"")</f>
        <v>0.21416606139196437</v>
      </c>
      <c r="BZ47" s="241">
        <f>IF($BB47&lt;&gt;"",$BB47/'Elements and ions'!$G$5,"")</f>
        <v>8.3158871366452308E-2</v>
      </c>
      <c r="CA47" s="91">
        <f t="shared" si="67"/>
        <v>2.1877616239495495E-5</v>
      </c>
      <c r="CB47" s="163" t="str">
        <f>IF($BD47&lt;&gt;"",$BD47/'Elements and ions'!$B$14,"")</f>
        <v/>
      </c>
      <c r="CC47" s="89" t="str">
        <f>IF($BE47&lt;&gt;"",$BE47/'Elements and ions'!$B$27, "")</f>
        <v/>
      </c>
      <c r="CD47" s="249" t="str">
        <f>IF($BF47&lt;&gt;"",$BF47/'Elements and ions'!$B$26,"")</f>
        <v/>
      </c>
      <c r="CE47" s="250">
        <f>IF($BG47&lt;&gt;"",$BG47/'Elements and ions'!$G$6,"")</f>
        <v>0</v>
      </c>
      <c r="CF47" s="91" t="str">
        <f>IF($BH47&lt;&gt;"",$BH47/'Elements and ions'!$G$15,"")</f>
        <v/>
      </c>
      <c r="CG47" s="89" t="str">
        <f>IF($BI47&lt;&gt;"",$BI47/'Elements and ions'!$G$16,"")</f>
        <v/>
      </c>
      <c r="CH47" s="90">
        <f>IF($BJ47&lt;&gt;"",$BJ47/'Elements and ions'!$G$2,"")</f>
        <v>0.11323014455357398</v>
      </c>
      <c r="CI47" s="91" t="str">
        <f>IF($BK47&lt;&gt;"",$BK47/'Elements and ions'!$B$15, "")</f>
        <v/>
      </c>
      <c r="CJ47" s="88" t="str">
        <f>IF($BL47&lt;&gt;"", $BL47/'Elements and ions'!$G$17,"")</f>
        <v/>
      </c>
      <c r="CK47" s="89">
        <f t="shared" si="68"/>
        <v>4.5708818961487428E-4</v>
      </c>
      <c r="CL47" s="163" t="str">
        <f>IF($BN47&lt;&gt;"", $BN47/'Elements and ions'!$G$19,"")</f>
        <v/>
      </c>
      <c r="CM47" s="89">
        <f>IF($BO47&lt;&gt;"",$BO47/'Elements and ions'!$G$4,"")</f>
        <v>5.9424024586875674E-3</v>
      </c>
      <c r="CN47" s="89">
        <f>IF($BP47&lt;&gt;"",$BP47/'Elements and ions'!$B$10,"")</f>
        <v>1.1180405406379093E-2</v>
      </c>
      <c r="CO47" s="104">
        <f>IF($BQ47&lt;&gt;"",$BQ47/'Elements and ions'!$G$18,"")</f>
        <v>0</v>
      </c>
      <c r="CP47" s="242"/>
      <c r="CQ47" s="238">
        <f t="shared" si="689"/>
        <v>1.0895600194513427E-4</v>
      </c>
      <c r="CR47" s="239">
        <f t="shared" si="690"/>
        <v>3.8574080561494887E-5</v>
      </c>
      <c r="CS47" s="239">
        <f t="shared" si="691"/>
        <v>1.399584300104286E-3</v>
      </c>
      <c r="CT47" s="241">
        <f t="shared" si="692"/>
        <v>1.2576330777438083E-4</v>
      </c>
      <c r="CU47" s="238">
        <f t="shared" si="693"/>
        <v>2.5939527547600206E-3</v>
      </c>
      <c r="CV47" s="239">
        <f t="shared" si="694"/>
        <v>9.8525961378016566E-5</v>
      </c>
      <c r="CW47" s="239">
        <f t="shared" si="695"/>
        <v>2.1416606139196436E-4</v>
      </c>
      <c r="CX47" s="241">
        <f t="shared" si="696"/>
        <v>8.3158871366452306E-5</v>
      </c>
      <c r="CY47" s="258">
        <f t="shared" si="98"/>
        <v>2.1877616239495494E-8</v>
      </c>
      <c r="CZ47" s="259" t="str">
        <f t="shared" si="697"/>
        <v/>
      </c>
      <c r="DA47" s="260" t="str">
        <f t="shared" si="698"/>
        <v/>
      </c>
      <c r="DB47" s="261" t="str">
        <f t="shared" si="699"/>
        <v/>
      </c>
      <c r="DC47" s="262">
        <f t="shared" si="700"/>
        <v>0</v>
      </c>
      <c r="DD47" s="263" t="str">
        <f t="shared" si="701"/>
        <v/>
      </c>
      <c r="DE47" s="259" t="str">
        <f t="shared" si="702"/>
        <v/>
      </c>
      <c r="DF47" s="260">
        <f t="shared" si="703"/>
        <v>1.1323014455357398E-4</v>
      </c>
      <c r="DG47" s="260" t="str">
        <f t="shared" si="704"/>
        <v/>
      </c>
      <c r="DH47" s="264" t="str">
        <f t="shared" si="705"/>
        <v/>
      </c>
      <c r="DI47" s="258">
        <f t="shared" si="108"/>
        <v>4.5708818961487426E-7</v>
      </c>
      <c r="DJ47" s="260" t="str">
        <f t="shared" si="706"/>
        <v/>
      </c>
      <c r="DK47" s="260">
        <f t="shared" si="707"/>
        <v>5.9424024586875674E-6</v>
      </c>
      <c r="DL47" s="260">
        <f t="shared" si="708"/>
        <v>1.1180405406379092E-5</v>
      </c>
      <c r="DM47" s="265">
        <f t="shared" si="709"/>
        <v>0</v>
      </c>
      <c r="DN47" s="242"/>
      <c r="DO47" s="238">
        <f t="shared" si="710"/>
        <v>0.10895600194513427</v>
      </c>
      <c r="DP47" s="239">
        <f t="shared" si="711"/>
        <v>3.8574080561494889E-2</v>
      </c>
      <c r="DQ47" s="239">
        <f t="shared" si="712"/>
        <v>2.7991686002085721</v>
      </c>
      <c r="DR47" s="241">
        <f t="shared" si="713"/>
        <v>0.25152661554876166</v>
      </c>
      <c r="DS47" s="238">
        <f t="shared" si="714"/>
        <v>-2.5939527547600205</v>
      </c>
      <c r="DT47" s="239">
        <f t="shared" si="715"/>
        <v>-9.8525961378016572E-2</v>
      </c>
      <c r="DU47" s="239">
        <f t="shared" si="716"/>
        <v>-0.21416606139196437</v>
      </c>
      <c r="DV47" s="241">
        <f t="shared" si="717"/>
        <v>-0.16631774273290462</v>
      </c>
      <c r="DW47" s="91">
        <f t="shared" si="113"/>
        <v>2.1877616239495495E-5</v>
      </c>
      <c r="DX47" s="89">
        <f t="shared" si="718"/>
        <v>0</v>
      </c>
      <c r="DY47" s="89">
        <f t="shared" si="719"/>
        <v>0</v>
      </c>
      <c r="DZ47" s="89">
        <f t="shared" si="720"/>
        <v>0</v>
      </c>
      <c r="EA47" s="90">
        <f t="shared" si="721"/>
        <v>0</v>
      </c>
      <c r="EB47" s="91">
        <f t="shared" si="118"/>
        <v>-4.5708818961487428E-4</v>
      </c>
      <c r="EC47" s="89">
        <f t="shared" si="722"/>
        <v>0</v>
      </c>
      <c r="ED47" s="89">
        <f t="shared" si="723"/>
        <v>-1.1884804917375135E-2</v>
      </c>
      <c r="EE47" s="89">
        <f t="shared" si="724"/>
        <v>-1.1180405406379093E-2</v>
      </c>
      <c r="EF47" s="90">
        <f t="shared" si="725"/>
        <v>0</v>
      </c>
      <c r="EG47" s="242"/>
      <c r="EH47" s="245">
        <f t="shared" si="726"/>
        <v>3.1982471758802022</v>
      </c>
      <c r="EI47" s="246">
        <f t="shared" si="727"/>
        <v>-3.0964848187762759</v>
      </c>
      <c r="EJ47" s="198">
        <f t="shared" si="728"/>
        <v>1.6166273193252891</v>
      </c>
      <c r="EK47" s="198">
        <f t="shared" si="729"/>
        <v>7.9667035497019804E-3</v>
      </c>
      <c r="EL47" s="101">
        <f>IF(AND(CS47&lt;&gt;"",DK47&lt;&gt;""),LOG(CS47*DK47/Minerals!$C$6),"")</f>
        <v>0.40013313009629037</v>
      </c>
      <c r="EM47" s="94">
        <f>IF(AND(CS47&lt;&gt;"",DK47&lt;&gt;""),LOG(CS47*DK47/Minerals!$C$5),"")</f>
        <v>0.26965360074007261</v>
      </c>
      <c r="EN47" s="94">
        <f>IF(AND(CS47&lt;&gt;"",DL47&lt;&gt;""),LOG(CS47*DL47^2/Minerals!$C$2),"")</f>
        <v>-2.1871608903436357</v>
      </c>
      <c r="EO47" s="94">
        <f>IF(AND(CS47&lt;&gt;"",CX47&lt;&gt;""),LOG($CS47*$CX47/Minerals!$C$3),"")</f>
        <v>-2.3341119864958761</v>
      </c>
      <c r="EP47" s="95">
        <f>IF(AND(CS47&lt;&gt;"",CX47&lt;&gt;""),LOG($CS47*$CX47/Minerals!$C$4),"")</f>
        <v>-2.5740964979617789</v>
      </c>
      <c r="EQ47" s="199"/>
      <c r="ER47" s="101">
        <f t="shared" si="621"/>
        <v>0.90997350999025683</v>
      </c>
      <c r="ES47" s="94">
        <f t="shared" si="621"/>
        <v>0.90997350999025683</v>
      </c>
      <c r="ET47" s="94">
        <f t="shared" si="622"/>
        <v>0.6856697650739727</v>
      </c>
      <c r="EU47" s="94">
        <f t="shared" si="622"/>
        <v>0.6856697650739727</v>
      </c>
      <c r="EV47" s="95">
        <f t="shared" si="622"/>
        <v>0.6856697650739727</v>
      </c>
      <c r="EW47" s="101">
        <f t="shared" si="623"/>
        <v>0.90997350999025683</v>
      </c>
      <c r="EX47" s="94">
        <f t="shared" si="31"/>
        <v>0.6856697650739727</v>
      </c>
      <c r="EY47" s="94">
        <f t="shared" si="623"/>
        <v>0.90997350999025683</v>
      </c>
      <c r="EZ47" s="94">
        <f t="shared" si="623"/>
        <v>0.90997350999025683</v>
      </c>
      <c r="FA47" s="94">
        <f t="shared" si="165"/>
        <v>0.90997350999025683</v>
      </c>
      <c r="FB47" s="95">
        <f t="shared" si="32"/>
        <v>0.6856697650739727</v>
      </c>
      <c r="FC47" s="199"/>
      <c r="FD47" s="101">
        <f t="shared" si="730"/>
        <v>9.9147075524519084E-5</v>
      </c>
      <c r="FE47" s="94">
        <f t="shared" si="731"/>
        <v>3.5101391483190437E-5</v>
      </c>
      <c r="FF47" s="94">
        <f t="shared" si="732"/>
        <v>9.5965263825372631E-4</v>
      </c>
      <c r="FG47" s="94">
        <f t="shared" si="733"/>
        <v>8.6232097696585424E-5</v>
      </c>
      <c r="FH47" s="95" t="str">
        <f t="shared" si="734"/>
        <v/>
      </c>
      <c r="FI47" s="101">
        <f t="shared" si="735"/>
        <v>2.360428292997872E-3</v>
      </c>
      <c r="FJ47" s="94">
        <f t="shared" si="736"/>
        <v>4.0745256978233025E-6</v>
      </c>
      <c r="FK47" s="94">
        <f t="shared" si="737"/>
        <v>8.9656014900318213E-5</v>
      </c>
      <c r="FL47" s="94">
        <f t="shared" si="738"/>
        <v>1.9488544260563463E-4</v>
      </c>
      <c r="FM47" s="94">
        <f t="shared" si="739"/>
        <v>1.0173872750756827E-5</v>
      </c>
      <c r="FN47" s="95">
        <f t="shared" si="740"/>
        <v>5.7019523793652065E-5</v>
      </c>
      <c r="FO47" s="199"/>
      <c r="FP47" s="101">
        <f>IF(EL47&lt;&gt;"",LOG(FF47*FJ47/Minerals!$C$6),"")</f>
        <v>7.236312903860237E-2</v>
      </c>
      <c r="FQ47" s="94">
        <f>IF(EL47&lt;&gt;"",LOG(FF47*FJ47/Minerals!$C$5),"")</f>
        <v>-5.8116400317615349E-2</v>
      </c>
      <c r="FR47" s="94">
        <f>IF(EN47&lt;&gt;"",LOG(FF47*FM47^2/Minerals!$C$2),"")</f>
        <v>-2.4329883911369015</v>
      </c>
      <c r="FS47" s="94">
        <f>IF(EO47&lt;&gt;"",LOG($FF47*$FN47/Minerals!$C$3),"")</f>
        <v>-2.6618819875535644</v>
      </c>
      <c r="FT47" s="95">
        <f>IF(EP47&lt;&gt;"",LOG($FF47*$FN47/Minerals!$C$4),"")</f>
        <v>-2.9018664990194667</v>
      </c>
      <c r="FU47" s="96"/>
      <c r="FV47" s="101">
        <f>IF(FP47&lt;&gt;"",LOG(FF47*FJ47/(EXP(-1*Minerals!$E$6/'Other Constants'!$B$2*(1/(273.15+'ppm-mgL-1'!$D47)-1/298.15)+LN(Minerals!$C$6)))),"")</f>
        <v>-0.83162793025714332</v>
      </c>
      <c r="FW47" s="94">
        <f>IF(FP47&lt;&gt;"",LOG(FF47*FJ47/(EXP(-1*Minerals!$E$5/'Other Constants'!$B$2*(1/(273.15+'ppm-mgL-1'!$D47)-1/298.15)+LN(Minerals!$C$5)))),"")</f>
        <v>-0.96218918311942003</v>
      </c>
      <c r="FX47" s="94">
        <f>IF(FR47&lt;&gt;"",LOG(FF47*FM47^2/(EXP(-1*Minerals!$E$2/'Other Constants'!$B$2*(1/(273.15+'ppm-mgL-1'!$D47)-1/298.15)+LN(Minerals!$C$2)))),"")</f>
        <v>-2.3947690314697478</v>
      </c>
      <c r="FY47" s="94">
        <f>IF(FS47&lt;&gt;"",LOG($FF47*$FN47/(EXP(-1*Minerals!$E$3/'Other Constants'!$B$2*(1/(273.15+'ppm-mgL-1'!$D47)-1/298.15)+LN(Minerals!$C$3)))),"")</f>
        <v>-1.8826102196401957</v>
      </c>
      <c r="FZ47" s="95">
        <f>IF(FT47&lt;&gt;"",LOG($FF47*$FN47/(EXP(-1*Minerals!$E$4/'Other Constants'!$B$2*(1/(273.15+'ppm-mgL-1'!$D47)-1/298.15)+LN(Minerals!$C$4)))),"")</f>
        <v>-2.9241906367580492</v>
      </c>
      <c r="GA47" s="96"/>
      <c r="GB47" s="96"/>
      <c r="GC47" s="101">
        <f>10^(-1825000*(79.755*EXP(-0.0046*($D47-20))*($D47+273.15))^-1.5*$EK47^0.5/(1+'Elements and ions'!$D$12*$EK47^0.5/(2*(79.755*EXP(-0.0046*($D47-20))*($D47+273.15))^0.5)))</f>
        <v>0.90992585719062657</v>
      </c>
      <c r="GD47" s="94">
        <f>10^(-1825000*(79.755*EXP(-0.0046*($D47-20))*($D47+273.15))^-1.5*$EK47^0.5/(1+'Elements and ions'!$D$20*$EK47^0.5/(2*(79.755*EXP(-0.0046*($D47-20))*($D47+273.15))^0.5)))</f>
        <v>0.90762031803580567</v>
      </c>
      <c r="GE47" s="94">
        <f>10^(-1825000*(79.755*EXP(-0.0046*($D47-20))*($D47+273.15))^-1.5*4*$EK47^0.5/(1+'Elements and ions'!$D$21*$EK47^0.5/(2*(79.755*EXP(-0.0046*($D47-20))*($D47+273.15))^0.5)))</f>
        <v>0.69852301326695665</v>
      </c>
      <c r="GF47" s="94">
        <f>10^(-1825000*(79.755*EXP(-0.0046*($D47-20))*($D47+273.15))^-1.5*4*$EK47^0.5/(1+'Elements and ions'!$D$13*$EK47^0.5/(2*(79.755*EXP(-0.0046*($D47-20))*($D47+273.15))^0.5)))</f>
        <v>0.71050049400895654</v>
      </c>
      <c r="GG47" s="95">
        <f>10^(-1825000*(79.755*EXP(-0.0046*($D47-20))*($D47+273.15))^-1.5*4*$EK47^0.5/(1+'Elements and ions'!$D$27*$EK47^0.5/(2*(79.755*EXP(-0.0046*($D47-20))*($D47+273.15))^0.5)))</f>
        <v>0.69852301326695665</v>
      </c>
      <c r="GH47" s="101">
        <f>10^(-1825000*(79.755*EXP(-0.0046*($D47-20))*($D47+273.15))^-1.5*$EK47^0.5/(1+'Elements and ions'!$G$3*$EK47^0.5/(2*(79.755*EXP(-0.0046*($D47-20))*($D47+273.15))^0.5)))</f>
        <v>0.90160172593571619</v>
      </c>
      <c r="GI47" s="94">
        <f>10^(-1825000*(79.755*EXP(-0.0046*($D47-20))*($D47+273.15))^-1.5*4*$EK47^0.5/(1+'Elements and ions'!$G$4*$EK47^0.5/(2*(79.755*EXP(-0.0046*($D47-20))*($D47+273.15))^0.5)))</f>
        <v>0.6607038381624778</v>
      </c>
      <c r="GJ47" s="94">
        <f>10^(-1825000*(79.755*EXP(-0.0046*($D47-20))*($D47+273.15))^-1.5*$EK47^0.5/(1+'Elements and ions'!$D$18*$EK47^0.5/(2*(79.755*EXP(-0.0046*($D47-20))*($D47+273.15))^0.5)))</f>
        <v>0.90762031803580567</v>
      </c>
      <c r="GK47" s="94">
        <f>10^(-1825000*(79.755*EXP(-0.0046*($D47-20))*($D47+273.15))^-1.5*$EK47^0.5/(1+'Elements and ions'!$I$7*$EK47^0.5/(2*(79.755*EXP(-0.0046*($D47-20))*($D47+273.15))^0.5)))</f>
        <v>0.90762031803580567</v>
      </c>
      <c r="GL47" s="94">
        <f>10^(-1825000*(79.755*EXP(-0.0046*($D47-20))*($D47+273.15))^-1.5*$EK47^0.5/(1+'Elements and ions'!$D$10*$EK47^0.5/(2*(79.755*EXP(-0.0046*($D47-20))*($D47+273.15))^0.5)))</f>
        <v>0.90878764269090773</v>
      </c>
      <c r="GM47" s="95">
        <f>10^(-1825000*(79.755*EXP(-0.0046*($D47-20))*($D47+273.15))^-1.5*4*$EK47^0.5/(1+'Elements and ions'!$I$5*$EK47^0.5/(2*(79.755*EXP(-0.0046*($D47-20))*($D47+273.15))^0.5)))</f>
        <v>0.68552614982767734</v>
      </c>
      <c r="GN47" s="96"/>
      <c r="GO47" s="101">
        <f t="shared" si="741"/>
        <v>9.9141883465989877E-5</v>
      </c>
      <c r="GP47" s="94">
        <f t="shared" si="742"/>
        <v>3.5010619267162782E-5</v>
      </c>
      <c r="GQ47" s="94">
        <f t="shared" si="743"/>
        <v>9.7764184262997037E-4</v>
      </c>
      <c r="GR47" s="94">
        <f t="shared" si="744"/>
        <v>8.9354892301898032E-5</v>
      </c>
      <c r="GS47" s="95" t="str">
        <f t="shared" si="745"/>
        <v/>
      </c>
      <c r="GT47" s="101">
        <f t="shared" si="746"/>
        <v>2.3387122806873403E-3</v>
      </c>
      <c r="GU47" s="94">
        <f t="shared" si="747"/>
        <v>3.9261681123610208E-6</v>
      </c>
      <c r="GV47" s="94">
        <f t="shared" si="748"/>
        <v>8.9424164400698909E-5</v>
      </c>
      <c r="GW47" s="94">
        <f t="shared" si="749"/>
        <v>1.9438146875305057E-4</v>
      </c>
      <c r="GX47" s="94">
        <f t="shared" si="750"/>
        <v>1.0160614273591936E-5</v>
      </c>
      <c r="GY47" s="102">
        <f t="shared" si="751"/>
        <v>5.7007580911859128E-5</v>
      </c>
      <c r="GZ47" s="199"/>
      <c r="HA47" s="92">
        <f>IF(AND(GQ47&lt;&gt;"",GU47&lt;&gt;""),LOG(GQ47*GU47/Minerals!$C$6),"")</f>
        <v>6.432067859922673E-2</v>
      </c>
      <c r="HB47" s="94">
        <f>IF(AND(GQ47&lt;&gt;"",GU47&lt;&gt;""),LOG(GQ47*GU47/Minerals!$C$5),"")</f>
        <v>-6.6158850756990947E-2</v>
      </c>
      <c r="HC47" s="94">
        <f>IF(AND(GQ47&lt;&gt;"",GX47&lt;&gt;""),LOG(GQ47*GX47^2/Minerals!$C$2),"")</f>
        <v>-2.4260553454513074</v>
      </c>
      <c r="HD47" s="94">
        <f>IF(AND(GQ47&lt;&gt;"",GY47&lt;&gt;""),LOG($GQ47*$GY47/Minerals!$C$3),"")</f>
        <v>-2.6539072418345953</v>
      </c>
      <c r="HE47" s="102">
        <f>IF(AND(GQ47&lt;&gt;"",GY47&lt;&gt;""),LOG($GQ47*$GY47/Minerals!$C$3),"")</f>
        <v>-2.6539072418345953</v>
      </c>
      <c r="HF47" s="199"/>
      <c r="HG47" s="92">
        <f>IF(HA47&lt;&gt;"",LOG(GQ47*GU47/(EXP(-1*Minerals!$E$6/'Other Constants'!$B$2*(1/(273.15+'ppm-mgL-1'!$D47)-1/298.15)+LN(Minerals!$C$6)))),"")</f>
        <v>-0.839670380696519</v>
      </c>
      <c r="HH47" s="94">
        <f>IF(HA47&lt;&gt;"",LOG(GQ47*GU47/(EXP(-1*Minerals!$E$5/'Other Constants'!$B$2*(1/(273.15+'ppm-mgL-1'!$D47)-1/298.15)+LN(Minerals!$C$5)))),"")</f>
        <v>-0.9702316335587956</v>
      </c>
      <c r="HI47" s="94">
        <f>IF(HC47&lt;&gt;"",LOG(GQ47*GX47^2/(EXP(-1*Minerals!$E$2/'Other Constants'!$B$2*(1/(273.15+'ppm-mgL-1'!$D47)-1/298.15)+LN(Minerals!$C$2)))),"")</f>
        <v>-2.3878359857841538</v>
      </c>
      <c r="HJ47" s="94">
        <f>IF(HD47&lt;&gt;"",LOG($FF47*$FN47/(EXP(-1*Minerals!$E$3/'Other Constants'!$B$2*(1/(273.15+'ppm-mgL-1'!$D47)-1/298.15)+LN(Minerals!$C$3)))),"")</f>
        <v>-1.8826102196401957</v>
      </c>
      <c r="HK47" s="95">
        <f>IF(HE47&lt;&gt;"",LOG($FF47*$FN47/(EXP(-1*Minerals!$E$4/'Other Constants'!$B$2*(1/(273.15+'ppm-mgL-1'!$D47)-1/298.15)+LN(Minerals!$C$4)))),"")</f>
        <v>-2.9241906367580492</v>
      </c>
      <c r="HL47" s="199"/>
      <c r="HM47" s="199"/>
    </row>
    <row r="48" spans="1:221" x14ac:dyDescent="0.25">
      <c r="A48" s="267" t="str">
        <f>'WC samples'!B19</f>
        <v>ISCD Indirect</v>
      </c>
      <c r="C48" s="266">
        <f>'WC samples'!A19</f>
        <v>41546</v>
      </c>
      <c r="D48" s="4">
        <f>'WC samples'!I19</f>
        <v>20.2</v>
      </c>
      <c r="E48" s="4">
        <f>'WC samples'!F19</f>
        <v>7.68</v>
      </c>
      <c r="AD48" s="83">
        <f>IF(E48&lt;&gt;"",10^(-2*$E48)/(10^(-2*$E48)+10^(-$E48-pKa!$B$2)+(10^(-pKa!$B$2-pKa!$C$2))),"")</f>
        <v>3.9926737337378081E-2</v>
      </c>
      <c r="AE48" s="84">
        <f>IF(E48&lt;&gt;"",10^(-$E48-pKa!$B$2)/(10^(-2*$E48)+10^(-$E48-pKa!$B$2)+10^(-pKa!$B$2-pKa!$C$2)),"")</f>
        <v>0.9577757187394722</v>
      </c>
      <c r="AF48" s="212">
        <f>IF(E48&lt;&gt;"",10^(-pKa!$B$2-pKa!$C$2)/(10^(-2*$E48)+10^(-$E48-pKa!$B$2)+10^(-pKa!$B$2-pKa!$C$2)),"")</f>
        <v>2.2975439231497905E-3</v>
      </c>
      <c r="AG48" s="152"/>
      <c r="AH48" s="222">
        <f>IF($AK48&lt;&gt;"",$AK48/'Elements and ions'!$G$3,IF($E48="","",""))</f>
        <v>2.9991720318521904</v>
      </c>
      <c r="AI48" s="85">
        <f t="shared" si="688"/>
        <v>3.1164407249169358E-3</v>
      </c>
      <c r="AJ48" s="84">
        <f>IF(AI48&lt;&gt;"",AI48*1000*'Elements and ions'!$B$7,"")</f>
        <v>37.430634614759839</v>
      </c>
      <c r="AK48" s="99">
        <f>'WC samples'!H19</f>
        <v>183</v>
      </c>
      <c r="AL48" s="88">
        <f>IF($AK48&lt;&gt;"",$AK48/'Elements and ions'!$G$3*Minerals!$B$6/2,IF($E48="","","Enter Alk(HCO3-)"))</f>
        <v>150.0889156173935</v>
      </c>
      <c r="AM48" s="199"/>
      <c r="AN48" s="101">
        <f t="shared" si="491"/>
        <v>1.2442931025126664E-4</v>
      </c>
      <c r="AO48" s="94">
        <f t="shared" si="492"/>
        <v>2.9848512552162801E-3</v>
      </c>
      <c r="AP48" s="95">
        <f t="shared" si="493"/>
        <v>7.1601594493894338E-6</v>
      </c>
      <c r="AQ48" s="199"/>
      <c r="AR48" s="199"/>
      <c r="AS48" s="83">
        <f t="shared" si="66"/>
        <v>0.36596855956254892</v>
      </c>
      <c r="AT48" s="83">
        <f>IF(AN48&lt;&gt;"",AN48/'Henrys law constants'!$B$7*1000000,"")</f>
        <v>3659.6855956254894</v>
      </c>
      <c r="AU48" s="268">
        <f>'WC samples'!K19</f>
        <v>2.8654999999999999</v>
      </c>
      <c r="AV48" s="269">
        <f>'WC samples'!M19</f>
        <v>1.7597</v>
      </c>
      <c r="AW48" s="269">
        <f>'WC samples'!O19</f>
        <v>53.9146</v>
      </c>
      <c r="AX48" s="269">
        <f>'WC samples'!N19</f>
        <v>3.4384999999999999</v>
      </c>
      <c r="AY48" s="226">
        <f>AO48*'Elements and ions'!$G$3*1000</f>
        <v>182.12619146333091</v>
      </c>
      <c r="AZ48" s="269">
        <f>'WC samples'!Q19</f>
        <v>4.2294</v>
      </c>
      <c r="BA48" s="269">
        <f>'WC samples'!T19</f>
        <v>10.18</v>
      </c>
      <c r="BB48" s="270">
        <f>'WC samples'!V19</f>
        <v>8.3048999999999999</v>
      </c>
      <c r="BC48" s="222">
        <f>IF($E48&lt;&gt;"",10^-$E48*'Elements and ions'!B49*1000,"")</f>
        <v>0</v>
      </c>
      <c r="BE48" s="6"/>
      <c r="BF48" s="6"/>
      <c r="BG48" s="270">
        <f>'WC samples'!L19</f>
        <v>0</v>
      </c>
      <c r="BH48" s="3"/>
      <c r="BJ48" s="92">
        <f>IF($AN48&lt;&gt;"",$AN48*'Elements and ions'!$G$2*1000,"")</f>
        <v>7.7177005938865575</v>
      </c>
      <c r="BK48" s="229"/>
      <c r="BL48" s="230"/>
      <c r="BM48" s="101">
        <f>IF($E48&lt;&gt;"",(10^-14+$E48)*'Elements and ions'!$G$8,"")</f>
        <v>130.61637120000015</v>
      </c>
      <c r="BO48" s="102">
        <f>IF($AP48&lt;&gt;"",$AP48*'Elements and ions'!$G$4*1000,"")</f>
        <v>0.42967329238246554</v>
      </c>
      <c r="BP48" s="269">
        <f>'WC samples'!P19</f>
        <v>0.1668</v>
      </c>
      <c r="BQ48" s="270">
        <f>'WC samples'!R19</f>
        <v>0</v>
      </c>
      <c r="BR48" s="195"/>
      <c r="BS48" s="238">
        <f>IF($AU48&lt;&gt;"",$AU48/'Elements and ions'!$B$12,"")</f>
        <v>0.12464239919505621</v>
      </c>
      <c r="BT48" s="239">
        <f>IF($AV48&lt;&gt;"",$AV48/'Elements and ions'!$B$20,"")</f>
        <v>4.5007071918727923E-2</v>
      </c>
      <c r="BU48" s="239">
        <f>IF($AW48&lt;&gt;"",$AW48/'Elements and ions'!$B$21, "")</f>
        <v>1.3452417785318627</v>
      </c>
      <c r="BV48" s="240">
        <f>IF($AX48&lt;&gt;"",$AX48/'Elements and ions'!$B$13, "")</f>
        <v>0.14147294795309606</v>
      </c>
      <c r="BW48" s="238">
        <f>IF($AY48&lt;&gt;"",$AY48/'Elements and ions'!$G$3,"")</f>
        <v>2.98485125521628</v>
      </c>
      <c r="BX48" s="239">
        <f>IF($AZ48&lt;&gt;"",$AZ48/'Elements and ions'!$B$18,"")</f>
        <v>0.1192959693114828</v>
      </c>
      <c r="BY48" s="239">
        <f>IF($BA48&lt;&gt;"",$BA48/'Elements and ions'!$G$7,"")</f>
        <v>0.16418057282569604</v>
      </c>
      <c r="BZ48" s="241">
        <f>IF($BB48&lt;&gt;"",$BB48/'Elements and ions'!$G$5,"")</f>
        <v>8.6453000439296865E-2</v>
      </c>
      <c r="CA48" s="91">
        <f t="shared" si="67"/>
        <v>2.0892961308540368E-5</v>
      </c>
      <c r="CB48" s="163" t="str">
        <f>IF($BD48&lt;&gt;"",$BD48/'Elements and ions'!$B$14,"")</f>
        <v/>
      </c>
      <c r="CC48" s="89" t="str">
        <f>IF($BE48&lt;&gt;"",$BE48/'Elements and ions'!$B$27, "")</f>
        <v/>
      </c>
      <c r="CD48" s="249" t="str">
        <f>IF($BF48&lt;&gt;"",$BF48/'Elements and ions'!$B$26,"")</f>
        <v/>
      </c>
      <c r="CE48" s="250">
        <f>IF($BG48&lt;&gt;"",$BG48/'Elements and ions'!$G$6,"")</f>
        <v>0</v>
      </c>
      <c r="CF48" s="91" t="str">
        <f>IF($BH48&lt;&gt;"",$BH48/'Elements and ions'!$G$15,"")</f>
        <v/>
      </c>
      <c r="CG48" s="89" t="str">
        <f>IF($BI48&lt;&gt;"",$BI48/'Elements and ions'!$G$16,"")</f>
        <v/>
      </c>
      <c r="CH48" s="90">
        <f>IF($BJ48&lt;&gt;"",$BJ48/'Elements and ions'!$G$2,"")</f>
        <v>0.12442931025126665</v>
      </c>
      <c r="CI48" s="91" t="str">
        <f>IF($BK48&lt;&gt;"",$BK48/'Elements and ions'!$B$15, "")</f>
        <v/>
      </c>
      <c r="CJ48" s="88" t="str">
        <f>IF($BL48&lt;&gt;"", $BL48/'Elements and ions'!$G$17,"")</f>
        <v/>
      </c>
      <c r="CK48" s="89">
        <f t="shared" si="68"/>
        <v>4.7863009232263745E-4</v>
      </c>
      <c r="CL48" s="163" t="str">
        <f>IF($BN48&lt;&gt;"", $BN48/'Elements and ions'!$G$19,"")</f>
        <v/>
      </c>
      <c r="CM48" s="89">
        <f>IF($BO48&lt;&gt;"",$BO48/'Elements and ions'!$G$4,"")</f>
        <v>7.1601594493894329E-3</v>
      </c>
      <c r="CN48" s="89">
        <f>IF($BP48&lt;&gt;"",$BP48/'Elements and ions'!$B$10,"")</f>
        <v>8.7796852316514695E-3</v>
      </c>
      <c r="CO48" s="104">
        <f>IF($BQ48&lt;&gt;"",$BQ48/'Elements and ions'!$G$18,"")</f>
        <v>0</v>
      </c>
      <c r="CP48" s="242"/>
      <c r="CQ48" s="238">
        <f t="shared" si="689"/>
        <v>1.2464239919505622E-4</v>
      </c>
      <c r="CR48" s="239">
        <f t="shared" si="690"/>
        <v>4.5007071918727922E-5</v>
      </c>
      <c r="CS48" s="239">
        <f t="shared" si="691"/>
        <v>1.3452417785318627E-3</v>
      </c>
      <c r="CT48" s="241">
        <f t="shared" si="692"/>
        <v>1.4147294795309606E-4</v>
      </c>
      <c r="CU48" s="238">
        <f t="shared" si="693"/>
        <v>2.9848512552162801E-3</v>
      </c>
      <c r="CV48" s="239">
        <f t="shared" si="694"/>
        <v>1.1929596931148279E-4</v>
      </c>
      <c r="CW48" s="239">
        <f t="shared" si="695"/>
        <v>1.6418057282569605E-4</v>
      </c>
      <c r="CX48" s="241">
        <f t="shared" si="696"/>
        <v>8.6453000439296867E-5</v>
      </c>
      <c r="CY48" s="258">
        <f t="shared" si="98"/>
        <v>2.0892961308540368E-8</v>
      </c>
      <c r="CZ48" s="259" t="str">
        <f t="shared" si="697"/>
        <v/>
      </c>
      <c r="DA48" s="260" t="str">
        <f t="shared" si="698"/>
        <v/>
      </c>
      <c r="DB48" s="261" t="str">
        <f t="shared" si="699"/>
        <v/>
      </c>
      <c r="DC48" s="262">
        <f t="shared" si="700"/>
        <v>0</v>
      </c>
      <c r="DD48" s="263" t="str">
        <f t="shared" si="701"/>
        <v/>
      </c>
      <c r="DE48" s="259" t="str">
        <f t="shared" si="702"/>
        <v/>
      </c>
      <c r="DF48" s="260">
        <f t="shared" si="703"/>
        <v>1.2442931025126664E-4</v>
      </c>
      <c r="DG48" s="260" t="str">
        <f t="shared" si="704"/>
        <v/>
      </c>
      <c r="DH48" s="264" t="str">
        <f t="shared" si="705"/>
        <v/>
      </c>
      <c r="DI48" s="258">
        <f t="shared" si="108"/>
        <v>4.7863009232263745E-7</v>
      </c>
      <c r="DJ48" s="260" t="str">
        <f t="shared" si="706"/>
        <v/>
      </c>
      <c r="DK48" s="260">
        <f t="shared" si="707"/>
        <v>7.160159449389433E-6</v>
      </c>
      <c r="DL48" s="260">
        <f t="shared" si="708"/>
        <v>8.7796852316514703E-6</v>
      </c>
      <c r="DM48" s="265">
        <f t="shared" si="709"/>
        <v>0</v>
      </c>
      <c r="DN48" s="242"/>
      <c r="DO48" s="238">
        <f t="shared" si="710"/>
        <v>0.12464239919505621</v>
      </c>
      <c r="DP48" s="239">
        <f t="shared" si="711"/>
        <v>4.5007071918727923E-2</v>
      </c>
      <c r="DQ48" s="239">
        <f t="shared" si="712"/>
        <v>2.6904835570637253</v>
      </c>
      <c r="DR48" s="241">
        <f t="shared" si="713"/>
        <v>0.28294589590619212</v>
      </c>
      <c r="DS48" s="238">
        <f t="shared" si="714"/>
        <v>-2.98485125521628</v>
      </c>
      <c r="DT48" s="239">
        <f t="shared" si="715"/>
        <v>-0.1192959693114828</v>
      </c>
      <c r="DU48" s="239">
        <f t="shared" si="716"/>
        <v>-0.16418057282569604</v>
      </c>
      <c r="DV48" s="241">
        <f t="shared" si="717"/>
        <v>-0.17290600087859373</v>
      </c>
      <c r="DW48" s="91">
        <f t="shared" si="113"/>
        <v>2.0892961308540368E-5</v>
      </c>
      <c r="DX48" s="89">
        <f t="shared" si="718"/>
        <v>0</v>
      </c>
      <c r="DY48" s="89">
        <f t="shared" si="719"/>
        <v>0</v>
      </c>
      <c r="DZ48" s="89">
        <f t="shared" si="720"/>
        <v>0</v>
      </c>
      <c r="EA48" s="90">
        <f t="shared" si="721"/>
        <v>0</v>
      </c>
      <c r="EB48" s="91">
        <f t="shared" si="118"/>
        <v>-4.7863009232263745E-4</v>
      </c>
      <c r="EC48" s="89">
        <f t="shared" si="722"/>
        <v>0</v>
      </c>
      <c r="ED48" s="89">
        <f t="shared" si="723"/>
        <v>-1.4320318898778866E-2</v>
      </c>
      <c r="EE48" s="89">
        <f t="shared" si="724"/>
        <v>-8.7796852316514695E-3</v>
      </c>
      <c r="EF48" s="90">
        <f t="shared" si="725"/>
        <v>0</v>
      </c>
      <c r="EG48" s="242"/>
      <c r="EH48" s="245">
        <f t="shared" si="726"/>
        <v>3.1430998170450102</v>
      </c>
      <c r="EI48" s="246">
        <f t="shared" si="727"/>
        <v>-3.464812432454806</v>
      </c>
      <c r="EJ48" s="198">
        <f t="shared" si="728"/>
        <v>-4.86859696773588</v>
      </c>
      <c r="EK48" s="198">
        <f t="shared" si="729"/>
        <v>8.0160493845464701E-3</v>
      </c>
      <c r="EL48" s="101">
        <f>IF(AND(CS48&lt;&gt;"",DK48&lt;&gt;""),LOG(CS48*DK48/Minerals!$C$6),"")</f>
        <v>0.46389504645991642</v>
      </c>
      <c r="EM48" s="94">
        <f>IF(AND(CS48&lt;&gt;"",DK48&lt;&gt;""),LOG(CS48*DK48/Minerals!$C$5),"")</f>
        <v>0.33341551710369877</v>
      </c>
      <c r="EN48" s="94">
        <f>IF(AND(CS48&lt;&gt;"",DL48&lt;&gt;""),LOG(CS48*DL48^2/Minerals!$C$2),"")</f>
        <v>-2.4143168172129159</v>
      </c>
      <c r="EO48" s="94">
        <f>IF(AND(CS48&lt;&gt;"",CX48&lt;&gt;""),LOG($CS48*$CX48/Minerals!$C$3),"")</f>
        <v>-2.3344392180335261</v>
      </c>
      <c r="EP48" s="95">
        <f>IF(AND(CS48&lt;&gt;"",CX48&lt;&gt;""),LOG($CS48*$CX48/Minerals!$C$4),"")</f>
        <v>-2.5744237294994283</v>
      </c>
      <c r="EQ48" s="199"/>
      <c r="ER48" s="101">
        <f t="shared" si="621"/>
        <v>0.90972989934226101</v>
      </c>
      <c r="ES48" s="94">
        <f t="shared" si="621"/>
        <v>0.90972989934226101</v>
      </c>
      <c r="ET48" s="94">
        <f t="shared" si="622"/>
        <v>0.68493581231832668</v>
      </c>
      <c r="EU48" s="94">
        <f t="shared" si="622"/>
        <v>0.68493581231832668</v>
      </c>
      <c r="EV48" s="95">
        <f t="shared" si="622"/>
        <v>0.68493581231832668</v>
      </c>
      <c r="EW48" s="101">
        <f t="shared" si="623"/>
        <v>0.90972989934226101</v>
      </c>
      <c r="EX48" s="94">
        <f t="shared" si="31"/>
        <v>0.68493581231832668</v>
      </c>
      <c r="EY48" s="94">
        <f t="shared" si="623"/>
        <v>0.90972989934226101</v>
      </c>
      <c r="EZ48" s="94">
        <f t="shared" si="623"/>
        <v>0.90972989934226101</v>
      </c>
      <c r="FA48" s="94">
        <f t="shared" si="165"/>
        <v>0.90972989934226101</v>
      </c>
      <c r="FB48" s="95">
        <f t="shared" si="32"/>
        <v>0.68493581231832668</v>
      </c>
      <c r="FC48" s="199"/>
      <c r="FD48" s="101">
        <f t="shared" si="730"/>
        <v>1.1339091727349641E-4</v>
      </c>
      <c r="FE48" s="94">
        <f t="shared" si="731"/>
        <v>4.0944279006314254E-5</v>
      </c>
      <c r="FF48" s="94">
        <f t="shared" si="732"/>
        <v>9.2140427034327187E-4</v>
      </c>
      <c r="FG48" s="94">
        <f t="shared" si="733"/>
        <v>9.6899888527322202E-5</v>
      </c>
      <c r="FH48" s="95" t="str">
        <f t="shared" si="734"/>
        <v/>
      </c>
      <c r="FI48" s="101">
        <f t="shared" si="735"/>
        <v>2.7154084319595279E-3</v>
      </c>
      <c r="FJ48" s="94">
        <f t="shared" si="736"/>
        <v>4.9042496287962936E-6</v>
      </c>
      <c r="FK48" s="94">
        <f t="shared" si="737"/>
        <v>1.085271101536727E-4</v>
      </c>
      <c r="FL48" s="94">
        <f t="shared" si="738"/>
        <v>1.4935997599067522E-4</v>
      </c>
      <c r="FM48" s="94">
        <f t="shared" si="739"/>
        <v>7.9871421620470268E-6</v>
      </c>
      <c r="FN48" s="95">
        <f t="shared" si="740"/>
        <v>5.9214756083246453E-5</v>
      </c>
      <c r="FO48" s="199"/>
      <c r="FP48" s="101">
        <f>IF(EL48&lt;&gt;"",LOG(FF48*FJ48/Minerals!$C$6),"")</f>
        <v>0.13519479481086832</v>
      </c>
      <c r="FQ48" s="94">
        <f>IF(EL48&lt;&gt;"",LOG(FF48*FJ48/Minerals!$C$5),"")</f>
        <v>4.7152654546505288E-3</v>
      </c>
      <c r="FR48" s="94">
        <f>IF(EN48&lt;&gt;"",LOG(FF48*FM48^2/Minerals!$C$2),"")</f>
        <v>-2.6608420059497022</v>
      </c>
      <c r="FS48" s="94">
        <f>IF(EO48&lt;&gt;"",LOG($FF48*$FN48/Minerals!$C$3),"")</f>
        <v>-2.6631394696825743</v>
      </c>
      <c r="FT48" s="95">
        <f>IF(EP48&lt;&gt;"",LOG($FF48*$FN48/Minerals!$C$4),"")</f>
        <v>-2.9031239811484766</v>
      </c>
      <c r="FU48" s="96"/>
      <c r="FV48" s="101">
        <f>IF(FP48&lt;&gt;"",LOG(FF48*FJ48/(EXP(-1*Minerals!$E$6/'Other Constants'!$B$2*(1/(273.15+'ppm-mgL-1'!$D48)-1/298.15)+LN(Minerals!$C$6)))),"")</f>
        <v>-1.7674732208177357</v>
      </c>
      <c r="FW48" s="94">
        <f>IF(FP48&lt;&gt;"",LOG(FF48*FJ48/(EXP(-1*Minerals!$E$5/'Other Constants'!$B$2*(1/(273.15+'ppm-mgL-1'!$D48)-1/298.15)+LN(Minerals!$C$5)))),"")</f>
        <v>-1.898124757075466</v>
      </c>
      <c r="FX48" s="94">
        <f>IF(FR48&lt;&gt;"",LOG(FF48*FM48^2/(EXP(-1*Minerals!$E$2/'Other Constants'!$B$2*(1/(273.15+'ppm-mgL-1'!$D48)-1/298.15)+LN(Minerals!$C$2)))),"")</f>
        <v>-2.580400111675714</v>
      </c>
      <c r="FY48" s="94">
        <f>IF(FS48&lt;&gt;"",LOG($FF48*$FN48/(EXP(-1*Minerals!$E$3/'Other Constants'!$B$2*(1/(273.15+'ppm-mgL-1'!$D48)-1/298.15)+LN(Minerals!$C$3)))),"")</f>
        <v>-1.0229733938740178</v>
      </c>
      <c r="FZ48" s="95">
        <f>IF(FT48&lt;&gt;"",LOG($FF48*$FN48/(EXP(-1*Minerals!$E$4/'Other Constants'!$B$2*(1/(273.15+'ppm-mgL-1'!$D48)-1/298.15)+LN(Minerals!$C$4)))),"")</f>
        <v>-2.9501105330782935</v>
      </c>
      <c r="GA48" s="96"/>
      <c r="GB48" s="96"/>
      <c r="GC48" s="101">
        <f>10^(-1825000*(79.755*EXP(-0.0046*($D48-20))*($D48+273.15))^-1.5*$EK48^0.5/(1+'Elements and ions'!$D$12*$EK48^0.5/(2*(79.755*EXP(-0.0046*($D48-20))*($D48+273.15))^0.5)))</f>
        <v>0.91006309013815645</v>
      </c>
      <c r="GD48" s="94">
        <f>10^(-1825000*(79.755*EXP(-0.0046*($D48-20))*($D48+273.15))^-1.5*$EK48^0.5/(1+'Elements and ions'!$D$20*$EK48^0.5/(2*(79.755*EXP(-0.0046*($D48-20))*($D48+273.15))^0.5)))</f>
        <v>0.90775753935434111</v>
      </c>
      <c r="GE48" s="94">
        <f>10^(-1825000*(79.755*EXP(-0.0046*($D48-20))*($D48+273.15))^-1.5*4*$EK48^0.5/(1+'Elements and ions'!$D$21*$EK48^0.5/(2*(79.755*EXP(-0.0046*($D48-20))*($D48+273.15))^0.5)))</f>
        <v>0.69894116762750036</v>
      </c>
      <c r="GF48" s="94">
        <f>10^(-1825000*(79.755*EXP(-0.0046*($D48-20))*($D48+273.15))^-1.5*4*$EK48^0.5/(1+'Elements and ions'!$D$13*$EK48^0.5/(2*(79.755*EXP(-0.0046*($D48-20))*($D48+273.15))^0.5)))</f>
        <v>0.71092112219385506</v>
      </c>
      <c r="GG48" s="95">
        <f>10^(-1825000*(79.755*EXP(-0.0046*($D48-20))*($D48+273.15))^-1.5*4*$EK48^0.5/(1+'Elements and ions'!$D$27*$EK48^0.5/(2*(79.755*EXP(-0.0046*($D48-20))*($D48+273.15))^0.5)))</f>
        <v>0.69894116762750036</v>
      </c>
      <c r="GH48" s="101">
        <f>10^(-1825000*(79.755*EXP(-0.0046*($D48-20))*($D48+273.15))^-1.5*$EK48^0.5/(1+'Elements and ions'!$G$3*$EK48^0.5/(2*(79.755*EXP(-0.0046*($D48-20))*($D48+273.15))^0.5)))</f>
        <v>0.90173808578760273</v>
      </c>
      <c r="GI48" s="94">
        <f>10^(-1825000*(79.755*EXP(-0.0046*($D48-20))*($D48+273.15))^-1.5*4*$EK48^0.5/(1+'Elements and ions'!$G$4*$EK48^0.5/(2*(79.755*EXP(-0.0046*($D48-20))*($D48+273.15))^0.5)))</f>
        <v>0.66110362564128178</v>
      </c>
      <c r="GJ48" s="94">
        <f>10^(-1825000*(79.755*EXP(-0.0046*($D48-20))*($D48+273.15))^-1.5*$EK48^0.5/(1+'Elements and ions'!$D$18*$EK48^0.5/(2*(79.755*EXP(-0.0046*($D48-20))*($D48+273.15))^0.5)))</f>
        <v>0.90775753935434111</v>
      </c>
      <c r="GK48" s="94">
        <f>10^(-1825000*(79.755*EXP(-0.0046*($D48-20))*($D48+273.15))^-1.5*$EK48^0.5/(1+'Elements and ions'!$I$7*$EK48^0.5/(2*(79.755*EXP(-0.0046*($D48-20))*($D48+273.15))^0.5)))</f>
        <v>0.90775753935434111</v>
      </c>
      <c r="GL48" s="94">
        <f>10^(-1825000*(79.755*EXP(-0.0046*($D48-20))*($D48+273.15))^-1.5*$EK48^0.5/(1+'Elements and ions'!$D$10*$EK48^0.5/(2*(79.755*EXP(-0.0046*($D48-20))*($D48+273.15))^0.5)))</f>
        <v>0.90892489193600501</v>
      </c>
      <c r="GM48" s="95">
        <f>10^(-1825000*(79.755*EXP(-0.0046*($D48-20))*($D48+273.15))^-1.5*4*$EK48^0.5/(1+'Elements and ions'!$I$5*$EK48^0.5/(2*(79.755*EXP(-0.0046*($D48-20))*($D48+273.15))^0.5)))</f>
        <v>0.6859398013717608</v>
      </c>
      <c r="GN48" s="96"/>
      <c r="GO48" s="101">
        <f t="shared" si="741"/>
        <v>1.1343244697368653E-4</v>
      </c>
      <c r="GP48" s="94">
        <f t="shared" si="742"/>
        <v>4.085550885848832E-5</v>
      </c>
      <c r="GQ48" s="94">
        <f t="shared" si="743"/>
        <v>9.4024485942835543E-4</v>
      </c>
      <c r="GR48" s="94">
        <f t="shared" si="744"/>
        <v>1.0057610691888789E-4</v>
      </c>
      <c r="GS48" s="95" t="str">
        <f t="shared" si="745"/>
        <v/>
      </c>
      <c r="GT48" s="101">
        <f t="shared" si="746"/>
        <v>2.6915540572394515E-3</v>
      </c>
      <c r="GU48" s="94">
        <f t="shared" si="747"/>
        <v>4.7336073721610378E-6</v>
      </c>
      <c r="GV48" s="94">
        <f t="shared" si="748"/>
        <v>1.0829181555708261E-4</v>
      </c>
      <c r="GW48" s="94">
        <f t="shared" si="749"/>
        <v>1.4903615279804005E-4</v>
      </c>
      <c r="GX48" s="94">
        <f t="shared" si="750"/>
        <v>7.9800744504109511E-6</v>
      </c>
      <c r="GY48" s="102">
        <f t="shared" si="751"/>
        <v>5.9301553949324041E-5</v>
      </c>
      <c r="GZ48" s="199"/>
      <c r="HA48" s="92">
        <f>IF(AND(GQ48&lt;&gt;"",GU48&lt;&gt;""),LOG(GQ48*GU48/Minerals!$C$6),"")</f>
        <v>0.12860520656387983</v>
      </c>
      <c r="HB48" s="94">
        <f>IF(AND(GQ48&lt;&gt;"",GU48&lt;&gt;""),LOG(GQ48*GU48/Minerals!$C$5),"")</f>
        <v>-1.8743227923378504E-3</v>
      </c>
      <c r="HC48" s="94">
        <f>IF(AND(GQ48&lt;&gt;"",GX48&lt;&gt;""),LOG(GQ48*GX48^2/Minerals!$C$2),"")</f>
        <v>-2.6528202015824585</v>
      </c>
      <c r="HD48" s="94">
        <f>IF(AND(GQ48&lt;&gt;"",GY48&lt;&gt;""),LOG($GQ48*$GY48/Minerals!$C$3),"")</f>
        <v>-2.6537125935195274</v>
      </c>
      <c r="HE48" s="102">
        <f>IF(AND(GQ48&lt;&gt;"",GY48&lt;&gt;""),LOG($GQ48*$GY48/Minerals!$C$3),"")</f>
        <v>-2.6537125935195274</v>
      </c>
      <c r="HF48" s="199"/>
      <c r="HG48" s="92">
        <f>IF(HA48&lt;&gt;"",LOG(GQ48*GU48/(EXP(-1*Minerals!$E$6/'Other Constants'!$B$2*(1/(273.15+'ppm-mgL-1'!$D48)-1/298.15)+LN(Minerals!$C$6)))),"")</f>
        <v>-1.7740628090647241</v>
      </c>
      <c r="HH48" s="94">
        <f>IF(HA48&lt;&gt;"",LOG(GQ48*GU48/(EXP(-1*Minerals!$E$5/'Other Constants'!$B$2*(1/(273.15+'ppm-mgL-1'!$D48)-1/298.15)+LN(Minerals!$C$5)))),"")</f>
        <v>-1.9047143453224546</v>
      </c>
      <c r="HI48" s="94">
        <f>IF(HC48&lt;&gt;"",LOG(GQ48*GX48^2/(EXP(-1*Minerals!$E$2/'Other Constants'!$B$2*(1/(273.15+'ppm-mgL-1'!$D48)-1/298.15)+LN(Minerals!$C$2)))),"")</f>
        <v>-2.5723783073084707</v>
      </c>
      <c r="HJ48" s="94">
        <f>IF(HD48&lt;&gt;"",LOG($FF48*$FN48/(EXP(-1*Minerals!$E$3/'Other Constants'!$B$2*(1/(273.15+'ppm-mgL-1'!$D48)-1/298.15)+LN(Minerals!$C$3)))),"")</f>
        <v>-1.0229733938740178</v>
      </c>
      <c r="HK48" s="95">
        <f>IF(HE48&lt;&gt;"",LOG($FF48*$FN48/(EXP(-1*Minerals!$E$4/'Other Constants'!$B$2*(1/(273.15+'ppm-mgL-1'!$D48)-1/298.15)+LN(Minerals!$C$4)))),"")</f>
        <v>-2.9501105330782935</v>
      </c>
      <c r="HL48" s="199"/>
      <c r="HM48" s="199"/>
    </row>
    <row r="49" spans="1:221" x14ac:dyDescent="0.25">
      <c r="A49" s="267" t="str">
        <f>'WC samples'!B20</f>
        <v>ISCD Indirect</v>
      </c>
      <c r="C49" s="266">
        <f>'WC samples'!A20</f>
        <v>41566</v>
      </c>
      <c r="D49" s="4">
        <f>'WC samples'!I20</f>
        <v>20.3</v>
      </c>
      <c r="E49" s="4">
        <f>'WC samples'!F20</f>
        <v>6.98</v>
      </c>
      <c r="AD49" s="83">
        <f>IF(E49&lt;&gt;"",10^(-2*$E49)/(10^(-2*$E49)+10^(-$E49-pKa!$B$2)+(10^(-pKa!$B$2-pKa!$C$2))),"")</f>
        <v>0.17275358776821362</v>
      </c>
      <c r="AE49" s="84">
        <f>IF(E49&lt;&gt;"",10^(-$E49-pKa!$B$2)/(10^(-2*$E49)+10^(-$E49-pKa!$B$2)+10^(-pKa!$B$2-pKa!$C$2)),"")</f>
        <v>0.82685065662566859</v>
      </c>
      <c r="AF49" s="212">
        <f>IF(E49&lt;&gt;"",10^(-pKa!$B$2-pKa!$C$2)/(10^(-2*$E49)+10^(-$E49-pKa!$B$2)+10^(-pKa!$B$2-pKa!$C$2)),"")</f>
        <v>3.9575560611777773E-4</v>
      </c>
      <c r="AG49" s="152"/>
      <c r="AH49" s="222">
        <f>IF($AK49&lt;&gt;"",$AK49/'Elements and ions'!$G$3,IF($E49="","",""))</f>
        <v>2.4419488128195432</v>
      </c>
      <c r="AI49" s="85">
        <f t="shared" si="688"/>
        <v>2.9504886494756285E-3</v>
      </c>
      <c r="AJ49" s="84">
        <f>IF(AI49&lt;&gt;"",AI49*1000*'Elements and ions'!$B$7,"")</f>
        <v>35.43743402225693</v>
      </c>
      <c r="AK49" s="99">
        <f>'WC samples'!H20</f>
        <v>149</v>
      </c>
      <c r="AL49" s="88">
        <f>IF($AK49&lt;&gt;"",$AK49/'Elements and ions'!$G$3*Minerals!$B$6/2,IF($E49="","","Enter Alk(HCO3-)"))</f>
        <v>122.20354331689417</v>
      </c>
      <c r="AM49" s="199"/>
      <c r="AN49" s="101">
        <f t="shared" si="491"/>
        <v>5.0970749986630609E-4</v>
      </c>
      <c r="AO49" s="94">
        <f t="shared" si="492"/>
        <v>2.4396134771855057E-3</v>
      </c>
      <c r="AP49" s="95">
        <f t="shared" si="493"/>
        <v>1.1676724238168507E-6</v>
      </c>
      <c r="AQ49" s="199"/>
      <c r="AR49" s="199"/>
      <c r="AS49" s="83">
        <f t="shared" si="66"/>
        <v>1.4991397054891356</v>
      </c>
      <c r="AT49" s="83">
        <f>IF(AN49&lt;&gt;"",AN49/'Henrys law constants'!$B$7*1000000,"")</f>
        <v>14991.397054891355</v>
      </c>
      <c r="AU49" s="268">
        <f>'WC samples'!K20</f>
        <v>2.4855999999999998</v>
      </c>
      <c r="AV49" s="269">
        <f>'WC samples'!M20</f>
        <v>2.0935000000000001</v>
      </c>
      <c r="AW49" s="269">
        <f>'WC samples'!O20</f>
        <v>46.9754</v>
      </c>
      <c r="AX49" s="269">
        <f>'WC samples'!N20</f>
        <v>3.0813999999999999</v>
      </c>
      <c r="AY49" s="226">
        <f>AO49*'Elements and ions'!$G$3*1000</f>
        <v>148.85750519927163</v>
      </c>
      <c r="AZ49" s="269">
        <f>'WC samples'!Q20</f>
        <v>3.2545999999999999</v>
      </c>
      <c r="BA49" s="269">
        <f>'WC samples'!T20</f>
        <v>640.38499999999999</v>
      </c>
      <c r="BB49" s="270">
        <f>'WC samples'!V20</f>
        <v>6.6021000000000001</v>
      </c>
      <c r="BC49" s="222">
        <f>IF($E49&lt;&gt;"",10^-$E49*'Elements and ions'!B50*1000,"")</f>
        <v>0</v>
      </c>
      <c r="BE49" s="6"/>
      <c r="BF49" s="6"/>
      <c r="BG49" s="270">
        <f>'WC samples'!L20</f>
        <v>-0.1333</v>
      </c>
      <c r="BH49" s="3"/>
      <c r="BJ49" s="92">
        <f>IF($AN49&lt;&gt;"",$AN49*'Elements and ions'!$G$2*1000,"")</f>
        <v>31.614495543557663</v>
      </c>
      <c r="BK49" s="229"/>
      <c r="BL49" s="230"/>
      <c r="BM49" s="101">
        <f>IF($E49&lt;&gt;"",(10^-14+$E49)*'Elements and ions'!$G$8,"")</f>
        <v>118.71123320000017</v>
      </c>
      <c r="BO49" s="102">
        <f>IF($AP49&lt;&gt;"",$AP49*'Elements and ions'!$G$4*1000,"")</f>
        <v>7.0070737713583006E-2</v>
      </c>
      <c r="BP49" s="269">
        <f>'WC samples'!P20</f>
        <v>0.1973</v>
      </c>
      <c r="BQ49" s="270">
        <f>'WC samples'!R20</f>
        <v>0</v>
      </c>
      <c r="BR49" s="195"/>
      <c r="BS49" s="238">
        <f>IF($AU49&lt;&gt;"",$AU49/'Elements and ions'!$B$12,"")</f>
        <v>0.10811765745567324</v>
      </c>
      <c r="BT49" s="239">
        <f>IF($AV49&lt;&gt;"",$AV49/'Elements and ions'!$B$20,"")</f>
        <v>5.3544527511426326E-2</v>
      </c>
      <c r="BU49" s="239">
        <f>IF($AW49&lt;&gt;"",$AW49/'Elements and ions'!$B$21, "")</f>
        <v>1.1720994061579919</v>
      </c>
      <c r="BV49" s="240">
        <f>IF($AX49&lt;&gt;"",$AX49/'Elements and ions'!$B$13, "")</f>
        <v>0.12678049783995063</v>
      </c>
      <c r="BW49" s="238">
        <f>IF($AY49&lt;&gt;"",$AY49/'Elements and ions'!$G$3,"")</f>
        <v>2.4396134771855054</v>
      </c>
      <c r="BX49" s="239">
        <f>IF($AZ49&lt;&gt;"",$AZ49/'Elements and ions'!$B$18,"")</f>
        <v>9.1800411812822599E-2</v>
      </c>
      <c r="BY49" s="239">
        <f>IF($BA49&lt;&gt;"",$BA49/'Elements and ions'!$G$7,"")</f>
        <v>10.327974079467912</v>
      </c>
      <c r="BZ49" s="241">
        <f>IF($BB49&lt;&gt;"",$BB49/'Elements and ions'!$G$5,"")</f>
        <v>6.8727059230127022E-2</v>
      </c>
      <c r="CA49" s="91">
        <f t="shared" si="67"/>
        <v>1.0471285480508987E-4</v>
      </c>
      <c r="CB49" s="163" t="str">
        <f>IF($BD49&lt;&gt;"",$BD49/'Elements and ions'!$B$14,"")</f>
        <v/>
      </c>
      <c r="CC49" s="89" t="str">
        <f>IF($BE49&lt;&gt;"",$BE49/'Elements and ions'!$B$27, "")</f>
        <v/>
      </c>
      <c r="CD49" s="249" t="str">
        <f>IF($BF49&lt;&gt;"",$BF49/'Elements and ions'!$B$26,"")</f>
        <v/>
      </c>
      <c r="CE49" s="250">
        <f>IF($BG49&lt;&gt;"",$BG49/'Elements and ions'!$G$6,"")</f>
        <v>-7.38976608867941E-3</v>
      </c>
      <c r="CF49" s="91" t="str">
        <f>IF($BH49&lt;&gt;"",$BH49/'Elements and ions'!$G$15,"")</f>
        <v/>
      </c>
      <c r="CG49" s="89" t="str">
        <f>IF($BI49&lt;&gt;"",$BI49/'Elements and ions'!$G$16,"")</f>
        <v/>
      </c>
      <c r="CH49" s="90">
        <f>IF($BJ49&lt;&gt;"",$BJ49/'Elements and ions'!$G$2,"")</f>
        <v>0.50970749986630615</v>
      </c>
      <c r="CI49" s="91" t="str">
        <f>IF($BK49&lt;&gt;"",$BK49/'Elements and ions'!$B$15, "")</f>
        <v/>
      </c>
      <c r="CJ49" s="88" t="str">
        <f>IF($BL49&lt;&gt;"", $BL49/'Elements and ions'!$G$17,"")</f>
        <v/>
      </c>
      <c r="CK49" s="89">
        <f t="shared" si="68"/>
        <v>9.5499258602143553E-5</v>
      </c>
      <c r="CL49" s="163" t="str">
        <f>IF($BN49&lt;&gt;"", $BN49/'Elements and ions'!$G$19,"")</f>
        <v/>
      </c>
      <c r="CM49" s="89">
        <f>IF($BO49&lt;&gt;"",$BO49/'Elements and ions'!$G$4,"")</f>
        <v>1.1676724238168506E-3</v>
      </c>
      <c r="CN49" s="89">
        <f>IF($BP49&lt;&gt;"",$BP49/'Elements and ions'!$B$10,"")</f>
        <v>1.0385083310580545E-2</v>
      </c>
      <c r="CO49" s="104">
        <f>IF($BQ49&lt;&gt;"",$BQ49/'Elements and ions'!$G$18,"")</f>
        <v>0</v>
      </c>
      <c r="CP49" s="242"/>
      <c r="CQ49" s="238">
        <f t="shared" si="689"/>
        <v>1.0811765745567324E-4</v>
      </c>
      <c r="CR49" s="239">
        <f t="shared" si="690"/>
        <v>5.3544527511426326E-5</v>
      </c>
      <c r="CS49" s="239">
        <f t="shared" si="691"/>
        <v>1.1720994061579918E-3</v>
      </c>
      <c r="CT49" s="241">
        <f t="shared" si="692"/>
        <v>1.2678049783995064E-4</v>
      </c>
      <c r="CU49" s="238">
        <f t="shared" si="693"/>
        <v>2.4396134771855053E-3</v>
      </c>
      <c r="CV49" s="239">
        <f t="shared" si="694"/>
        <v>9.1800411812822594E-5</v>
      </c>
      <c r="CW49" s="239">
        <f t="shared" si="695"/>
        <v>1.0327974079467912E-2</v>
      </c>
      <c r="CX49" s="241">
        <f t="shared" si="696"/>
        <v>6.8727059230127023E-5</v>
      </c>
      <c r="CY49" s="258">
        <f t="shared" si="98"/>
        <v>1.0471285480508987E-7</v>
      </c>
      <c r="CZ49" s="259" t="str">
        <f t="shared" si="697"/>
        <v/>
      </c>
      <c r="DA49" s="260" t="str">
        <f t="shared" si="698"/>
        <v/>
      </c>
      <c r="DB49" s="261" t="str">
        <f t="shared" si="699"/>
        <v/>
      </c>
      <c r="DC49" s="262">
        <f t="shared" si="700"/>
        <v>-7.38976608867941E-6</v>
      </c>
      <c r="DD49" s="263" t="str">
        <f t="shared" si="701"/>
        <v/>
      </c>
      <c r="DE49" s="259" t="str">
        <f t="shared" si="702"/>
        <v/>
      </c>
      <c r="DF49" s="260">
        <f t="shared" si="703"/>
        <v>5.0970749986630609E-4</v>
      </c>
      <c r="DG49" s="260" t="str">
        <f t="shared" si="704"/>
        <v/>
      </c>
      <c r="DH49" s="264" t="str">
        <f t="shared" si="705"/>
        <v/>
      </c>
      <c r="DI49" s="258">
        <f t="shared" si="108"/>
        <v>9.5499258602143556E-8</v>
      </c>
      <c r="DJ49" s="260" t="str">
        <f t="shared" si="706"/>
        <v/>
      </c>
      <c r="DK49" s="260">
        <f t="shared" si="707"/>
        <v>1.1676724238168505E-6</v>
      </c>
      <c r="DL49" s="260">
        <f t="shared" si="708"/>
        <v>1.0385083310580546E-5</v>
      </c>
      <c r="DM49" s="265">
        <f t="shared" si="709"/>
        <v>0</v>
      </c>
      <c r="DN49" s="242"/>
      <c r="DO49" s="238">
        <f t="shared" si="710"/>
        <v>0.10811765745567324</v>
      </c>
      <c r="DP49" s="239">
        <f t="shared" si="711"/>
        <v>5.3544527511426326E-2</v>
      </c>
      <c r="DQ49" s="239">
        <f t="shared" si="712"/>
        <v>2.3441988123159838</v>
      </c>
      <c r="DR49" s="241">
        <f t="shared" si="713"/>
        <v>0.25356099567990126</v>
      </c>
      <c r="DS49" s="238">
        <f t="shared" si="714"/>
        <v>-2.4396134771855054</v>
      </c>
      <c r="DT49" s="239">
        <f t="shared" si="715"/>
        <v>-9.1800411812822599E-2</v>
      </c>
      <c r="DU49" s="239">
        <f t="shared" si="716"/>
        <v>-10.327974079467912</v>
      </c>
      <c r="DV49" s="241">
        <f t="shared" si="717"/>
        <v>-0.13745411846025404</v>
      </c>
      <c r="DW49" s="91">
        <f t="shared" si="113"/>
        <v>1.0471285480508987E-4</v>
      </c>
      <c r="DX49" s="89">
        <f t="shared" si="718"/>
        <v>0</v>
      </c>
      <c r="DY49" s="89">
        <f t="shared" si="719"/>
        <v>0</v>
      </c>
      <c r="DZ49" s="89">
        <f t="shared" si="720"/>
        <v>0</v>
      </c>
      <c r="EA49" s="90">
        <f t="shared" si="721"/>
        <v>-7.38976608867941E-3</v>
      </c>
      <c r="EB49" s="91">
        <f t="shared" si="118"/>
        <v>-9.5499258602143553E-5</v>
      </c>
      <c r="EC49" s="89">
        <f t="shared" si="722"/>
        <v>0</v>
      </c>
      <c r="ED49" s="89">
        <f t="shared" si="723"/>
        <v>-2.3353448476337011E-3</v>
      </c>
      <c r="EE49" s="89">
        <f t="shared" si="724"/>
        <v>-1.0385083310580545E-2</v>
      </c>
      <c r="EF49" s="90">
        <f t="shared" si="725"/>
        <v>0</v>
      </c>
      <c r="EG49" s="242"/>
      <c r="EH49" s="245">
        <f t="shared" si="726"/>
        <v>2.7521369397291107</v>
      </c>
      <c r="EI49" s="246">
        <f t="shared" si="727"/>
        <v>-13.009658014343312</v>
      </c>
      <c r="EJ49" s="198">
        <f t="shared" si="728"/>
        <v>-65.078381646907118</v>
      </c>
      <c r="EK49" s="198">
        <f t="shared" si="729"/>
        <v>1.1986145471284239E-2</v>
      </c>
      <c r="EL49" s="101">
        <f>IF(AND(CS49&lt;&gt;"",DK49&lt;&gt;""),LOG(CS49*DK49/Minerals!$C$6),"")</f>
        <v>-0.38354252399529792</v>
      </c>
      <c r="EM49" s="94">
        <f>IF(AND(CS49&lt;&gt;"",DK49&lt;&gt;""),LOG(CS49*DK49/Minerals!$C$5),"")</f>
        <v>-0.51402205335151563</v>
      </c>
      <c r="EN49" s="94">
        <f>IF(AND(CS49&lt;&gt;"",DL49&lt;&gt;""),LOG(CS49*DL49^2/Minerals!$C$2),"")</f>
        <v>-2.3282906399304593</v>
      </c>
      <c r="EO49" s="94">
        <f>IF(AND(CS49&lt;&gt;"",CX49&lt;&gt;""),LOG($CS49*$CX49/Minerals!$C$3),"")</f>
        <v>-2.4939274279239991</v>
      </c>
      <c r="EP49" s="95">
        <f>IF(AND(CS49&lt;&gt;"",CX49&lt;&gt;""),LOG($CS49*$CX49/Minerals!$C$4),"")</f>
        <v>-2.7339119393899018</v>
      </c>
      <c r="EQ49" s="199"/>
      <c r="ER49" s="101">
        <f t="shared" si="621"/>
        <v>0.89260858785852915</v>
      </c>
      <c r="ES49" s="94">
        <f t="shared" si="621"/>
        <v>0.89260858785852915</v>
      </c>
      <c r="ET49" s="94">
        <f t="shared" si="622"/>
        <v>0.63481070769781212</v>
      </c>
      <c r="EU49" s="94">
        <f t="shared" si="622"/>
        <v>0.63481070769781212</v>
      </c>
      <c r="EV49" s="95">
        <f t="shared" si="622"/>
        <v>0.63481070769781212</v>
      </c>
      <c r="EW49" s="101">
        <f t="shared" si="623"/>
        <v>0.89260858785852915</v>
      </c>
      <c r="EX49" s="94">
        <f t="shared" si="31"/>
        <v>0.63481070769781212</v>
      </c>
      <c r="EY49" s="94">
        <f t="shared" si="623"/>
        <v>0.89260858785852915</v>
      </c>
      <c r="EZ49" s="94">
        <f t="shared" si="623"/>
        <v>0.89260858785852915</v>
      </c>
      <c r="FA49" s="94">
        <f t="shared" si="165"/>
        <v>0.89260858785852915</v>
      </c>
      <c r="FB49" s="95">
        <f t="shared" si="32"/>
        <v>0.63481070769781212</v>
      </c>
      <c r="FC49" s="199"/>
      <c r="FD49" s="101">
        <f t="shared" si="730"/>
        <v>9.6506749544080666E-5</v>
      </c>
      <c r="FE49" s="94">
        <f t="shared" si="731"/>
        <v>4.7794305089526413E-5</v>
      </c>
      <c r="FF49" s="94">
        <f t="shared" si="732"/>
        <v>7.4406125351534009E-4</v>
      </c>
      <c r="FG49" s="94">
        <f t="shared" si="733"/>
        <v>8.0481617556060005E-5</v>
      </c>
      <c r="FH49" s="95" t="str">
        <f t="shared" si="734"/>
        <v/>
      </c>
      <c r="FI49" s="101">
        <f t="shared" si="735"/>
        <v>2.1776199407911897E-3</v>
      </c>
      <c r="FJ49" s="94">
        <f t="shared" si="736"/>
        <v>7.4125095772239446E-7</v>
      </c>
      <c r="FK49" s="94">
        <f t="shared" si="737"/>
        <v>8.1941835953075012E-5</v>
      </c>
      <c r="FL49" s="94">
        <f t="shared" si="738"/>
        <v>9.2188383585133458E-3</v>
      </c>
      <c r="FM49" s="94">
        <f t="shared" si="739"/>
        <v>9.2698145486504794E-6</v>
      </c>
      <c r="FN49" s="95">
        <f t="shared" si="740"/>
        <v>4.3628673107866384E-5</v>
      </c>
      <c r="FO49" s="199"/>
      <c r="FP49" s="101">
        <f>IF(EL49&lt;&gt;"",LOG(FF49*FJ49/Minerals!$C$6),"")</f>
        <v>-0.77825403674318039</v>
      </c>
      <c r="FQ49" s="94">
        <f>IF(EL49&lt;&gt;"",LOG(FF49*FJ49/Minerals!$C$5),"")</f>
        <v>-0.90873356609939804</v>
      </c>
      <c r="FR49" s="94">
        <f>IF(EN49&lt;&gt;"",LOG(FF49*FM49^2/Minerals!$C$2),"")</f>
        <v>-2.6243242744913711</v>
      </c>
      <c r="FS49" s="94">
        <f>IF(EO49&lt;&gt;"",LOG($FF49*$FN49/Minerals!$C$3),"")</f>
        <v>-2.8886389406718815</v>
      </c>
      <c r="FT49" s="95">
        <f>IF(EP49&lt;&gt;"",LOG($FF49*$FN49/Minerals!$C$4),"")</f>
        <v>-3.1286234521377843</v>
      </c>
      <c r="FU49" s="96"/>
      <c r="FV49" s="101">
        <f>IF(FP49&lt;&gt;"",LOG(FF49*FJ49/(EXP(-1*Minerals!$E$6/'Other Constants'!$B$2*(1/(273.15+'ppm-mgL-1'!$D49)-1/298.15)+LN(Minerals!$C$6)))),"")</f>
        <v>-2.6406482643286955</v>
      </c>
      <c r="FW49" s="94">
        <f>IF(FP49&lt;&gt;"",LOG(FF49*FJ49/(EXP(-1*Minerals!$E$5/'Other Constants'!$B$2*(1/(273.15+'ppm-mgL-1'!$D49)-1/298.15)+LN(Minerals!$C$5)))),"")</f>
        <v>-2.771296159715062</v>
      </c>
      <c r="FX49" s="94">
        <f>IF(FR49&lt;&gt;"",LOG(FF49*FM49^2/(EXP(-1*Minerals!$E$2/'Other Constants'!$B$2*(1/(273.15+'ppm-mgL-1'!$D49)-1/298.15)+LN(Minerals!$C$2)))),"")</f>
        <v>-2.5455850943919867</v>
      </c>
      <c r="FY49" s="94">
        <f>IF(FS49&lt;&gt;"",LOG($FF49*$FN49/(EXP(-1*Minerals!$E$3/'Other Constants'!$B$2*(1/(273.15+'ppm-mgL-1'!$D49)-1/298.15)+LN(Minerals!$C$3)))),"")</f>
        <v>-1.2831902723931699</v>
      </c>
      <c r="FZ49" s="95">
        <f>IF(FT49&lt;&gt;"",LOG($FF49*$FN49/(EXP(-1*Minerals!$E$4/'Other Constants'!$B$2*(1/(273.15+'ppm-mgL-1'!$D49)-1/298.15)+LN(Minerals!$C$4)))),"")</f>
        <v>-3.1746154393733121</v>
      </c>
      <c r="GA49" s="96"/>
      <c r="GB49" s="96"/>
      <c r="GC49" s="101">
        <f>10^(-1825000*(79.755*EXP(-0.0046*($D49-20))*($D49+273.15))^-1.5*$EK49^0.5/(1+'Elements and ions'!$D$12*$EK49^0.5/(2*(79.755*EXP(-0.0046*($D49-20))*($D49+273.15))^0.5)))</f>
        <v>0.89348283263355688</v>
      </c>
      <c r="GD49" s="94">
        <f>10^(-1825000*(79.755*EXP(-0.0046*($D49-20))*($D49+273.15))^-1.5*$EK49^0.5/(1+'Elements and ions'!$D$20*$EK49^0.5/(2*(79.755*EXP(-0.0046*($D49-20))*($D49+273.15))^0.5)))</f>
        <v>0.89023499906283021</v>
      </c>
      <c r="GE49" s="94">
        <f>10^(-1825000*(79.755*EXP(-0.0046*($D49-20))*($D49+273.15))^-1.5*4*$EK49^0.5/(1+'Elements and ions'!$D$21*$EK49^0.5/(2*(79.755*EXP(-0.0046*($D49-20))*($D49+273.15))^0.5)))</f>
        <v>0.65445301274247414</v>
      </c>
      <c r="GF49" s="94">
        <f>10^(-1825000*(79.755*EXP(-0.0046*($D49-20))*($D49+273.15))^-1.5*4*$EK49^0.5/(1+'Elements and ions'!$D$13*$EK49^0.5/(2*(79.755*EXP(-0.0046*($D49-20))*($D49+273.15))^0.5)))</f>
        <v>0.67008208013918269</v>
      </c>
      <c r="GG49" s="95">
        <f>10^(-1825000*(79.755*EXP(-0.0046*($D49-20))*($D49+273.15))^-1.5*4*$EK49^0.5/(1+'Elements and ions'!$D$27*$EK49^0.5/(2*(79.755*EXP(-0.0046*($D49-20))*($D49+273.15))^0.5)))</f>
        <v>0.65445301274247414</v>
      </c>
      <c r="GH49" s="101">
        <f>10^(-1825000*(79.755*EXP(-0.0046*($D49-20))*($D49+273.15))^-1.5*$EK49^0.5/(1+'Elements and ions'!$G$3*$EK49^0.5/(2*(79.755*EXP(-0.0046*($D49-20))*($D49+273.15))^0.5)))</f>
        <v>0.88160911872650916</v>
      </c>
      <c r="GI49" s="94">
        <f>10^(-1825000*(79.755*EXP(-0.0046*($D49-20))*($D49+273.15))^-1.5*4*$EK49^0.5/(1+'Elements and ions'!$G$4*$EK49^0.5/(2*(79.755*EXP(-0.0046*($D49-20))*($D49+273.15))^0.5)))</f>
        <v>0.60398611469027474</v>
      </c>
      <c r="GJ49" s="94">
        <f>10^(-1825000*(79.755*EXP(-0.0046*($D49-20))*($D49+273.15))^-1.5*$EK49^0.5/(1+'Elements and ions'!$D$18*$EK49^0.5/(2*(79.755*EXP(-0.0046*($D49-20))*($D49+273.15))^0.5)))</f>
        <v>0.89023499906283021</v>
      </c>
      <c r="GK49" s="94">
        <f>10^(-1825000*(79.755*EXP(-0.0046*($D49-20))*($D49+273.15))^-1.5*$EK49^0.5/(1+'Elements and ions'!$I$7*$EK49^0.5/(2*(79.755*EXP(-0.0046*($D49-20))*($D49+273.15))^0.5)))</f>
        <v>0.89023499906283021</v>
      </c>
      <c r="GL49" s="94">
        <f>10^(-1825000*(79.755*EXP(-0.0046*($D49-20))*($D49+273.15))^-1.5*$EK49^0.5/(1+'Elements and ions'!$D$10*$EK49^0.5/(2*(79.755*EXP(-0.0046*($D49-20))*($D49+273.15))^0.5)))</f>
        <v>0.89188327345656859</v>
      </c>
      <c r="GM49" s="95">
        <f>10^(-1825000*(79.755*EXP(-0.0046*($D49-20))*($D49+273.15))^-1.5*4*$EK49^0.5/(1+'Elements and ions'!$I$5*$EK49^0.5/(2*(79.755*EXP(-0.0046*($D49-20))*($D49+273.15))^0.5)))</f>
        <v>0.63730136632581469</v>
      </c>
      <c r="GN49" s="96"/>
      <c r="GO49" s="101">
        <f t="shared" si="741"/>
        <v>9.660127084119953E-5</v>
      </c>
      <c r="GP49" s="94">
        <f t="shared" si="742"/>
        <v>4.7667212398954303E-5</v>
      </c>
      <c r="GQ49" s="94">
        <f t="shared" si="743"/>
        <v>7.6708398759376263E-4</v>
      </c>
      <c r="GR49" s="94">
        <f t="shared" si="744"/>
        <v>8.4953339713675279E-5</v>
      </c>
      <c r="GS49" s="95" t="str">
        <f t="shared" si="745"/>
        <v/>
      </c>
      <c r="GT49" s="101">
        <f t="shared" si="746"/>
        <v>2.1507854876548281E-3</v>
      </c>
      <c r="GU49" s="94">
        <f t="shared" si="747"/>
        <v>7.0525793049211535E-7</v>
      </c>
      <c r="GV49" s="94">
        <f t="shared" si="748"/>
        <v>8.1723939524155553E-5</v>
      </c>
      <c r="GW49" s="94">
        <f t="shared" si="749"/>
        <v>9.1943239949560506E-3</v>
      </c>
      <c r="GX49" s="94">
        <f t="shared" si="750"/>
        <v>9.262282098159755E-6</v>
      </c>
      <c r="GY49" s="102">
        <f t="shared" si="751"/>
        <v>4.3799848750915143E-5</v>
      </c>
      <c r="GZ49" s="199"/>
      <c r="HA49" s="92">
        <f>IF(AND(GQ49&lt;&gt;"",GU49&lt;&gt;""),LOG(GQ49*GU49/Minerals!$C$6),"")</f>
        <v>-0.78663709815096439</v>
      </c>
      <c r="HB49" s="94">
        <f>IF(AND(GQ49&lt;&gt;"",GU49&lt;&gt;""),LOG(GQ49*GU49/Minerals!$C$5),"")</f>
        <v>-0.91711662750718204</v>
      </c>
      <c r="HC49" s="94">
        <f>IF(AND(GQ49&lt;&gt;"",GX49&lt;&gt;""),LOG(GQ49*GX49^2/Minerals!$C$2),"")</f>
        <v>-2.6117961303056267</v>
      </c>
      <c r="HD49" s="94">
        <f>IF(AND(GQ49&lt;&gt;"",GY49&lt;&gt;""),LOG($GQ49*$GY49/Minerals!$C$3),"")</f>
        <v>-2.8737041070481553</v>
      </c>
      <c r="HE49" s="102">
        <f>IF(AND(GQ49&lt;&gt;"",GY49&lt;&gt;""),LOG($GQ49*$GY49/Minerals!$C$3),"")</f>
        <v>-2.8737041070481553</v>
      </c>
      <c r="HF49" s="199"/>
      <c r="HG49" s="92">
        <f>IF(HA49&lt;&gt;"",LOG(GQ49*GU49/(EXP(-1*Minerals!$E$6/'Other Constants'!$B$2*(1/(273.15+'ppm-mgL-1'!$D49)-1/298.15)+LN(Minerals!$C$6)))),"")</f>
        <v>-2.6490313257364795</v>
      </c>
      <c r="HH49" s="94">
        <f>IF(HA49&lt;&gt;"",LOG(GQ49*GU49/(EXP(-1*Minerals!$E$5/'Other Constants'!$B$2*(1/(273.15+'ppm-mgL-1'!$D49)-1/298.15)+LN(Minerals!$C$5)))),"")</f>
        <v>-2.779679221122846</v>
      </c>
      <c r="HI49" s="94">
        <f>IF(HC49&lt;&gt;"",LOG(GQ49*GX49^2/(EXP(-1*Minerals!$E$2/'Other Constants'!$B$2*(1/(273.15+'ppm-mgL-1'!$D49)-1/298.15)+LN(Minerals!$C$2)))),"")</f>
        <v>-2.5330569502062423</v>
      </c>
      <c r="HJ49" s="94">
        <f>IF(HD49&lt;&gt;"",LOG($FF49*$FN49/(EXP(-1*Minerals!$E$3/'Other Constants'!$B$2*(1/(273.15+'ppm-mgL-1'!$D49)-1/298.15)+LN(Minerals!$C$3)))),"")</f>
        <v>-1.2831902723931699</v>
      </c>
      <c r="HK49" s="95">
        <f>IF(HE49&lt;&gt;"",LOG($FF49*$FN49/(EXP(-1*Minerals!$E$4/'Other Constants'!$B$2*(1/(273.15+'ppm-mgL-1'!$D49)-1/298.15)+LN(Minerals!$C$4)))),"")</f>
        <v>-3.1746154393733121</v>
      </c>
      <c r="HL49" s="199"/>
      <c r="HM49" s="199"/>
    </row>
    <row r="50" spans="1:221" x14ac:dyDescent="0.25">
      <c r="A50" s="267" t="str">
        <f>'WC samples'!B21</f>
        <v>ISCD Indirect</v>
      </c>
      <c r="C50" s="266">
        <f>'WC samples'!A21</f>
        <v>41594</v>
      </c>
      <c r="D50" s="4">
        <f>'WC samples'!I21</f>
        <v>20.9</v>
      </c>
      <c r="E50" s="4">
        <f>'WC samples'!F21</f>
        <v>8.2100000000000009</v>
      </c>
      <c r="AD50" s="83">
        <f>IF(E50&lt;&gt;"",10^(-2*$E50)/(10^(-2*$E50)+10^(-$E50-pKa!$B$2)+(10^(-pKa!$B$2-pKa!$C$2))),"")</f>
        <v>1.2056364216775549E-2</v>
      </c>
      <c r="AE50" s="84">
        <f>IF(E50&lt;&gt;"",10^(-$E50-pKa!$B$2)/(10^(-2*$E50)+10^(-$E50-pKa!$B$2)+10^(-pKa!$B$2-pKa!$C$2)),"")</f>
        <v>0.97997807493840761</v>
      </c>
      <c r="AF50" s="212">
        <f>IF(E50&lt;&gt;"",10^(-pKa!$B$2-pKa!$C$2)/(10^(-2*$E50)+10^(-$E50-pKa!$B$2)+10^(-pKa!$B$2-pKa!$C$2)),"")</f>
        <v>7.9655608448168502E-3</v>
      </c>
      <c r="AG50" s="152"/>
      <c r="AH50" s="222">
        <f>IF($AK50&lt;&gt;"",$AK50/'Elements and ions'!$G$3,IF($E50="","",""))</f>
        <v>2.9663941954385056</v>
      </c>
      <c r="AI50" s="85">
        <f t="shared" si="688"/>
        <v>2.9785773540780608E-3</v>
      </c>
      <c r="AJ50" s="84">
        <f>IF(AI50&lt;&gt;"",AI50*1000*'Elements and ions'!$B$7,"")</f>
        <v>35.774799026625367</v>
      </c>
      <c r="AK50" s="99">
        <f>'WC samples'!H21</f>
        <v>181</v>
      </c>
      <c r="AL50" s="88">
        <f>IF($AK50&lt;&gt;"",$AK50/'Elements and ions'!$G$3*Minerals!$B$6/2,IF($E50="","","Enter Alk(HCO3-)"))</f>
        <v>148.44859959971708</v>
      </c>
      <c r="AM50" s="199"/>
      <c r="AN50" s="101">
        <f t="shared" si="491"/>
        <v>3.5910813428604727E-5</v>
      </c>
      <c r="AO50" s="94">
        <f t="shared" si="492"/>
        <v>2.9189405015045537E-3</v>
      </c>
      <c r="AP50" s="95">
        <f t="shared" si="493"/>
        <v>2.3726039144902376E-5</v>
      </c>
      <c r="AQ50" s="199"/>
      <c r="AR50" s="199"/>
      <c r="AS50" s="83">
        <f t="shared" si="66"/>
        <v>0.10562003949589625</v>
      </c>
      <c r="AT50" s="83">
        <f>IF(AN50&lt;&gt;"",AN50/'Henrys law constants'!$B$7*1000000,"")</f>
        <v>1056.2003949589625</v>
      </c>
      <c r="AU50" s="268">
        <f>'WC samples'!K21</f>
        <v>2.9001000000000001</v>
      </c>
      <c r="AV50" s="269">
        <f>'WC samples'!M21</f>
        <v>1.4275</v>
      </c>
      <c r="AW50" s="269">
        <f>'WC samples'!O21</f>
        <v>66.688500000000005</v>
      </c>
      <c r="AX50" s="269">
        <f>'WC samples'!N21</f>
        <v>4.0237999999999996</v>
      </c>
      <c r="AY50" s="226">
        <f>AO50*'Elements and ions'!$G$3*1000</f>
        <v>178.10452554982308</v>
      </c>
      <c r="AZ50" s="269">
        <f>'WC samples'!Q21</f>
        <v>3.7639</v>
      </c>
      <c r="BA50" s="269">
        <f>'WC samples'!T21</f>
        <v>20.166399999999999</v>
      </c>
      <c r="BB50" s="270">
        <f>'WC samples'!V21</f>
        <v>7.7005999999999997</v>
      </c>
      <c r="BC50" s="222">
        <f>IF($E50&lt;&gt;"",10^-$E50*'Elements and ions'!B51*1000,"")</f>
        <v>0</v>
      </c>
      <c r="BE50" s="6"/>
      <c r="BF50" s="6"/>
      <c r="BG50" s="270">
        <f>'WC samples'!L21</f>
        <v>0</v>
      </c>
      <c r="BH50" s="3"/>
      <c r="BJ50" s="92">
        <f>IF($AN50&lt;&gt;"",$AN50*'Elements and ions'!$G$2*1000,"")</f>
        <v>2.2273603025302537</v>
      </c>
      <c r="BK50" s="229"/>
      <c r="BL50" s="230"/>
      <c r="BM50" s="101">
        <f>IF($E50&lt;&gt;"",(10^-14+$E50)*'Elements and ions'!$G$8,"")</f>
        <v>139.63026140000019</v>
      </c>
      <c r="BO50" s="102">
        <f>IF($AP50&lt;&gt;"",$AP50*'Elements and ions'!$G$4*1000,"")</f>
        <v>1.4237735104425322</v>
      </c>
      <c r="BP50" s="269">
        <f>'WC samples'!P21</f>
        <v>0.17660000000000001</v>
      </c>
      <c r="BQ50" s="270">
        <f>'WC samples'!R21</f>
        <v>0</v>
      </c>
      <c r="BR50" s="195"/>
      <c r="BS50" s="238">
        <f>IF($AU50&lt;&gt;"",$AU50/'Elements and ions'!$B$12,"")</f>
        <v>0.12614741647376812</v>
      </c>
      <c r="BT50" s="239">
        <f>IF($AV50&lt;&gt;"",$AV50/'Elements and ions'!$B$20,"")</f>
        <v>3.6510538821380979E-2</v>
      </c>
      <c r="BU50" s="239">
        <f>IF($AW50&lt;&gt;"",$AW50/'Elements and ions'!$B$21, "")</f>
        <v>1.6639677628624183</v>
      </c>
      <c r="BV50" s="240">
        <f>IF($AX50&lt;&gt;"",$AX50/'Elements and ions'!$B$13, "")</f>
        <v>0.16555441267228962</v>
      </c>
      <c r="BW50" s="238">
        <f>IF($AY50&lt;&gt;"",$AY50/'Elements and ions'!$G$3,"")</f>
        <v>2.9189405015045535</v>
      </c>
      <c r="BX50" s="239">
        <f>IF($AZ50&lt;&gt;"",$AZ50/'Elements and ions'!$B$18,"")</f>
        <v>0.10616590979606802</v>
      </c>
      <c r="BY50" s="239">
        <f>IF($BA50&lt;&gt;"",$BA50/'Elements and ions'!$G$7,"")</f>
        <v>0.32523881177132774</v>
      </c>
      <c r="BZ50" s="241">
        <f>IF($BB50&lt;&gt;"",$BB50/'Elements and ions'!$G$5,"")</f>
        <v>8.0162310826481897E-2</v>
      </c>
      <c r="CA50" s="91">
        <f t="shared" si="67"/>
        <v>6.1659500186148016E-6</v>
      </c>
      <c r="CB50" s="163" t="str">
        <f>IF($BD50&lt;&gt;"",$BD50/'Elements and ions'!$B$14,"")</f>
        <v/>
      </c>
      <c r="CC50" s="89" t="str">
        <f>IF($BE50&lt;&gt;"",$BE50/'Elements and ions'!$B$27, "")</f>
        <v/>
      </c>
      <c r="CD50" s="249" t="str">
        <f>IF($BF50&lt;&gt;"",$BF50/'Elements and ions'!$B$26,"")</f>
        <v/>
      </c>
      <c r="CE50" s="250">
        <f>IF($BG50&lt;&gt;"",$BG50/'Elements and ions'!$G$6,"")</f>
        <v>0</v>
      </c>
      <c r="CF50" s="91" t="str">
        <f>IF($BH50&lt;&gt;"",$BH50/'Elements and ions'!$G$15,"")</f>
        <v/>
      </c>
      <c r="CG50" s="89" t="str">
        <f>IF($BI50&lt;&gt;"",$BI50/'Elements and ions'!$G$16,"")</f>
        <v/>
      </c>
      <c r="CH50" s="90">
        <f>IF($BJ50&lt;&gt;"",$BJ50/'Elements and ions'!$G$2,"")</f>
        <v>3.5910813428604728E-2</v>
      </c>
      <c r="CI50" s="91" t="str">
        <f>IF($BK50&lt;&gt;"",$BK50/'Elements and ions'!$B$15, "")</f>
        <v/>
      </c>
      <c r="CJ50" s="88" t="str">
        <f>IF($BL50&lt;&gt;"", $BL50/'Elements and ions'!$G$17,"")</f>
        <v/>
      </c>
      <c r="CK50" s="89">
        <f t="shared" si="68"/>
        <v>1.6218100973589304E-3</v>
      </c>
      <c r="CL50" s="163" t="str">
        <f>IF($BN50&lt;&gt;"", $BN50/'Elements and ions'!$G$19,"")</f>
        <v/>
      </c>
      <c r="CM50" s="89">
        <f>IF($BO50&lt;&gt;"",$BO50/'Elements and ions'!$G$4,"")</f>
        <v>2.3726039144902376E-2</v>
      </c>
      <c r="CN50" s="89">
        <f>IF($BP50&lt;&gt;"",$BP50/'Elements and ions'!$B$10,"")</f>
        <v>9.2955180570122881E-3</v>
      </c>
      <c r="CO50" s="104">
        <f>IF($BQ50&lt;&gt;"",$BQ50/'Elements and ions'!$G$18,"")</f>
        <v>0</v>
      </c>
      <c r="CP50" s="242"/>
      <c r="CQ50" s="238">
        <f t="shared" si="689"/>
        <v>1.2614741647376811E-4</v>
      </c>
      <c r="CR50" s="239">
        <f t="shared" si="690"/>
        <v>3.6510538821380981E-5</v>
      </c>
      <c r="CS50" s="239">
        <f t="shared" si="691"/>
        <v>1.6639677628624183E-3</v>
      </c>
      <c r="CT50" s="241">
        <f t="shared" si="692"/>
        <v>1.6555441267228962E-4</v>
      </c>
      <c r="CU50" s="238">
        <f t="shared" si="693"/>
        <v>2.9189405015045537E-3</v>
      </c>
      <c r="CV50" s="239">
        <f t="shared" si="694"/>
        <v>1.0616590979606802E-4</v>
      </c>
      <c r="CW50" s="239">
        <f t="shared" si="695"/>
        <v>3.2523881177132772E-4</v>
      </c>
      <c r="CX50" s="241">
        <f t="shared" si="696"/>
        <v>8.0162310826481899E-5</v>
      </c>
      <c r="CY50" s="258">
        <f t="shared" si="98"/>
        <v>6.1659500186148016E-9</v>
      </c>
      <c r="CZ50" s="259" t="str">
        <f t="shared" si="697"/>
        <v/>
      </c>
      <c r="DA50" s="260" t="str">
        <f t="shared" si="698"/>
        <v/>
      </c>
      <c r="DB50" s="261" t="str">
        <f t="shared" si="699"/>
        <v/>
      </c>
      <c r="DC50" s="262">
        <f t="shared" si="700"/>
        <v>0</v>
      </c>
      <c r="DD50" s="263" t="str">
        <f t="shared" si="701"/>
        <v/>
      </c>
      <c r="DE50" s="259" t="str">
        <f t="shared" si="702"/>
        <v/>
      </c>
      <c r="DF50" s="260">
        <f t="shared" si="703"/>
        <v>3.5910813428604727E-5</v>
      </c>
      <c r="DG50" s="260" t="str">
        <f t="shared" si="704"/>
        <v/>
      </c>
      <c r="DH50" s="264" t="str">
        <f t="shared" si="705"/>
        <v/>
      </c>
      <c r="DI50" s="258">
        <f t="shared" si="108"/>
        <v>1.6218100973589304E-6</v>
      </c>
      <c r="DJ50" s="260" t="str">
        <f t="shared" si="706"/>
        <v/>
      </c>
      <c r="DK50" s="260">
        <f t="shared" si="707"/>
        <v>2.3726039144902376E-5</v>
      </c>
      <c r="DL50" s="260">
        <f t="shared" si="708"/>
        <v>9.2955180570122887E-6</v>
      </c>
      <c r="DM50" s="265">
        <f t="shared" si="709"/>
        <v>0</v>
      </c>
      <c r="DN50" s="242"/>
      <c r="DO50" s="238">
        <f t="shared" si="710"/>
        <v>0.12614741647376812</v>
      </c>
      <c r="DP50" s="239">
        <f t="shared" si="711"/>
        <v>3.6510538821380979E-2</v>
      </c>
      <c r="DQ50" s="239">
        <f t="shared" si="712"/>
        <v>3.3279355257248366</v>
      </c>
      <c r="DR50" s="241">
        <f t="shared" si="713"/>
        <v>0.33110882534457925</v>
      </c>
      <c r="DS50" s="238">
        <f t="shared" si="714"/>
        <v>-2.9189405015045535</v>
      </c>
      <c r="DT50" s="239">
        <f t="shared" si="715"/>
        <v>-0.10616590979606802</v>
      </c>
      <c r="DU50" s="239">
        <f t="shared" si="716"/>
        <v>-0.32523881177132774</v>
      </c>
      <c r="DV50" s="241">
        <f t="shared" si="717"/>
        <v>-0.16032462165296379</v>
      </c>
      <c r="DW50" s="91">
        <f t="shared" si="113"/>
        <v>6.1659500186148016E-6</v>
      </c>
      <c r="DX50" s="89">
        <f t="shared" si="718"/>
        <v>0</v>
      </c>
      <c r="DY50" s="89">
        <f t="shared" si="719"/>
        <v>0</v>
      </c>
      <c r="DZ50" s="89">
        <f t="shared" si="720"/>
        <v>0</v>
      </c>
      <c r="EA50" s="90">
        <f t="shared" si="721"/>
        <v>0</v>
      </c>
      <c r="EB50" s="91">
        <f t="shared" si="118"/>
        <v>-1.6218100973589304E-3</v>
      </c>
      <c r="EC50" s="89">
        <f t="shared" si="722"/>
        <v>0</v>
      </c>
      <c r="ED50" s="89">
        <f t="shared" si="723"/>
        <v>-4.7452078289804751E-2</v>
      </c>
      <c r="EE50" s="89">
        <f t="shared" si="724"/>
        <v>-9.2955180570122881E-3</v>
      </c>
      <c r="EF50" s="90">
        <f t="shared" si="725"/>
        <v>0</v>
      </c>
      <c r="EG50" s="242"/>
      <c r="EH50" s="245">
        <f t="shared" si="726"/>
        <v>3.8217084723145835</v>
      </c>
      <c r="EI50" s="246">
        <f t="shared" si="727"/>
        <v>-3.5690392511690892</v>
      </c>
      <c r="EJ50" s="198">
        <f t="shared" si="728"/>
        <v>3.4187233903635024</v>
      </c>
      <c r="EK50" s="198">
        <f t="shared" si="729"/>
        <v>9.399887293656815E-3</v>
      </c>
      <c r="EL50" s="101">
        <f>IF(AND(CS50&lt;&gt;"",DK50&lt;&gt;""),LOG(CS50*DK50/Minerals!$C$6),"")</f>
        <v>1.0765421569852063</v>
      </c>
      <c r="EM50" s="94">
        <f>IF(AND(CS50&lt;&gt;"",DK50&lt;&gt;""),LOG(CS50*DK50/Minerals!$C$5),"")</f>
        <v>0.94606262762898841</v>
      </c>
      <c r="EN50" s="94">
        <f>IF(AND(CS50&lt;&gt;"",DL50&lt;&gt;""),LOG(CS50*DL50^2/Minerals!$C$2),"")</f>
        <v>-2.2723829496970525</v>
      </c>
      <c r="EO50" s="94">
        <f>IF(AND(CS50&lt;&gt;"",CX50&lt;&gt;""),LOG($CS50*$CX50/Minerals!$C$3),"")</f>
        <v>-2.2749044988572793</v>
      </c>
      <c r="EP50" s="95">
        <f>IF(AND(CS50&lt;&gt;"",CX50&lt;&gt;""),LOG($CS50*$CX50/Minerals!$C$4),"")</f>
        <v>-2.5148890103231816</v>
      </c>
      <c r="EQ50" s="199"/>
      <c r="ER50" s="101">
        <f t="shared" si="621"/>
        <v>0.90325013721317515</v>
      </c>
      <c r="ES50" s="94">
        <f t="shared" si="621"/>
        <v>0.90325013721317515</v>
      </c>
      <c r="ET50" s="94">
        <f t="shared" si="622"/>
        <v>0.66562886190676307</v>
      </c>
      <c r="EU50" s="94">
        <f t="shared" si="622"/>
        <v>0.66562886190676307</v>
      </c>
      <c r="EV50" s="95">
        <f t="shared" si="622"/>
        <v>0.66562886190676307</v>
      </c>
      <c r="EW50" s="101">
        <f t="shared" si="623"/>
        <v>0.90325013721317515</v>
      </c>
      <c r="EX50" s="94">
        <f t="shared" si="31"/>
        <v>0.66562886190676307</v>
      </c>
      <c r="EY50" s="94">
        <f t="shared" si="623"/>
        <v>0.90325013721317515</v>
      </c>
      <c r="EZ50" s="94">
        <f t="shared" si="623"/>
        <v>0.90325013721317515</v>
      </c>
      <c r="FA50" s="94">
        <f t="shared" si="165"/>
        <v>0.90325013721317515</v>
      </c>
      <c r="FB50" s="95">
        <f t="shared" si="32"/>
        <v>0.66562886190676307</v>
      </c>
      <c r="FC50" s="199"/>
      <c r="FD50" s="101">
        <f t="shared" si="730"/>
        <v>1.1394267123901859E-4</v>
      </c>
      <c r="FE50" s="94">
        <f t="shared" si="731"/>
        <v>3.2978149200139326E-5</v>
      </c>
      <c r="FF50" s="94">
        <f t="shared" si="732"/>
        <v>1.1075849682436541E-3</v>
      </c>
      <c r="FG50" s="94">
        <f t="shared" si="733"/>
        <v>1.1019779529069874E-4</v>
      </c>
      <c r="FH50" s="95" t="str">
        <f t="shared" si="734"/>
        <v/>
      </c>
      <c r="FI50" s="101">
        <f t="shared" si="735"/>
        <v>2.6365334085010823E-3</v>
      </c>
      <c r="FJ50" s="94">
        <f t="shared" si="736"/>
        <v>1.5792736433576678E-5</v>
      </c>
      <c r="FK50" s="94">
        <f t="shared" si="737"/>
        <v>9.5894372590660013E-5</v>
      </c>
      <c r="FL50" s="94">
        <f t="shared" si="738"/>
        <v>2.9377200135950179E-4</v>
      </c>
      <c r="FM50" s="94">
        <f t="shared" si="739"/>
        <v>8.3961779604638978E-6</v>
      </c>
      <c r="FN50" s="95">
        <f t="shared" si="740"/>
        <v>5.3358347723247338E-5</v>
      </c>
      <c r="FO50" s="199"/>
      <c r="FP50" s="101">
        <f>IF(EL50&lt;&gt;"",LOG(FF50*FJ50/Minerals!$C$6),"")</f>
        <v>0.72300644669684166</v>
      </c>
      <c r="FQ50" s="94">
        <f>IF(EL50&lt;&gt;"",LOG(FF50*FJ50/Minerals!$C$5),"")</f>
        <v>0.59252691734062402</v>
      </c>
      <c r="FR50" s="94">
        <f>IF(EN50&lt;&gt;"",LOG(FF50*FM50^2/Minerals!$C$2),"")</f>
        <v>-2.5375347324133259</v>
      </c>
      <c r="FS50" s="94">
        <f>IF(EO50&lt;&gt;"",LOG($FF50*$FN50/Minerals!$C$3),"")</f>
        <v>-2.6284402091456438</v>
      </c>
      <c r="FT50" s="95">
        <f>IF(EP50&lt;&gt;"",LOG($FF50*$FN50/Minerals!$C$4),"")</f>
        <v>-2.8684247206115461</v>
      </c>
      <c r="FU50" s="96"/>
      <c r="FV50" s="101">
        <f>IF(FP50&lt;&gt;"",LOG(FF50*FJ50/(EXP(-1*Minerals!$E$6/'Other Constants'!$B$2*(1/(273.15+'ppm-mgL-1'!$D50)-1/298.15)+LN(Minerals!$C$6)))),"")</f>
        <v>-0.89832029462909824</v>
      </c>
      <c r="FW50" s="94">
        <f>IF(FP50&lt;&gt;"",LOG(FF50*FJ50/(EXP(-1*Minerals!$E$5/'Other Constants'!$B$2*(1/(273.15+'ppm-mgL-1'!$D50)-1/298.15)+LN(Minerals!$C$5)))),"")</f>
        <v>-1.0289463967908836</v>
      </c>
      <c r="FX50" s="94">
        <f>IF(FR50&lt;&gt;"",LOG(FF50*FM50^2/(EXP(-1*Minerals!$E$2/'Other Constants'!$B$2*(1/(273.15+'ppm-mgL-1'!$D50)-1/298.15)+LN(Minerals!$C$2)))),"")</f>
        <v>-2.4689875170094644</v>
      </c>
      <c r="FY50" s="94">
        <f>IF(FS50&lt;&gt;"",LOG($FF50*$FN50/(EXP(-1*Minerals!$E$3/'Other Constants'!$B$2*(1/(273.15+'ppm-mgL-1'!$D50)-1/298.15)+LN(Minerals!$C$3)))),"")</f>
        <v>-1.23080010741435</v>
      </c>
      <c r="FZ50" s="95">
        <f>IF(FT50&lt;&gt;"",LOG($FF50*$FN50/(EXP(-1*Minerals!$E$4/'Other Constants'!$B$2*(1/(273.15+'ppm-mgL-1'!$D50)-1/298.15)+LN(Minerals!$C$4)))),"")</f>
        <v>-2.9084635253324755</v>
      </c>
      <c r="GA50" s="96"/>
      <c r="GB50" s="96"/>
      <c r="GC50" s="101">
        <f>10^(-1825000*(79.755*EXP(-0.0046*($D50-20))*($D50+273.15))^-1.5*$EK50^0.5/(1+'Elements and ions'!$D$12*$EK50^0.5/(2*(79.755*EXP(-0.0046*($D50-20))*($D50+273.15))^0.5)))</f>
        <v>0.90366606194647159</v>
      </c>
      <c r="GD50" s="94">
        <f>10^(-1825000*(79.755*EXP(-0.0046*($D50-20))*($D50+273.15))^-1.5*$EK50^0.5/(1+'Elements and ions'!$D$20*$EK50^0.5/(2*(79.755*EXP(-0.0046*($D50-20))*($D50+273.15))^0.5)))</f>
        <v>0.90101863958839534</v>
      </c>
      <c r="GE50" s="94">
        <f>10^(-1825000*(79.755*EXP(-0.0046*($D50-20))*($D50+273.15))^-1.5*4*$EK50^0.5/(1+'Elements and ions'!$D$21*$EK50^0.5/(2*(79.755*EXP(-0.0046*($D50-20))*($D50+273.15))^0.5)))</f>
        <v>0.68141317654350553</v>
      </c>
      <c r="GF50" s="94">
        <f>10^(-1825000*(79.755*EXP(-0.0046*($D50-20))*($D50+273.15))^-1.5*4*$EK50^0.5/(1+'Elements and ions'!$D$13*$EK50^0.5/(2*(79.755*EXP(-0.0046*($D50-20))*($D50+273.15))^0.5)))</f>
        <v>0.69476836921285656</v>
      </c>
      <c r="GG50" s="95">
        <f>10^(-1825000*(79.755*EXP(-0.0046*($D50-20))*($D50+273.15))^-1.5*4*$EK50^0.5/(1+'Elements and ions'!$D$27*$EK50^0.5/(2*(79.755*EXP(-0.0046*($D50-20))*($D50+273.15))^0.5)))</f>
        <v>0.68141317654350553</v>
      </c>
      <c r="GH50" s="101">
        <f>10^(-1825000*(79.755*EXP(-0.0046*($D50-20))*($D50+273.15))^-1.5*$EK50^0.5/(1+'Elements and ions'!$G$3*$EK50^0.5/(2*(79.755*EXP(-0.0046*($D50-20))*($D50+273.15))^0.5)))</f>
        <v>0.89406160251396516</v>
      </c>
      <c r="GI50" s="94">
        <f>10^(-1825000*(79.755*EXP(-0.0046*($D50-20))*($D50+273.15))^-1.5*4*$EK50^0.5/(1+'Elements and ions'!$G$4*$EK50^0.5/(2*(79.755*EXP(-0.0046*($D50-20))*($D50+273.15))^0.5)))</f>
        <v>0.63886447599349772</v>
      </c>
      <c r="GJ50" s="94">
        <f>10^(-1825000*(79.755*EXP(-0.0046*($D50-20))*($D50+273.15))^-1.5*$EK50^0.5/(1+'Elements and ions'!$D$18*$EK50^0.5/(2*(79.755*EXP(-0.0046*($D50-20))*($D50+273.15))^0.5)))</f>
        <v>0.90101863958839534</v>
      </c>
      <c r="GK50" s="94">
        <f>10^(-1825000*(79.755*EXP(-0.0046*($D50-20))*($D50+273.15))^-1.5*$EK50^0.5/(1+'Elements and ions'!$I$7*$EK50^0.5/(2*(79.755*EXP(-0.0046*($D50-20))*($D50+273.15))^0.5)))</f>
        <v>0.90101863958839534</v>
      </c>
      <c r="GL50" s="94">
        <f>10^(-1825000*(79.755*EXP(-0.0046*($D50-20))*($D50+273.15))^-1.5*$EK50^0.5/(1+'Elements and ions'!$D$10*$EK50^0.5/(2*(79.755*EXP(-0.0046*($D50-20))*($D50+273.15))^0.5)))</f>
        <v>0.90236027653420081</v>
      </c>
      <c r="GM50" s="95">
        <f>10^(-1825000*(79.755*EXP(-0.0046*($D50-20))*($D50+273.15))^-1.5*4*$EK50^0.5/(1+'Elements and ions'!$I$5*$EK50^0.5/(2*(79.755*EXP(-0.0046*($D50-20))*($D50+273.15))^0.5)))</f>
        <v>0.66685573264497011</v>
      </c>
      <c r="GN50" s="96"/>
      <c r="GO50" s="101">
        <f t="shared" si="741"/>
        <v>1.1399513906957149E-4</v>
      </c>
      <c r="GP50" s="94">
        <f t="shared" si="742"/>
        <v>3.2896676019479983E-5</v>
      </c>
      <c r="GQ50" s="94">
        <f t="shared" si="743"/>
        <v>1.1338495589580709E-3</v>
      </c>
      <c r="GR50" s="94">
        <f t="shared" si="744"/>
        <v>1.1502196930831894E-4</v>
      </c>
      <c r="GS50" s="95" t="str">
        <f t="shared" si="745"/>
        <v/>
      </c>
      <c r="GT50" s="101">
        <f t="shared" si="746"/>
        <v>2.6097126224180786E-3</v>
      </c>
      <c r="GU50" s="94">
        <f t="shared" si="747"/>
        <v>1.5157723565709272E-5</v>
      </c>
      <c r="GV50" s="94">
        <f t="shared" si="748"/>
        <v>9.5657463615117497E-5</v>
      </c>
      <c r="GW50" s="94">
        <f t="shared" si="749"/>
        <v>2.9304623172354789E-4</v>
      </c>
      <c r="GX50" s="94">
        <f t="shared" si="750"/>
        <v>8.3879062444542654E-6</v>
      </c>
      <c r="GY50" s="102">
        <f t="shared" si="751"/>
        <v>5.3456696516707406E-5</v>
      </c>
      <c r="GZ50" s="199"/>
      <c r="HA50" s="92">
        <f>IF(AND(GQ50&lt;&gt;"",GU50&lt;&gt;""),LOG(GQ50*GU50/Minerals!$C$6),"")</f>
        <v>0.71536142418159321</v>
      </c>
      <c r="HB50" s="94">
        <f>IF(AND(GQ50&lt;&gt;"",GU50&lt;&gt;""),LOG(GQ50*GU50/Minerals!$C$5),"")</f>
        <v>0.58488189482537556</v>
      </c>
      <c r="HC50" s="94">
        <f>IF(AND(GQ50&lt;&gt;"",GX50&lt;&gt;""),LOG(GQ50*GX50^2/Minerals!$C$2),"")</f>
        <v>-2.5282124850691825</v>
      </c>
      <c r="HD50" s="94">
        <f>IF(AND(GQ50&lt;&gt;"",GY50&lt;&gt;""),LOG($GQ50*$GY50/Minerals!$C$3),"")</f>
        <v>-2.6174620826060955</v>
      </c>
      <c r="HE50" s="102">
        <f>IF(AND(GQ50&lt;&gt;"",GY50&lt;&gt;""),LOG($GQ50*$GY50/Minerals!$C$3),"")</f>
        <v>-2.6174620826060955</v>
      </c>
      <c r="HF50" s="199"/>
      <c r="HG50" s="92">
        <f>IF(HA50&lt;&gt;"",LOG(GQ50*GU50/(EXP(-1*Minerals!$E$6/'Other Constants'!$B$2*(1/(273.15+'ppm-mgL-1'!$D50)-1/298.15)+LN(Minerals!$C$6)))),"")</f>
        <v>-0.90596531714434658</v>
      </c>
      <c r="HH50" s="94">
        <f>IF(HA50&lt;&gt;"",LOG(GQ50*GU50/(EXP(-1*Minerals!$E$5/'Other Constants'!$B$2*(1/(273.15+'ppm-mgL-1'!$D50)-1/298.15)+LN(Minerals!$C$5)))),"")</f>
        <v>-1.0365914193061321</v>
      </c>
      <c r="HI50" s="94">
        <f>IF(HC50&lt;&gt;"",LOG(GQ50*GX50^2/(EXP(-1*Minerals!$E$2/'Other Constants'!$B$2*(1/(273.15+'ppm-mgL-1'!$D50)-1/298.15)+LN(Minerals!$C$2)))),"")</f>
        <v>-2.459665269665321</v>
      </c>
      <c r="HJ50" s="94">
        <f>IF(HD50&lt;&gt;"",LOG($FF50*$FN50/(EXP(-1*Minerals!$E$3/'Other Constants'!$B$2*(1/(273.15+'ppm-mgL-1'!$D50)-1/298.15)+LN(Minerals!$C$3)))),"")</f>
        <v>-1.23080010741435</v>
      </c>
      <c r="HK50" s="95">
        <f>IF(HE50&lt;&gt;"",LOG($FF50*$FN50/(EXP(-1*Minerals!$E$4/'Other Constants'!$B$2*(1/(273.15+'ppm-mgL-1'!$D50)-1/298.15)+LN(Minerals!$C$4)))),"")</f>
        <v>-2.9084635253324755</v>
      </c>
      <c r="HL50" s="199"/>
      <c r="HM50" s="199"/>
    </row>
    <row r="51" spans="1:221" x14ac:dyDescent="0.25">
      <c r="A51" s="267" t="str">
        <f>'WC samples'!B22</f>
        <v>ISCD Indirect</v>
      </c>
      <c r="C51" s="266">
        <f>'WC samples'!A22</f>
        <v>41624</v>
      </c>
      <c r="D51" s="4">
        <f>'WC samples'!I22</f>
        <v>20.2</v>
      </c>
      <c r="E51" s="4">
        <f>'WC samples'!F22</f>
        <v>7.7</v>
      </c>
      <c r="AD51" s="83">
        <f>IF(E51&lt;&gt;"",10^(-2*$E51)/(10^(-2*$E51)+10^(-$E51-pKa!$B$2)+(10^(-pKa!$B$2-pKa!$C$2))),"")</f>
        <v>3.8194237486716409E-2</v>
      </c>
      <c r="AE51" s="84">
        <f>IF(E51&lt;&gt;"",10^(-$E51-pKa!$B$2)/(10^(-2*$E51)+10^(-$E51-pKa!$B$2)+10^(-pKa!$B$2-pKa!$C$2)),"")</f>
        <v>0.95939586904737717</v>
      </c>
      <c r="AF51" s="212">
        <f>IF(E51&lt;&gt;"",10^(-pKa!$B$2-pKa!$C$2)/(10^(-2*$E51)+10^(-$E51-pKa!$B$2)+10^(-pKa!$B$2-pKa!$C$2)),"")</f>
        <v>2.4098934659064369E-3</v>
      </c>
      <c r="AG51" s="152"/>
      <c r="AH51" s="222">
        <f>IF($AK51&lt;&gt;"",$AK51/'Elements and ions'!$G$3,IF($E51="","",""))</f>
        <v>2.6877825859221818</v>
      </c>
      <c r="AI51" s="85">
        <f t="shared" si="688"/>
        <v>2.787532112780359E-3</v>
      </c>
      <c r="AJ51" s="84">
        <f>IF(AI51&lt;&gt;"",AI51*1000*'Elements and ions'!$B$7,"")</f>
        <v>33.48021194697106</v>
      </c>
      <c r="AK51" s="99">
        <f>'WC samples'!H22</f>
        <v>164</v>
      </c>
      <c r="AL51" s="88">
        <f>IF($AK51&lt;&gt;"",$AK51/'Elements and ions'!$G$3*Minerals!$B$6/2,IF($E51="","","Enter Alk(HCO3-)"))</f>
        <v>134.50591344946741</v>
      </c>
      <c r="AM51" s="199"/>
      <c r="AN51" s="101">
        <f t="shared" si="491"/>
        <v>1.0646766351738137E-4</v>
      </c>
      <c r="AO51" s="94">
        <f t="shared" si="492"/>
        <v>2.6743467938383837E-3</v>
      </c>
      <c r="AP51" s="95">
        <f t="shared" si="493"/>
        <v>6.7176554245937516E-6</v>
      </c>
      <c r="AQ51" s="199"/>
      <c r="AR51" s="199"/>
      <c r="AS51" s="83">
        <f t="shared" si="66"/>
        <v>0.31314018681582756</v>
      </c>
      <c r="AT51" s="83">
        <f>IF(AN51&lt;&gt;"",AN51/'Henrys law constants'!$B$7*1000000,"")</f>
        <v>3131.4018681582756</v>
      </c>
      <c r="AU51" s="268">
        <f>'WC samples'!K22</f>
        <v>10.4156</v>
      </c>
      <c r="AV51" s="269">
        <f>'WC samples'!M22</f>
        <v>1.3592</v>
      </c>
      <c r="AW51" s="269">
        <f>'WC samples'!O22</f>
        <v>66.732900000000001</v>
      </c>
      <c r="AX51" s="269">
        <f>'WC samples'!N22</f>
        <v>3.8614999999999999</v>
      </c>
      <c r="AY51" s="226">
        <f>AO51*'Elements and ions'!$G$3*1000</f>
        <v>163.18019042414963</v>
      </c>
      <c r="AZ51" s="269">
        <f>'WC samples'!Q22</f>
        <v>20.669599999999999</v>
      </c>
      <c r="BA51" s="269">
        <f>'WC samples'!T22</f>
        <v>23.095700000000001</v>
      </c>
      <c r="BB51" s="270">
        <f>'WC samples'!V22</f>
        <v>8.6652000000000005</v>
      </c>
      <c r="BC51" s="222">
        <f>IF($E51&lt;&gt;"",10^-$E51*'Elements and ions'!B52*1000,"")</f>
        <v>0</v>
      </c>
      <c r="BE51" s="6"/>
      <c r="BF51" s="6"/>
      <c r="BG51" s="270">
        <f>'WC samples'!L22</f>
        <v>0</v>
      </c>
      <c r="BH51" s="3"/>
      <c r="BJ51" s="92">
        <f>IF($AN51&lt;&gt;"",$AN51*'Elements and ions'!$G$2*1000,"")</f>
        <v>6.603633406779605</v>
      </c>
      <c r="BK51" s="229"/>
      <c r="BL51" s="230"/>
      <c r="BM51" s="101">
        <f>IF($E51&lt;&gt;"",(10^-14+$E51)*'Elements and ions'!$G$8,"")</f>
        <v>130.95651800000016</v>
      </c>
      <c r="BO51" s="102">
        <f>IF($AP51&lt;&gt;"",$AP51*'Elements and ions'!$G$4*1000,"")</f>
        <v>0.40311911260890398</v>
      </c>
      <c r="BP51" s="269">
        <f>'WC samples'!P22</f>
        <v>0.182</v>
      </c>
      <c r="BQ51" s="270">
        <f>'WC samples'!R22</f>
        <v>0</v>
      </c>
      <c r="BR51" s="195"/>
      <c r="BS51" s="238">
        <f>IF($AU51&lt;&gt;"",$AU51/'Elements and ions'!$B$12,"")</f>
        <v>0.45305369850149269</v>
      </c>
      <c r="BT51" s="239">
        <f>IF($AV51&lt;&gt;"",$AV51/'Elements and ions'!$B$20,"")</f>
        <v>3.4763659801065515E-2</v>
      </c>
      <c r="BU51" s="239">
        <f>IF($AW51&lt;&gt;"",$AW51/'Elements and ions'!$B$21, "")</f>
        <v>1.6650756025749787</v>
      </c>
      <c r="BV51" s="240">
        <f>IF($AX51&lt;&gt;"",$AX51/'Elements and ions'!$B$13, "")</f>
        <v>0.15887677432627031</v>
      </c>
      <c r="BW51" s="238">
        <f>IF($AY51&lt;&gt;"",$AY51/'Elements and ions'!$G$3,"")</f>
        <v>2.6743467938383838</v>
      </c>
      <c r="BX51" s="239">
        <f>IF($AZ51&lt;&gt;"",$AZ51/'Elements and ions'!$B$18,"")</f>
        <v>0.58301413138521418</v>
      </c>
      <c r="BY51" s="239">
        <f>IF($BA51&lt;&gt;"",$BA51/'Elements and ions'!$G$7,"")</f>
        <v>0.37248185224071001</v>
      </c>
      <c r="BZ51" s="241">
        <f>IF($BB51&lt;&gt;"",$BB51/'Elements and ions'!$G$5,"")</f>
        <v>9.0203679683872814E-2</v>
      </c>
      <c r="CA51" s="91">
        <f t="shared" si="67"/>
        <v>1.9952623149688773E-5</v>
      </c>
      <c r="CB51" s="163" t="str">
        <f>IF($BD51&lt;&gt;"",$BD51/'Elements and ions'!$B$14,"")</f>
        <v/>
      </c>
      <c r="CC51" s="89" t="str">
        <f>IF($BE51&lt;&gt;"",$BE51/'Elements and ions'!$B$27, "")</f>
        <v/>
      </c>
      <c r="CD51" s="249" t="str">
        <f>IF($BF51&lt;&gt;"",$BF51/'Elements and ions'!$B$26,"")</f>
        <v/>
      </c>
      <c r="CE51" s="250">
        <f>IF($BG51&lt;&gt;"",$BG51/'Elements and ions'!$G$6,"")</f>
        <v>0</v>
      </c>
      <c r="CF51" s="91" t="str">
        <f>IF($BH51&lt;&gt;"",$BH51/'Elements and ions'!$G$15,"")</f>
        <v/>
      </c>
      <c r="CG51" s="89" t="str">
        <f>IF($BI51&lt;&gt;"",$BI51/'Elements and ions'!$G$16,"")</f>
        <v/>
      </c>
      <c r="CH51" s="90">
        <f>IF($BJ51&lt;&gt;"",$BJ51/'Elements and ions'!$G$2,"")</f>
        <v>0.10646766351738138</v>
      </c>
      <c r="CI51" s="91" t="str">
        <f>IF($BK51&lt;&gt;"",$BK51/'Elements and ions'!$B$15, "")</f>
        <v/>
      </c>
      <c r="CJ51" s="88" t="str">
        <f>IF($BL51&lt;&gt;"", $BL51/'Elements and ions'!$G$17,"")</f>
        <v/>
      </c>
      <c r="CK51" s="89">
        <f t="shared" si="68"/>
        <v>5.011872336272722E-4</v>
      </c>
      <c r="CL51" s="163" t="str">
        <f>IF($BN51&lt;&gt;"", $BN51/'Elements and ions'!$G$19,"")</f>
        <v/>
      </c>
      <c r="CM51" s="89">
        <f>IF($BO51&lt;&gt;"",$BO51/'Elements and ions'!$G$4,"")</f>
        <v>6.717655424593752E-3</v>
      </c>
      <c r="CN51" s="89">
        <f>IF($BP51&lt;&gt;"",$BP51/'Elements and ions'!$B$10,"")</f>
        <v>9.5797524709866147E-3</v>
      </c>
      <c r="CO51" s="104">
        <f>IF($BQ51&lt;&gt;"",$BQ51/'Elements and ions'!$G$18,"")</f>
        <v>0</v>
      </c>
      <c r="CP51" s="242"/>
      <c r="CQ51" s="238">
        <f t="shared" si="689"/>
        <v>4.5305369850149268E-4</v>
      </c>
      <c r="CR51" s="239">
        <f t="shared" si="690"/>
        <v>3.4763659801065515E-5</v>
      </c>
      <c r="CS51" s="239">
        <f t="shared" si="691"/>
        <v>1.6650756025749786E-3</v>
      </c>
      <c r="CT51" s="241">
        <f t="shared" si="692"/>
        <v>1.5887677432627033E-4</v>
      </c>
      <c r="CU51" s="238">
        <f t="shared" si="693"/>
        <v>2.6743467938383837E-3</v>
      </c>
      <c r="CV51" s="239">
        <f t="shared" si="694"/>
        <v>5.830141313852142E-4</v>
      </c>
      <c r="CW51" s="239">
        <f t="shared" si="695"/>
        <v>3.7248185224071E-4</v>
      </c>
      <c r="CX51" s="241">
        <f t="shared" si="696"/>
        <v>9.0203679683872813E-5</v>
      </c>
      <c r="CY51" s="258">
        <f t="shared" si="98"/>
        <v>1.9952623149688773E-8</v>
      </c>
      <c r="CZ51" s="259" t="str">
        <f t="shared" si="697"/>
        <v/>
      </c>
      <c r="DA51" s="260" t="str">
        <f t="shared" si="698"/>
        <v/>
      </c>
      <c r="DB51" s="261" t="str">
        <f t="shared" si="699"/>
        <v/>
      </c>
      <c r="DC51" s="262">
        <f t="shared" si="700"/>
        <v>0</v>
      </c>
      <c r="DD51" s="263" t="str">
        <f t="shared" si="701"/>
        <v/>
      </c>
      <c r="DE51" s="259" t="str">
        <f t="shared" si="702"/>
        <v/>
      </c>
      <c r="DF51" s="260">
        <f t="shared" si="703"/>
        <v>1.0646766351738137E-4</v>
      </c>
      <c r="DG51" s="260" t="str">
        <f t="shared" si="704"/>
        <v/>
      </c>
      <c r="DH51" s="264" t="str">
        <f t="shared" si="705"/>
        <v/>
      </c>
      <c r="DI51" s="258">
        <f t="shared" si="108"/>
        <v>5.0118723362727218E-7</v>
      </c>
      <c r="DJ51" s="260" t="str">
        <f t="shared" si="706"/>
        <v/>
      </c>
      <c r="DK51" s="260">
        <f t="shared" si="707"/>
        <v>6.7176554245937516E-6</v>
      </c>
      <c r="DL51" s="260">
        <f t="shared" si="708"/>
        <v>9.5797524709866154E-6</v>
      </c>
      <c r="DM51" s="265">
        <f t="shared" si="709"/>
        <v>0</v>
      </c>
      <c r="DN51" s="242"/>
      <c r="DO51" s="238">
        <f t="shared" si="710"/>
        <v>0.45305369850149269</v>
      </c>
      <c r="DP51" s="239">
        <f t="shared" si="711"/>
        <v>3.4763659801065515E-2</v>
      </c>
      <c r="DQ51" s="239">
        <f t="shared" si="712"/>
        <v>3.3301512051499573</v>
      </c>
      <c r="DR51" s="241">
        <f t="shared" si="713"/>
        <v>0.31775354865254063</v>
      </c>
      <c r="DS51" s="238">
        <f t="shared" si="714"/>
        <v>-2.6743467938383838</v>
      </c>
      <c r="DT51" s="239">
        <f t="shared" si="715"/>
        <v>-0.58301413138521418</v>
      </c>
      <c r="DU51" s="239">
        <f t="shared" si="716"/>
        <v>-0.37248185224071001</v>
      </c>
      <c r="DV51" s="241">
        <f t="shared" si="717"/>
        <v>-0.18040735936774563</v>
      </c>
      <c r="DW51" s="91">
        <f t="shared" si="113"/>
        <v>1.9952623149688773E-5</v>
      </c>
      <c r="DX51" s="89">
        <f t="shared" si="718"/>
        <v>0</v>
      </c>
      <c r="DY51" s="89">
        <f t="shared" si="719"/>
        <v>0</v>
      </c>
      <c r="DZ51" s="89">
        <f t="shared" si="720"/>
        <v>0</v>
      </c>
      <c r="EA51" s="90">
        <f t="shared" si="721"/>
        <v>0</v>
      </c>
      <c r="EB51" s="91">
        <f t="shared" si="118"/>
        <v>-5.011872336272722E-4</v>
      </c>
      <c r="EC51" s="89">
        <f t="shared" si="722"/>
        <v>0</v>
      </c>
      <c r="ED51" s="89">
        <f t="shared" si="723"/>
        <v>-1.3435310849187504E-2</v>
      </c>
      <c r="EE51" s="89">
        <f t="shared" si="724"/>
        <v>-9.5797524709866147E-3</v>
      </c>
      <c r="EF51" s="90">
        <f t="shared" si="725"/>
        <v>0</v>
      </c>
      <c r="EG51" s="242"/>
      <c r="EH51" s="245">
        <f t="shared" si="726"/>
        <v>4.1357420647282064</v>
      </c>
      <c r="EI51" s="246">
        <f t="shared" si="727"/>
        <v>-3.8337663873858547</v>
      </c>
      <c r="EJ51" s="198">
        <f t="shared" si="728"/>
        <v>3.78913805232551</v>
      </c>
      <c r="EK51" s="198">
        <f t="shared" si="729"/>
        <v>9.7202441704594168E-3</v>
      </c>
      <c r="EL51" s="101">
        <f>IF(AND(CS51&lt;&gt;"",DK51&lt;&gt;""),LOG(CS51*DK51/Minerals!$C$6),"")</f>
        <v>0.52882368698410775</v>
      </c>
      <c r="EM51" s="94">
        <f>IF(AND(CS51&lt;&gt;"",DK51&lt;&gt;""),LOG(CS51*DK51/Minerals!$C$5),"")</f>
        <v>0.39834415762789011</v>
      </c>
      <c r="EN51" s="94">
        <f>IF(AND(CS51&lt;&gt;"",DL51&lt;&gt;""),LOG(CS51*DL51^2/Minerals!$C$2),"")</f>
        <v>-2.2459325229913869</v>
      </c>
      <c r="EO51" s="94">
        <f>IF(AND(CS51&lt;&gt;"",CX51&lt;&gt;""),LOG($CS51*$CX51/Minerals!$C$3),"")</f>
        <v>-2.2233614235788712</v>
      </c>
      <c r="EP51" s="95">
        <f>IF(AND(CS51&lt;&gt;"",CX51&lt;&gt;""),LOG($CS51*$CX51/Minerals!$C$4),"")</f>
        <v>-2.4633459350447735</v>
      </c>
      <c r="EQ51" s="199"/>
      <c r="ER51" s="101">
        <f t="shared" si="621"/>
        <v>0.90183753921590915</v>
      </c>
      <c r="ES51" s="94">
        <f t="shared" si="621"/>
        <v>0.90183753921590915</v>
      </c>
      <c r="ET51" s="94">
        <f t="shared" si="622"/>
        <v>0.66147469673614778</v>
      </c>
      <c r="EU51" s="94">
        <f t="shared" si="622"/>
        <v>0.66147469673614778</v>
      </c>
      <c r="EV51" s="95">
        <f t="shared" si="622"/>
        <v>0.66147469673614778</v>
      </c>
      <c r="EW51" s="101">
        <f t="shared" si="623"/>
        <v>0.90183753921590915</v>
      </c>
      <c r="EX51" s="94">
        <f t="shared" si="31"/>
        <v>0.66147469673614778</v>
      </c>
      <c r="EY51" s="94">
        <f t="shared" si="623"/>
        <v>0.90183753921590915</v>
      </c>
      <c r="EZ51" s="94">
        <f t="shared" si="623"/>
        <v>0.90183753921590915</v>
      </c>
      <c r="FA51" s="94">
        <f t="shared" si="165"/>
        <v>0.90183753921590915</v>
      </c>
      <c r="FB51" s="95">
        <f t="shared" si="32"/>
        <v>0.66147469673614778</v>
      </c>
      <c r="FC51" s="199"/>
      <c r="FD51" s="101">
        <f t="shared" si="730"/>
        <v>4.0858083258925255E-4</v>
      </c>
      <c r="FE51" s="94">
        <f t="shared" si="731"/>
        <v>3.1351173409131948E-5</v>
      </c>
      <c r="FF51" s="94">
        <f t="shared" si="732"/>
        <v>1.1014053792560425E-3</v>
      </c>
      <c r="FG51" s="94">
        <f t="shared" si="733"/>
        <v>1.0509296611588706E-4</v>
      </c>
      <c r="FH51" s="95" t="str">
        <f t="shared" si="734"/>
        <v/>
      </c>
      <c r="FI51" s="101">
        <f t="shared" si="735"/>
        <v>2.4118263315651644E-3</v>
      </c>
      <c r="FJ51" s="94">
        <f t="shared" si="736"/>
        <v>4.4435590847610899E-6</v>
      </c>
      <c r="FK51" s="94">
        <f t="shared" si="737"/>
        <v>5.2578402957654234E-4</v>
      </c>
      <c r="FL51" s="94">
        <f t="shared" si="738"/>
        <v>3.3591811702734576E-4</v>
      </c>
      <c r="FM51" s="94">
        <f t="shared" si="739"/>
        <v>8.6393803947320944E-6</v>
      </c>
      <c r="FN51" s="95">
        <f t="shared" si="740"/>
        <v>5.9667451663374382E-5</v>
      </c>
      <c r="FO51" s="199"/>
      <c r="FP51" s="101">
        <f>IF(EL51&lt;&gt;"",LOG(FF51*FJ51/Minerals!$C$6),"")</f>
        <v>0.169850158700705</v>
      </c>
      <c r="FQ51" s="94">
        <f>IF(EL51&lt;&gt;"",LOG(FF51*FJ51/Minerals!$C$5),"")</f>
        <v>3.9370629344487297E-2</v>
      </c>
      <c r="FR51" s="94">
        <f>IF(EN51&lt;&gt;"",LOG(FF51*FM51^2/Minerals!$C$2),"")</f>
        <v>-2.515162669203939</v>
      </c>
      <c r="FS51" s="94">
        <f>IF(EO51&lt;&gt;"",LOG($FF51*$FN51/Minerals!$C$3),"")</f>
        <v>-2.5823349518622742</v>
      </c>
      <c r="FT51" s="95">
        <f>IF(EP51&lt;&gt;"",LOG($FF51*$FN51/Minerals!$C$4),"")</f>
        <v>-2.8223194633281765</v>
      </c>
      <c r="FU51" s="96"/>
      <c r="FV51" s="101">
        <f>IF(FP51&lt;&gt;"",LOG(FF51*FJ51/(EXP(-1*Minerals!$E$6/'Other Constants'!$B$2*(1/(273.15+'ppm-mgL-1'!$D51)-1/298.15)+LN(Minerals!$C$6)))),"")</f>
        <v>-1.7328178569278989</v>
      </c>
      <c r="FW51" s="94">
        <f>IF(FP51&lt;&gt;"",LOG(FF51*FJ51/(EXP(-1*Minerals!$E$5/'Other Constants'!$B$2*(1/(273.15+'ppm-mgL-1'!$D51)-1/298.15)+LN(Minerals!$C$5)))),"")</f>
        <v>-1.8634693931856294</v>
      </c>
      <c r="FX51" s="94">
        <f>IF(FR51&lt;&gt;"",LOG(FF51*FM51^2/(EXP(-1*Minerals!$E$2/'Other Constants'!$B$2*(1/(273.15+'ppm-mgL-1'!$D51)-1/298.15)+LN(Minerals!$C$2)))),"")</f>
        <v>-2.4347207749299513</v>
      </c>
      <c r="FY51" s="94">
        <f>IF(FS51&lt;&gt;"",LOG($FF51*$FN51/(EXP(-1*Minerals!$E$3/'Other Constants'!$B$2*(1/(273.15+'ppm-mgL-1'!$D51)-1/298.15)+LN(Minerals!$C$3)))),"")</f>
        <v>-0.9421688760537178</v>
      </c>
      <c r="FZ51" s="95">
        <f>IF(FT51&lt;&gt;"",LOG($FF51*$FN51/(EXP(-1*Minerals!$E$4/'Other Constants'!$B$2*(1/(273.15+'ppm-mgL-1'!$D51)-1/298.15)+LN(Minerals!$C$4)))),"")</f>
        <v>-2.8693060152579934</v>
      </c>
      <c r="GA51" s="96"/>
      <c r="GB51" s="96"/>
      <c r="GC51" s="101">
        <f>10^(-1825000*(79.755*EXP(-0.0046*($D51-20))*($D51+273.15))^-1.5*$EK51^0.5/(1+'Elements and ions'!$D$12*$EK51^0.5/(2*(79.755*EXP(-0.0046*($D51-20))*($D51+273.15))^0.5)))</f>
        <v>0.90240901828621223</v>
      </c>
      <c r="GD51" s="94">
        <f>10^(-1825000*(79.755*EXP(-0.0046*($D51-20))*($D51+273.15))^-1.5*$EK51^0.5/(1+'Elements and ions'!$D$20*$EK51^0.5/(2*(79.755*EXP(-0.0046*($D51-20))*($D51+273.15))^0.5)))</f>
        <v>0.89968880994543043</v>
      </c>
      <c r="GE51" s="94">
        <f>10^(-1825000*(79.755*EXP(-0.0046*($D51-20))*($D51+273.15))^-1.5*4*$EK51^0.5/(1+'Elements and ions'!$D$21*$EK51^0.5/(2*(79.755*EXP(-0.0046*($D51-20))*($D51+273.15))^0.5)))</f>
        <v>0.67803553222194013</v>
      </c>
      <c r="GF51" s="94">
        <f>10^(-1825000*(79.755*EXP(-0.0046*($D51-20))*($D51+273.15))^-1.5*4*$EK51^0.5/(1+'Elements and ions'!$D$13*$EK51^0.5/(2*(79.755*EXP(-0.0046*($D51-20))*($D51+273.15))^0.5)))</f>
        <v>0.69167642861522738</v>
      </c>
      <c r="GG51" s="95">
        <f>10^(-1825000*(79.755*EXP(-0.0046*($D51-20))*($D51+273.15))^-1.5*4*$EK51^0.5/(1+'Elements and ions'!$D$27*$EK51^0.5/(2*(79.755*EXP(-0.0046*($D51-20))*($D51+273.15))^0.5)))</f>
        <v>0.67803553222194013</v>
      </c>
      <c r="GH51" s="101">
        <f>10^(-1825000*(79.755*EXP(-0.0046*($D51-20))*($D51+273.15))^-1.5*$EK51^0.5/(1+'Elements and ions'!$G$3*$EK51^0.5/(2*(79.755*EXP(-0.0046*($D51-20))*($D51+273.15))^0.5)))</f>
        <v>0.89253063403882005</v>
      </c>
      <c r="GI51" s="94">
        <f>10^(-1825000*(79.755*EXP(-0.0046*($D51-20))*($D51+273.15))^-1.5*4*$EK51^0.5/(1+'Elements and ions'!$G$4*$EK51^0.5/(2*(79.755*EXP(-0.0046*($D51-20))*($D51+273.15))^0.5)))</f>
        <v>0.63449697370783864</v>
      </c>
      <c r="GJ51" s="94">
        <f>10^(-1825000*(79.755*EXP(-0.0046*($D51-20))*($D51+273.15))^-1.5*$EK51^0.5/(1+'Elements and ions'!$D$18*$EK51^0.5/(2*(79.755*EXP(-0.0046*($D51-20))*($D51+273.15))^0.5)))</f>
        <v>0.89968880994543043</v>
      </c>
      <c r="GK51" s="94">
        <f>10^(-1825000*(79.755*EXP(-0.0046*($D51-20))*($D51+273.15))^-1.5*$EK51^0.5/(1+'Elements and ions'!$I$7*$EK51^0.5/(2*(79.755*EXP(-0.0046*($D51-20))*($D51+273.15))^0.5)))</f>
        <v>0.89968880994543043</v>
      </c>
      <c r="GL51" s="94">
        <f>10^(-1825000*(79.755*EXP(-0.0046*($D51-20))*($D51+273.15))^-1.5*$EK51^0.5/(1+'Elements and ions'!$D$10*$EK51^0.5/(2*(79.755*EXP(-0.0046*($D51-20))*($D51+273.15))^0.5)))</f>
        <v>0.90106759122677538</v>
      </c>
      <c r="GM51" s="95">
        <f>10^(-1825000*(79.755*EXP(-0.0046*($D51-20))*($D51+273.15))^-1.5*4*$EK51^0.5/(1+'Elements and ions'!$I$5*$EK51^0.5/(2*(79.755*EXP(-0.0046*($D51-20))*($D51+273.15))^0.5)))</f>
        <v>0.66315295205963587</v>
      </c>
      <c r="GN51" s="96"/>
      <c r="GO51" s="101">
        <f t="shared" si="741"/>
        <v>4.0883974329566957E-4</v>
      </c>
      <c r="GP51" s="94">
        <f t="shared" si="742"/>
        <v>3.127647571576843E-5</v>
      </c>
      <c r="GQ51" s="94">
        <f t="shared" si="743"/>
        <v>1.1289804223816933E-3</v>
      </c>
      <c r="GR51" s="94">
        <f t="shared" si="744"/>
        <v>1.0989131985590211E-4</v>
      </c>
      <c r="GS51" s="95" t="str">
        <f t="shared" si="745"/>
        <v/>
      </c>
      <c r="GT51" s="101">
        <f t="shared" si="746"/>
        <v>2.3869364395442583E-3</v>
      </c>
      <c r="GU51" s="94">
        <f t="shared" si="747"/>
        <v>4.2623320373167809E-6</v>
      </c>
      <c r="GV51" s="94">
        <f t="shared" si="748"/>
        <v>5.2453129004733214E-4</v>
      </c>
      <c r="GW51" s="94">
        <f t="shared" si="749"/>
        <v>3.3511775436871404E-4</v>
      </c>
      <c r="GX51" s="94">
        <f t="shared" si="750"/>
        <v>8.6320044835806597E-6</v>
      </c>
      <c r="GY51" s="102">
        <f t="shared" si="751"/>
        <v>5.9818836469002057E-5</v>
      </c>
      <c r="GZ51" s="199"/>
      <c r="HA51" s="92">
        <f>IF(AND(GQ51&lt;&gt;"",GU51&lt;&gt;""),LOG(GQ51*GU51/Minerals!$C$6),"")</f>
        <v>0.16250569553031055</v>
      </c>
      <c r="HB51" s="94">
        <f>IF(AND(GQ51&lt;&gt;"",GU51&lt;&gt;""),LOG(GQ51*GU51/Minerals!$C$5),"")</f>
        <v>3.2026166174092888E-2</v>
      </c>
      <c r="HC51" s="94">
        <f>IF(AND(GQ51&lt;&gt;"",GX51&lt;&gt;""),LOG(GQ51*GX51^2/Minerals!$C$2),"")</f>
        <v>-2.5051653301435235</v>
      </c>
      <c r="HD51" s="94">
        <f>IF(AND(GQ51&lt;&gt;"",GY51&lt;&gt;""),LOG($GQ51*$GY51/Minerals!$C$3),"")</f>
        <v>-2.570495262810335</v>
      </c>
      <c r="HE51" s="102">
        <f>IF(AND(GQ51&lt;&gt;"",GY51&lt;&gt;""),LOG($GQ51*$GY51/Minerals!$C$3),"")</f>
        <v>-2.570495262810335</v>
      </c>
      <c r="HF51" s="199"/>
      <c r="HG51" s="92">
        <f>IF(HA51&lt;&gt;"",LOG(GQ51*GU51/(EXP(-1*Minerals!$E$6/'Other Constants'!$B$2*(1/(273.15+'ppm-mgL-1'!$D51)-1/298.15)+LN(Minerals!$C$6)))),"")</f>
        <v>-1.7401623200982934</v>
      </c>
      <c r="HH51" s="94">
        <f>IF(HA51&lt;&gt;"",LOG(GQ51*GU51/(EXP(-1*Minerals!$E$5/'Other Constants'!$B$2*(1/(273.15+'ppm-mgL-1'!$D51)-1/298.15)+LN(Minerals!$C$5)))),"")</f>
        <v>-1.8708138563560239</v>
      </c>
      <c r="HI51" s="94">
        <f>IF(HC51&lt;&gt;"",LOG(GQ51*GX51^2/(EXP(-1*Minerals!$E$2/'Other Constants'!$B$2*(1/(273.15+'ppm-mgL-1'!$D51)-1/298.15)+LN(Minerals!$C$2)))),"")</f>
        <v>-2.4247234358695358</v>
      </c>
      <c r="HJ51" s="94">
        <f>IF(HD51&lt;&gt;"",LOG($FF51*$FN51/(EXP(-1*Minerals!$E$3/'Other Constants'!$B$2*(1/(273.15+'ppm-mgL-1'!$D51)-1/298.15)+LN(Minerals!$C$3)))),"")</f>
        <v>-0.9421688760537178</v>
      </c>
      <c r="HK51" s="95">
        <f>IF(HE51&lt;&gt;"",LOG($FF51*$FN51/(EXP(-1*Minerals!$E$4/'Other Constants'!$B$2*(1/(273.15+'ppm-mgL-1'!$D51)-1/298.15)+LN(Minerals!$C$4)))),"")</f>
        <v>-2.8693060152579934</v>
      </c>
      <c r="HL51" s="199"/>
      <c r="HM51" s="199"/>
    </row>
    <row r="52" spans="1:221" x14ac:dyDescent="0.25">
      <c r="A52" s="267" t="str">
        <f>'WC samples'!B23</f>
        <v>ISCD Indirect</v>
      </c>
      <c r="C52" s="266">
        <f>'WC samples'!A23</f>
        <v>41727</v>
      </c>
      <c r="D52" s="4">
        <f>'WC samples'!I23</f>
        <v>21.2</v>
      </c>
      <c r="E52" s="4">
        <f>'WC samples'!F23</f>
        <v>8.33</v>
      </c>
      <c r="AD52" s="83">
        <f>IF(E52&lt;&gt;"",10^(-2*$E52)/(10^(-2*$E52)+10^(-$E52-pKa!$B$2)+(10^(-pKa!$B$2-pKa!$C$2))),"")</f>
        <v>9.149123789063322E-3</v>
      </c>
      <c r="AE52" s="84">
        <f>IF(E52&lt;&gt;"",10^(-$E52-pKa!$B$2)/(10^(-2*$E52)+10^(-$E52-pKa!$B$2)+10^(-pKa!$B$2-pKa!$C$2)),"")</f>
        <v>0.98034627659900042</v>
      </c>
      <c r="AF52" s="212">
        <f>IF(E52&lt;&gt;"",10^(-pKa!$B$2-pKa!$C$2)/(10^(-2*$E52)+10^(-$E52-pKa!$B$2)+10^(-pKa!$B$2-pKa!$C$2)),"")</f>
        <v>1.0504599611936328E-2</v>
      </c>
      <c r="AG52" s="152"/>
      <c r="AH52" s="222">
        <f>IF($AK52&lt;&gt;"",$AK52/'Elements and ions'!$G$3,IF($E52="","",""))</f>
        <v>2.9336163590248203</v>
      </c>
      <c r="AI52" s="85">
        <f t="shared" si="688"/>
        <v>2.9296431652599268E-3</v>
      </c>
      <c r="AJ52" s="84">
        <f>IF(AI52&lt;&gt;"",AI52*1000*'Elements and ions'!$B$7,"")</f>
        <v>35.187065164987402</v>
      </c>
      <c r="AK52" s="99">
        <f>'WC samples'!H23</f>
        <v>179</v>
      </c>
      <c r="AL52" s="88">
        <f>IF($AK52&lt;&gt;"",$AK52/'Elements and ions'!$G$3*Minerals!$B$6/2,IF($E52="","","Enter Alk(HCO3-)"))</f>
        <v>146.80828358204064</v>
      </c>
      <c r="AM52" s="199"/>
      <c r="AN52" s="101">
        <f t="shared" si="491"/>
        <v>2.6803667976746365E-5</v>
      </c>
      <c r="AO52" s="94">
        <f t="shared" si="492"/>
        <v>2.8720647688262792E-3</v>
      </c>
      <c r="AP52" s="95">
        <f t="shared" si="493"/>
        <v>3.0774728456901341E-5</v>
      </c>
      <c r="AQ52" s="199"/>
      <c r="AR52" s="199"/>
      <c r="AS52" s="83">
        <f t="shared" si="66"/>
        <v>7.8834317578665769E-2</v>
      </c>
      <c r="AT52" s="83">
        <f>IF(AN52&lt;&gt;"",AN52/'Henrys law constants'!$B$7*1000000,"")</f>
        <v>788.34317578665775</v>
      </c>
      <c r="AU52" s="268">
        <f>'WC samples'!K23</f>
        <v>6.0708000000000002</v>
      </c>
      <c r="AV52" s="269">
        <f>'WC samples'!M23</f>
        <v>1.3</v>
      </c>
      <c r="AW52" s="269">
        <f>'WC samples'!O23</f>
        <v>60.086100000000002</v>
      </c>
      <c r="AX52" s="269">
        <f>'WC samples'!N23</f>
        <v>3.6191</v>
      </c>
      <c r="AY52" s="226">
        <f>AO52*'Elements and ions'!$G$3*1000</f>
        <v>175.24431646911006</v>
      </c>
      <c r="AZ52" s="269">
        <f>'WC samples'!Q23</f>
        <v>11.0786</v>
      </c>
      <c r="BA52" s="269">
        <f>'WC samples'!T23</f>
        <v>20.8444</v>
      </c>
      <c r="BB52" s="270">
        <f>'WC samples'!V23</f>
        <v>8.4830000000000005</v>
      </c>
      <c r="BC52" s="222">
        <f>IF($E52&lt;&gt;"",10^-$E52*'Elements and ions'!B53*1000,"")</f>
        <v>0</v>
      </c>
      <c r="BE52" s="6"/>
      <c r="BF52" s="6"/>
      <c r="BG52" s="270">
        <f>'WC samples'!L23</f>
        <v>0</v>
      </c>
      <c r="BH52" s="3"/>
      <c r="BJ52" s="92">
        <f>IF($AN52&lt;&gt;"",$AN52*'Elements and ions'!$G$2*1000,"")</f>
        <v>1.6624916094507383</v>
      </c>
      <c r="BK52" s="229"/>
      <c r="BL52" s="230"/>
      <c r="BM52" s="101">
        <f>IF($E52&lt;&gt;"",(10^-14+$E52)*'Elements and ions'!$G$8,"")</f>
        <v>141.67114220000019</v>
      </c>
      <c r="BO52" s="102">
        <f>IF($AP52&lt;&gt;"",$AP52*'Elements and ions'!$G$4*1000,"")</f>
        <v>1.8467576024973469</v>
      </c>
      <c r="BP52" s="269">
        <f>'WC samples'!P23</f>
        <v>0.192</v>
      </c>
      <c r="BQ52" s="270">
        <f>'WC samples'!R23</f>
        <v>0</v>
      </c>
      <c r="BR52" s="195"/>
      <c r="BS52" s="238">
        <f>IF($AU52&lt;&gt;"",$AU52/'Elements and ions'!$B$12,"")</f>
        <v>0.26406528600012119</v>
      </c>
      <c r="BT52" s="239">
        <f>IF($AV52&lt;&gt;"",$AV52/'Elements and ions'!$B$20,"")</f>
        <v>3.3249527473061487E-2</v>
      </c>
      <c r="BU52" s="239">
        <f>IF($AW52&lt;&gt;"",$AW52/'Elements and ions'!$B$21, "")</f>
        <v>1.4992290034432856</v>
      </c>
      <c r="BV52" s="240">
        <f>IF($AX52&lt;&gt;"",$AX52/'Elements and ions'!$B$13, "")</f>
        <v>0.14890351779469246</v>
      </c>
      <c r="BW52" s="238">
        <f>IF($AY52&lt;&gt;"",$AY52/'Elements and ions'!$G$3,"")</f>
        <v>2.8720647688262795</v>
      </c>
      <c r="BX52" s="239">
        <f>IF($AZ52&lt;&gt;"",$AZ52/'Elements and ions'!$B$18,"")</f>
        <v>0.31248695455955772</v>
      </c>
      <c r="BY52" s="239">
        <f>IF($BA52&lt;&gt;"",$BA52/'Elements and ions'!$G$7,"")</f>
        <v>0.33617343145461087</v>
      </c>
      <c r="BZ52" s="241">
        <f>IF($BB52&lt;&gt;"",$BB52/'Elements and ions'!$G$5,"")</f>
        <v>8.8306999810540215E-2</v>
      </c>
      <c r="CA52" s="91">
        <f t="shared" si="67"/>
        <v>4.6773514128719728E-6</v>
      </c>
      <c r="CB52" s="163" t="str">
        <f>IF($BD52&lt;&gt;"",$BD52/'Elements and ions'!$B$14,"")</f>
        <v/>
      </c>
      <c r="CC52" s="89" t="str">
        <f>IF($BE52&lt;&gt;"",$BE52/'Elements and ions'!$B$27, "")</f>
        <v/>
      </c>
      <c r="CD52" s="249" t="str">
        <f>IF($BF52&lt;&gt;"",$BF52/'Elements and ions'!$B$26,"")</f>
        <v/>
      </c>
      <c r="CE52" s="250">
        <f>IF($BG52&lt;&gt;"",$BG52/'Elements and ions'!$G$6,"")</f>
        <v>0</v>
      </c>
      <c r="CF52" s="91" t="str">
        <f>IF($BH52&lt;&gt;"",$BH52/'Elements and ions'!$G$15,"")</f>
        <v/>
      </c>
      <c r="CG52" s="89" t="str">
        <f>IF($BI52&lt;&gt;"",$BI52/'Elements and ions'!$G$16,"")</f>
        <v/>
      </c>
      <c r="CH52" s="90">
        <f>IF($BJ52&lt;&gt;"",$BJ52/'Elements and ions'!$G$2,"")</f>
        <v>2.6803667976746364E-2</v>
      </c>
      <c r="CI52" s="91" t="str">
        <f>IF($BK52&lt;&gt;"",$BK52/'Elements and ions'!$B$15, "")</f>
        <v/>
      </c>
      <c r="CJ52" s="88" t="str">
        <f>IF($BL52&lt;&gt;"", $BL52/'Elements and ions'!$G$17,"")</f>
        <v/>
      </c>
      <c r="CK52" s="89">
        <f t="shared" si="68"/>
        <v>2.13796208950223E-3</v>
      </c>
      <c r="CL52" s="163" t="str">
        <f>IF($BN52&lt;&gt;"", $BN52/'Elements and ions'!$G$19,"")</f>
        <v/>
      </c>
      <c r="CM52" s="89">
        <f>IF($BO52&lt;&gt;"",$BO52/'Elements and ions'!$G$4,"")</f>
        <v>3.0774728456901341E-2</v>
      </c>
      <c r="CN52" s="89">
        <f>IF($BP52&lt;&gt;"",$BP52/'Elements and ions'!$B$10,"")</f>
        <v>1.0106112496865001E-2</v>
      </c>
      <c r="CO52" s="104">
        <f>IF($BQ52&lt;&gt;"",$BQ52/'Elements and ions'!$G$18,"")</f>
        <v>0</v>
      </c>
      <c r="CP52" s="242"/>
      <c r="CQ52" s="238">
        <f t="shared" si="689"/>
        <v>2.6406528600012117E-4</v>
      </c>
      <c r="CR52" s="239">
        <f t="shared" si="690"/>
        <v>3.3249527473061485E-5</v>
      </c>
      <c r="CS52" s="239">
        <f t="shared" si="691"/>
        <v>1.4992290034432855E-3</v>
      </c>
      <c r="CT52" s="241">
        <f t="shared" si="692"/>
        <v>1.4890351779469247E-4</v>
      </c>
      <c r="CU52" s="238">
        <f t="shared" si="693"/>
        <v>2.8720647688262797E-3</v>
      </c>
      <c r="CV52" s="239">
        <f t="shared" si="694"/>
        <v>3.124869545595577E-4</v>
      </c>
      <c r="CW52" s="239">
        <f t="shared" si="695"/>
        <v>3.3617343145461086E-4</v>
      </c>
      <c r="CX52" s="241">
        <f t="shared" si="696"/>
        <v>8.8306999810540217E-5</v>
      </c>
      <c r="CY52" s="258">
        <f t="shared" si="98"/>
        <v>4.6773514128719724E-9</v>
      </c>
      <c r="CZ52" s="259" t="str">
        <f t="shared" si="697"/>
        <v/>
      </c>
      <c r="DA52" s="260" t="str">
        <f t="shared" si="698"/>
        <v/>
      </c>
      <c r="DB52" s="261" t="str">
        <f t="shared" si="699"/>
        <v/>
      </c>
      <c r="DC52" s="262">
        <f t="shared" si="700"/>
        <v>0</v>
      </c>
      <c r="DD52" s="263" t="str">
        <f t="shared" si="701"/>
        <v/>
      </c>
      <c r="DE52" s="259" t="str">
        <f t="shared" si="702"/>
        <v/>
      </c>
      <c r="DF52" s="260">
        <f t="shared" si="703"/>
        <v>2.6803667976746365E-5</v>
      </c>
      <c r="DG52" s="260" t="str">
        <f t="shared" si="704"/>
        <v/>
      </c>
      <c r="DH52" s="264" t="str">
        <f t="shared" si="705"/>
        <v/>
      </c>
      <c r="DI52" s="258">
        <f t="shared" si="108"/>
        <v>2.1379620895022301E-6</v>
      </c>
      <c r="DJ52" s="260" t="str">
        <f t="shared" si="706"/>
        <v/>
      </c>
      <c r="DK52" s="260">
        <f t="shared" si="707"/>
        <v>3.0774728456901341E-5</v>
      </c>
      <c r="DL52" s="260">
        <f t="shared" si="708"/>
        <v>1.0106112496865001E-5</v>
      </c>
      <c r="DM52" s="265">
        <f t="shared" si="709"/>
        <v>0</v>
      </c>
      <c r="DN52" s="242"/>
      <c r="DO52" s="238">
        <f t="shared" si="710"/>
        <v>0.26406528600012119</v>
      </c>
      <c r="DP52" s="239">
        <f t="shared" si="711"/>
        <v>3.3249527473061487E-2</v>
      </c>
      <c r="DQ52" s="239">
        <f t="shared" si="712"/>
        <v>2.9984580068865712</v>
      </c>
      <c r="DR52" s="241">
        <f t="shared" si="713"/>
        <v>0.29780703558938493</v>
      </c>
      <c r="DS52" s="238">
        <f t="shared" si="714"/>
        <v>-2.8720647688262795</v>
      </c>
      <c r="DT52" s="239">
        <f t="shared" si="715"/>
        <v>-0.31248695455955772</v>
      </c>
      <c r="DU52" s="239">
        <f t="shared" si="716"/>
        <v>-0.33617343145461087</v>
      </c>
      <c r="DV52" s="241">
        <f t="shared" si="717"/>
        <v>-0.17661399962108043</v>
      </c>
      <c r="DW52" s="91">
        <f t="shared" si="113"/>
        <v>4.6773514128719728E-6</v>
      </c>
      <c r="DX52" s="89">
        <f t="shared" si="718"/>
        <v>0</v>
      </c>
      <c r="DY52" s="89">
        <f t="shared" si="719"/>
        <v>0</v>
      </c>
      <c r="DZ52" s="89">
        <f t="shared" si="720"/>
        <v>0</v>
      </c>
      <c r="EA52" s="90">
        <f t="shared" si="721"/>
        <v>0</v>
      </c>
      <c r="EB52" s="91">
        <f t="shared" si="118"/>
        <v>-2.13796208950223E-3</v>
      </c>
      <c r="EC52" s="89">
        <f t="shared" si="722"/>
        <v>0</v>
      </c>
      <c r="ED52" s="89">
        <f t="shared" si="723"/>
        <v>-6.1549456913802682E-2</v>
      </c>
      <c r="EE52" s="89">
        <f t="shared" si="724"/>
        <v>-1.0106112496865001E-2</v>
      </c>
      <c r="EF52" s="90">
        <f t="shared" si="725"/>
        <v>0</v>
      </c>
      <c r="EG52" s="242"/>
      <c r="EH52" s="245">
        <f t="shared" si="726"/>
        <v>3.5935845333005516</v>
      </c>
      <c r="EI52" s="246">
        <f t="shared" si="727"/>
        <v>-3.7711326859616983</v>
      </c>
      <c r="EJ52" s="198">
        <f t="shared" si="728"/>
        <v>-2.4107938889598302</v>
      </c>
      <c r="EK52" s="198">
        <f t="shared" si="729"/>
        <v>8.8598311245993207E-3</v>
      </c>
      <c r="EL52" s="101">
        <f>IF(AND(CS52&lt;&gt;"",DK52&lt;&gt;""),LOG(CS52*DK52/Minerals!$C$6),"")</f>
        <v>1.144234211115305</v>
      </c>
      <c r="EM52" s="94">
        <f>IF(AND(CS52&lt;&gt;"",DK52&lt;&gt;""),LOG(CS52*DK52/Minerals!$C$5),"")</f>
        <v>1.0137546817590872</v>
      </c>
      <c r="EN52" s="94">
        <f>IF(AND(CS52&lt;&gt;"",DL52&lt;&gt;""),LOG(CS52*DL52^2/Minerals!$C$2),"")</f>
        <v>-2.2450388236374144</v>
      </c>
      <c r="EO52" s="94">
        <f>IF(AND(CS52&lt;&gt;"",CX52&lt;&gt;""),LOG($CS52*$CX52/Minerals!$C$3),"")</f>
        <v>-2.2781565297025015</v>
      </c>
      <c r="EP52" s="95">
        <f>IF(AND(CS52&lt;&gt;"",CX52&lt;&gt;""),LOG($CS52*$CX52/Minerals!$C$4),"")</f>
        <v>-2.5181410411684038</v>
      </c>
      <c r="EQ52" s="199"/>
      <c r="ER52" s="101">
        <f t="shared" si="621"/>
        <v>0.90570231157900161</v>
      </c>
      <c r="ES52" s="94">
        <f t="shared" si="621"/>
        <v>0.90570231157900161</v>
      </c>
      <c r="ET52" s="94">
        <f t="shared" si="622"/>
        <v>0.67288663862461762</v>
      </c>
      <c r="EU52" s="94">
        <f t="shared" si="622"/>
        <v>0.67288663862461762</v>
      </c>
      <c r="EV52" s="95">
        <f t="shared" si="622"/>
        <v>0.67288663862461762</v>
      </c>
      <c r="EW52" s="101">
        <f t="shared" si="623"/>
        <v>0.90570231157900161</v>
      </c>
      <c r="EX52" s="94">
        <f t="shared" si="31"/>
        <v>0.67288663862461762</v>
      </c>
      <c r="EY52" s="94">
        <f t="shared" si="623"/>
        <v>0.90570231157900161</v>
      </c>
      <c r="EZ52" s="94">
        <f t="shared" si="623"/>
        <v>0.90570231157900161</v>
      </c>
      <c r="FA52" s="94">
        <f t="shared" si="165"/>
        <v>0.90570231157900161</v>
      </c>
      <c r="FB52" s="95">
        <f t="shared" si="32"/>
        <v>0.67288663862461762</v>
      </c>
      <c r="FC52" s="199"/>
      <c r="FD52" s="101">
        <f t="shared" si="730"/>
        <v>2.3916453993807991E-4</v>
      </c>
      <c r="FE52" s="94">
        <f t="shared" si="731"/>
        <v>3.0114173891261308E-5</v>
      </c>
      <c r="FF52" s="94">
        <f t="shared" si="732"/>
        <v>1.0088111646554877E-3</v>
      </c>
      <c r="FG52" s="94">
        <f t="shared" si="733"/>
        <v>1.0019518756825155E-4</v>
      </c>
      <c r="FH52" s="95" t="str">
        <f t="shared" si="734"/>
        <v/>
      </c>
      <c r="FI52" s="101">
        <f t="shared" si="735"/>
        <v>2.6012357001305724E-3</v>
      </c>
      <c r="FJ52" s="94">
        <f t="shared" si="736"/>
        <v>2.0707903585949709E-5</v>
      </c>
      <c r="FK52" s="94">
        <f t="shared" si="737"/>
        <v>2.8302015708287387E-4</v>
      </c>
      <c r="FL52" s="94">
        <f t="shared" si="738"/>
        <v>3.0447305395988608E-4</v>
      </c>
      <c r="FM52" s="94">
        <f t="shared" si="739"/>
        <v>9.1531294494880672E-6</v>
      </c>
      <c r="FN52" s="95">
        <f t="shared" si="740"/>
        <v>5.942060026953915E-5</v>
      </c>
      <c r="FO52" s="199"/>
      <c r="FP52" s="101">
        <f>IF(EL52&lt;&gt;"",LOG(FF52*FJ52/Minerals!$C$6),"")</f>
        <v>0.80011802049449599</v>
      </c>
      <c r="FQ52" s="94">
        <f>IF(EL52&lt;&gt;"",LOG(FF52*FJ52/Minerals!$C$5),"")</f>
        <v>0.66963849113827822</v>
      </c>
      <c r="FR52" s="94">
        <f>IF(EN52&lt;&gt;"",LOG(FF52*FM52^2/Minerals!$C$2),"")</f>
        <v>-2.503125966603021</v>
      </c>
      <c r="FS52" s="94">
        <f>IF(EO52&lt;&gt;"",LOG($FF52*$FN52/Minerals!$C$3),"")</f>
        <v>-2.6222727203233105</v>
      </c>
      <c r="FT52" s="95">
        <f>IF(EP52&lt;&gt;"",LOG($FF52*$FN52/Minerals!$C$4),"")</f>
        <v>-2.8622572317892132</v>
      </c>
      <c r="FU52" s="96"/>
      <c r="FV52" s="101">
        <f>IF(FP52&lt;&gt;"",LOG(FF52*FJ52/(EXP(-1*Minerals!$E$6/'Other Constants'!$B$2*(1/(273.15+'ppm-mgL-1'!$D52)-1/298.15)+LN(Minerals!$C$6)))),"")</f>
        <v>-0.70104351980736046</v>
      </c>
      <c r="FW52" s="94">
        <f>IF(FP52&lt;&gt;"",LOG(FF52*FJ52/(EXP(-1*Minerals!$E$5/'Other Constants'!$B$2*(1/(273.15+'ppm-mgL-1'!$D52)-1/298.15)+LN(Minerals!$C$5)))),"")</f>
        <v>-0.83165875867416916</v>
      </c>
      <c r="FX52" s="94">
        <f>IF(FR52&lt;&gt;"",LOG(FF52*FM52^2/(EXP(-1*Minerals!$E$2/'Other Constants'!$B$2*(1/(273.15+'ppm-mgL-1'!$D52)-1/298.15)+LN(Minerals!$C$2)))),"")</f>
        <v>-2.4396591521502407</v>
      </c>
      <c r="FY52" s="94">
        <f>IF(FS52&lt;&gt;"",LOG($FF52*$FN52/(EXP(-1*Minerals!$E$3/'Other Constants'!$B$2*(1/(273.15+'ppm-mgL-1'!$D52)-1/298.15)+LN(Minerals!$C$3)))),"")</f>
        <v>-1.3282192057388567</v>
      </c>
      <c r="FZ52" s="95">
        <f>IF(FT52&lt;&gt;"",LOG($FF52*$FN52/(EXP(-1*Minerals!$E$4/'Other Constants'!$B$2*(1/(273.15+'ppm-mgL-1'!$D52)-1/298.15)+LN(Minerals!$C$4)))),"")</f>
        <v>-2.8993285464321579</v>
      </c>
      <c r="GA52" s="96"/>
      <c r="GB52" s="96"/>
      <c r="GC52" s="101">
        <f>10^(-1825000*(79.755*EXP(-0.0046*($D52-20))*($D52+273.15))^-1.5*$EK52^0.5/(1+'Elements and ions'!$D$12*$EK52^0.5/(2*(79.755*EXP(-0.0046*($D52-20))*($D52+273.15))^0.5)))</f>
        <v>0.90599843189589158</v>
      </c>
      <c r="GD52" s="94">
        <f>10^(-1825000*(79.755*EXP(-0.0046*($D52-20))*($D52+273.15))^-1.5*$EK52^0.5/(1+'Elements and ions'!$D$20*$EK52^0.5/(2*(79.755*EXP(-0.0046*($D52-20))*($D52+273.15))^0.5)))</f>
        <v>0.90348014470035565</v>
      </c>
      <c r="GE52" s="94">
        <f>10^(-1825000*(79.755*EXP(-0.0046*($D52-20))*($D52+273.15))^-1.5*4*$EK52^0.5/(1+'Elements and ions'!$D$21*$EK52^0.5/(2*(79.755*EXP(-0.0046*($D52-20))*($D52+273.15))^0.5)))</f>
        <v>0.68774307606954621</v>
      </c>
      <c r="GF52" s="94">
        <f>10^(-1825000*(79.755*EXP(-0.0046*($D52-20))*($D52+273.15))^-1.5*4*$EK52^0.5/(1+'Elements and ions'!$D$13*$EK52^0.5/(2*(79.755*EXP(-0.0046*($D52-20))*($D52+273.15))^0.5)))</f>
        <v>0.70058574220615721</v>
      </c>
      <c r="GG52" s="95">
        <f>10^(-1825000*(79.755*EXP(-0.0046*($D52-20))*($D52+273.15))^-1.5*4*$EK52^0.5/(1+'Elements and ions'!$D$27*$EK52^0.5/(2*(79.755*EXP(-0.0046*($D52-20))*($D52+273.15))^0.5)))</f>
        <v>0.68774307606954621</v>
      </c>
      <c r="GH52" s="101">
        <f>10^(-1825000*(79.755*EXP(-0.0046*($D52-20))*($D52+273.15))^-1.5*$EK52^0.5/(1+'Elements and ions'!$G$3*$EK52^0.5/(2*(79.755*EXP(-0.0046*($D52-20))*($D52+273.15))^0.5)))</f>
        <v>0.89687854263164457</v>
      </c>
      <c r="GI52" s="94">
        <f>10^(-1825000*(79.755*EXP(-0.0046*($D52-20))*($D52+273.15))^-1.5*4*$EK52^0.5/(1+'Elements and ions'!$G$4*$EK52^0.5/(2*(79.755*EXP(-0.0046*($D52-20))*($D52+273.15))^0.5)))</f>
        <v>0.64695921553966806</v>
      </c>
      <c r="GJ52" s="94">
        <f>10^(-1825000*(79.755*EXP(-0.0046*($D52-20))*($D52+273.15))^-1.5*$EK52^0.5/(1+'Elements and ions'!$D$18*$EK52^0.5/(2*(79.755*EXP(-0.0046*($D52-20))*($D52+273.15))^0.5)))</f>
        <v>0.90348014470035565</v>
      </c>
      <c r="GK52" s="94">
        <f>10^(-1825000*(79.755*EXP(-0.0046*($D52-20))*($D52+273.15))^-1.5*$EK52^0.5/(1+'Elements and ions'!$I$7*$EK52^0.5/(2*(79.755*EXP(-0.0046*($D52-20))*($D52+273.15))^0.5)))</f>
        <v>0.90348014470035565</v>
      </c>
      <c r="GL52" s="94">
        <f>10^(-1825000*(79.755*EXP(-0.0046*($D52-20))*($D52+273.15))^-1.5*$EK52^0.5/(1+'Elements and ions'!$D$10*$EK52^0.5/(2*(79.755*EXP(-0.0046*($D52-20))*($D52+273.15))^0.5)))</f>
        <v>0.90475591688181767</v>
      </c>
      <c r="GM52" s="95">
        <f>10^(-1825000*(79.755*EXP(-0.0046*($D52-20))*($D52+273.15))^-1.5*4*$EK52^0.5/(1+'Elements and ions'!$I$5*$EK52^0.5/(2*(79.755*EXP(-0.0046*($D52-20))*($D52+273.15))^0.5)))</f>
        <v>0.67376707425366489</v>
      </c>
      <c r="GN52" s="96"/>
      <c r="GO52" s="101">
        <f t="shared" si="741"/>
        <v>2.3924273503424991E-4</v>
      </c>
      <c r="GP52" s="94">
        <f t="shared" si="742"/>
        <v>3.0040287892580042E-5</v>
      </c>
      <c r="GQ52" s="94">
        <f t="shared" si="743"/>
        <v>1.0310843665607655E-3</v>
      </c>
      <c r="GR52" s="94">
        <f t="shared" si="744"/>
        <v>1.0431968153130236E-4</v>
      </c>
      <c r="GS52" s="95" t="str">
        <f t="shared" si="745"/>
        <v/>
      </c>
      <c r="GT52" s="101">
        <f t="shared" si="746"/>
        <v>2.5758932642086048E-3</v>
      </c>
      <c r="GU52" s="94">
        <f t="shared" si="747"/>
        <v>1.9909994180923189E-5</v>
      </c>
      <c r="GV52" s="94">
        <f t="shared" si="748"/>
        <v>2.8232575892244268E-4</v>
      </c>
      <c r="GW52" s="94">
        <f t="shared" si="749"/>
        <v>3.0372602049502688E-4</v>
      </c>
      <c r="GX52" s="94">
        <f t="shared" si="750"/>
        <v>9.1435650782118893E-6</v>
      </c>
      <c r="GY52" s="102">
        <f t="shared" si="751"/>
        <v>5.9498348898466621E-5</v>
      </c>
      <c r="GZ52" s="199"/>
      <c r="HA52" s="92">
        <f>IF(AND(GQ52&lt;&gt;"",GU52&lt;&gt;""),LOG(GQ52*GU52/Minerals!$C$6),"")</f>
        <v>0.79253734139655396</v>
      </c>
      <c r="HB52" s="94">
        <f>IF(AND(GQ52&lt;&gt;"",GU52&lt;&gt;""),LOG(GQ52*GU52/Minerals!$C$5),"")</f>
        <v>0.66205781204033631</v>
      </c>
      <c r="HC52" s="94">
        <f>IF(AND(GQ52&lt;&gt;"",GX52&lt;&gt;""),LOG(GQ52*GX52^2/Minerals!$C$2),"")</f>
        <v>-2.4945497329241646</v>
      </c>
      <c r="HD52" s="94">
        <f>IF(AND(GQ52&lt;&gt;"",GY52&lt;&gt;""),LOG($GQ52*$GY52/Minerals!$C$3),"")</f>
        <v>-2.6122205189286949</v>
      </c>
      <c r="HE52" s="102">
        <f>IF(AND(GQ52&lt;&gt;"",GY52&lt;&gt;""),LOG($GQ52*$GY52/Minerals!$C$3),"")</f>
        <v>-2.6122205189286949</v>
      </c>
      <c r="HF52" s="199"/>
      <c r="HG52" s="92">
        <f>IF(HA52&lt;&gt;"",LOG(GQ52*GU52/(EXP(-1*Minerals!$E$6/'Other Constants'!$B$2*(1/(273.15+'ppm-mgL-1'!$D52)-1/298.15)+LN(Minerals!$C$6)))),"")</f>
        <v>-0.70862419890530248</v>
      </c>
      <c r="HH52" s="94">
        <f>IF(HA52&lt;&gt;"",LOG(GQ52*GU52/(EXP(-1*Minerals!$E$5/'Other Constants'!$B$2*(1/(273.15+'ppm-mgL-1'!$D52)-1/298.15)+LN(Minerals!$C$5)))),"")</f>
        <v>-0.83923943777211107</v>
      </c>
      <c r="HI52" s="94">
        <f>IF(HC52&lt;&gt;"",LOG(GQ52*GX52^2/(EXP(-1*Minerals!$E$2/'Other Constants'!$B$2*(1/(273.15+'ppm-mgL-1'!$D52)-1/298.15)+LN(Minerals!$C$2)))),"")</f>
        <v>-2.4310829184713842</v>
      </c>
      <c r="HJ52" s="94">
        <f>IF(HD52&lt;&gt;"",LOG($FF52*$FN52/(EXP(-1*Minerals!$E$3/'Other Constants'!$B$2*(1/(273.15+'ppm-mgL-1'!$D52)-1/298.15)+LN(Minerals!$C$3)))),"")</f>
        <v>-1.3282192057388567</v>
      </c>
      <c r="HK52" s="95">
        <f>IF(HE52&lt;&gt;"",LOG($FF52*$FN52/(EXP(-1*Minerals!$E$4/'Other Constants'!$B$2*(1/(273.15+'ppm-mgL-1'!$D52)-1/298.15)+LN(Minerals!$C$4)))),"")</f>
        <v>-2.8993285464321579</v>
      </c>
      <c r="HL52" s="199"/>
      <c r="HM52" s="199"/>
    </row>
    <row r="53" spans="1:221" x14ac:dyDescent="0.25">
      <c r="A53" s="267" t="str">
        <f>'WC samples'!B24</f>
        <v>ISLM</v>
      </c>
      <c r="C53" s="266">
        <f>'WC samples'!A24</f>
        <v>41044</v>
      </c>
      <c r="D53" s="4">
        <f>'WC samples'!I24</f>
        <v>21.3</v>
      </c>
      <c r="E53" s="4">
        <f>'WC samples'!F24</f>
        <v>8.2200000000000006</v>
      </c>
      <c r="AD53" s="83">
        <f>IF(E53&lt;&gt;"",10^(-2*$E53)/(10^(-2*$E53)+10^(-$E53-pKa!$B$2)+(10^(-pKa!$B$2-pKa!$C$2))),"")</f>
        <v>1.1782975304997416E-2</v>
      </c>
      <c r="AE53" s="84">
        <f>IF(E53&lt;&gt;"",10^(-$E53-pKa!$B$2)/(10^(-2*$E53)+10^(-$E53-pKa!$B$2)+10^(-pKa!$B$2-pKa!$C$2)),"")</f>
        <v>0.98006519744943232</v>
      </c>
      <c r="AF53" s="212">
        <f>IF(E53&lt;&gt;"",10^(-pKa!$B$2-pKa!$C$2)/(10^(-2*$E53)+10^(-$E53-pKa!$B$2)+10^(-pKa!$B$2-pKa!$C$2)),"")</f>
        <v>8.151827245570226E-3</v>
      </c>
      <c r="AG53" s="152"/>
      <c r="AH53" s="222">
        <f>IF($AK53&lt;&gt;"",$AK53/'Elements and ions'!$G$3,IF($E53="","",""))</f>
        <v>0.3490839578057468</v>
      </c>
      <c r="AI53" s="85">
        <f t="shared" si="688"/>
        <v>3.5035449328283075E-4</v>
      </c>
      <c r="AJ53" s="84">
        <f>IF(AI53&lt;&gt;"",AI53*1000*'Elements and ions'!$B$7,"")</f>
        <v>4.2080027124720951</v>
      </c>
      <c r="AK53" s="99">
        <f>'WC samples'!H24</f>
        <v>21.3</v>
      </c>
      <c r="AL53" s="88">
        <f>IF($AK53&lt;&gt;"",$AK53/'Elements and ions'!$G$3*Minerals!$B$6/2,IF($E53="","","Enter Alk(HCO3-)"))</f>
        <v>17.469365588254</v>
      </c>
      <c r="AM53" s="199"/>
      <c r="AN53" s="101">
        <f t="shared" si="491"/>
        <v>4.1282183423464775E-6</v>
      </c>
      <c r="AO53" s="94">
        <f t="shared" si="492"/>
        <v>3.4337024563653332E-4</v>
      </c>
      <c r="AP53" s="95">
        <f t="shared" si="493"/>
        <v>2.8560293039509304E-6</v>
      </c>
      <c r="AQ53" s="199"/>
      <c r="AR53" s="199"/>
      <c r="AS53" s="83">
        <f t="shared" si="66"/>
        <v>1.2141818653960227E-2</v>
      </c>
      <c r="AT53" s="83">
        <f>IF(AN53&lt;&gt;"",AN53/'Henrys law constants'!$B$7*1000000,"")</f>
        <v>121.41818653960227</v>
      </c>
      <c r="AU53" s="268">
        <f>'WC samples'!K24</f>
        <v>4.7397160508705714</v>
      </c>
      <c r="AV53" s="269">
        <f>'WC samples'!M24</f>
        <v>5.8482762868288347</v>
      </c>
      <c r="AW53" s="269">
        <f>'WC samples'!O24</f>
        <v>44.041786223082042</v>
      </c>
      <c r="AX53" s="269">
        <f>'WC samples'!N24</f>
        <v>6.1457942913323391</v>
      </c>
      <c r="AY53" s="226">
        <f>AO53*'Elements and ions'!$G$3*1000</f>
        <v>20.951367338765049</v>
      </c>
      <c r="AZ53" s="269">
        <f>'WC samples'!Q24</f>
        <v>7.5831187149154795</v>
      </c>
      <c r="BA53" s="269">
        <f>'WC samples'!T24</f>
        <v>16.27732064951952</v>
      </c>
      <c r="BB53" s="270">
        <f>'WC samples'!V24</f>
        <v>13.194816758111065</v>
      </c>
      <c r="BC53" s="222">
        <f>IF($E53&lt;&gt;"",10^-$E53*'Elements and ions'!B54*1000,"")</f>
        <v>0</v>
      </c>
      <c r="BE53" s="6"/>
      <c r="BF53" s="6"/>
      <c r="BG53" s="270">
        <f>'WC samples'!L24</f>
        <v>0</v>
      </c>
      <c r="BH53" s="3"/>
      <c r="BJ53" s="92">
        <f>IF($AN53&lt;&gt;"",$AN53*'Elements and ions'!$G$2*1000,"")</f>
        <v>0.25605183447600494</v>
      </c>
      <c r="BK53" s="229"/>
      <c r="BL53" s="230"/>
      <c r="BM53" s="101">
        <f>IF($E53&lt;&gt;"",(10^-14+$E53)*'Elements and ions'!$G$8,"")</f>
        <v>139.80033480000017</v>
      </c>
      <c r="BO53" s="102">
        <f>IF($AP53&lt;&gt;"",$AP53*'Elements and ions'!$G$4*1000,"")</f>
        <v>0.17138717689786098</v>
      </c>
      <c r="BP53" s="269">
        <f>'WC samples'!P24</f>
        <v>7.8212495639212204E-2</v>
      </c>
      <c r="BQ53" s="270">
        <f>'WC samples'!R24</f>
        <v>0</v>
      </c>
      <c r="BR53" s="195"/>
      <c r="BS53" s="238">
        <f>IF($AU53&lt;&gt;"",$AU53/'Elements and ions'!$B$12,"")</f>
        <v>0.20616631655342002</v>
      </c>
      <c r="BT53" s="239">
        <f>IF($AV53&lt;&gt;"",$AV53/'Elements and ions'!$B$20,"")</f>
        <v>0.14957878697613028</v>
      </c>
      <c r="BU53" s="239">
        <f>IF($AW53&lt;&gt;"",$AW53/'Elements and ions'!$B$21, "")</f>
        <v>1.098901797072759</v>
      </c>
      <c r="BV53" s="240">
        <f>IF($AX53&lt;&gt;"",$AX53/'Elements and ions'!$B$13, "")</f>
        <v>0.25286131624490182</v>
      </c>
      <c r="BW53" s="238">
        <f>IF($AY53&lt;&gt;"",$AY53/'Elements and ions'!$G$3,"")</f>
        <v>0.34337024563653329</v>
      </c>
      <c r="BX53" s="239">
        <f>IF($AZ53&lt;&gt;"",$AZ53/'Elements and ions'!$B$18,"")</f>
        <v>0.21389215905326711</v>
      </c>
      <c r="BY53" s="239">
        <f>IF($BA53&lt;&gt;"",$BA53/'Elements and ions'!$G$7,"")</f>
        <v>0.26251668254475891</v>
      </c>
      <c r="BZ53" s="241">
        <f>IF($BB53&lt;&gt;"",$BB53/'Elements and ions'!$G$5,"")</f>
        <v>0.13735644005170652</v>
      </c>
      <c r="CA53" s="91">
        <f t="shared" si="67"/>
        <v>6.0255958607435579E-6</v>
      </c>
      <c r="CB53" s="163" t="str">
        <f>IF($BD53&lt;&gt;"",$BD53/'Elements and ions'!$B$14,"")</f>
        <v/>
      </c>
      <c r="CC53" s="89" t="str">
        <f>IF($BE53&lt;&gt;"",$BE53/'Elements and ions'!$B$27, "")</f>
        <v/>
      </c>
      <c r="CD53" s="249" t="str">
        <f>IF($BF53&lt;&gt;"",$BF53/'Elements and ions'!$B$26,"")</f>
        <v/>
      </c>
      <c r="CE53" s="250">
        <f>IF($BG53&lt;&gt;"",$BG53/'Elements and ions'!$G$6,"")</f>
        <v>0</v>
      </c>
      <c r="CF53" s="91" t="str">
        <f>IF($BH53&lt;&gt;"",$BH53/'Elements and ions'!$G$15,"")</f>
        <v/>
      </c>
      <c r="CG53" s="89" t="str">
        <f>IF($BI53&lt;&gt;"",$BI53/'Elements and ions'!$G$16,"")</f>
        <v/>
      </c>
      <c r="CH53" s="90">
        <f>IF($BJ53&lt;&gt;"",$BJ53/'Elements and ions'!$G$2,"")</f>
        <v>4.1282183423464779E-3</v>
      </c>
      <c r="CI53" s="91" t="str">
        <f>IF($BK53&lt;&gt;"",$BK53/'Elements and ions'!$B$15, "")</f>
        <v/>
      </c>
      <c r="CJ53" s="88" t="str">
        <f>IF($BL53&lt;&gt;"", $BL53/'Elements and ions'!$G$17,"")</f>
        <v/>
      </c>
      <c r="CK53" s="89">
        <f t="shared" si="68"/>
        <v>1.6595869074375609E-3</v>
      </c>
      <c r="CL53" s="163" t="str">
        <f>IF($BN53&lt;&gt;"", $BN53/'Elements and ions'!$G$19,"")</f>
        <v/>
      </c>
      <c r="CM53" s="89">
        <f>IF($BO53&lt;&gt;"",$BO53/'Elements and ions'!$G$4,"")</f>
        <v>2.8560293039509303E-3</v>
      </c>
      <c r="CN53" s="89">
        <f>IF($BP53&lt;&gt;"",$BP53/'Elements and ions'!$B$10,"")</f>
        <v>4.1167931228668847E-3</v>
      </c>
      <c r="CO53" s="104">
        <f>IF($BQ53&lt;&gt;"",$BQ53/'Elements and ions'!$G$18,"")</f>
        <v>0</v>
      </c>
      <c r="CP53" s="242"/>
      <c r="CQ53" s="238">
        <f t="shared" si="689"/>
        <v>2.0616631655342001E-4</v>
      </c>
      <c r="CR53" s="239">
        <f t="shared" si="690"/>
        <v>1.4957878697613027E-4</v>
      </c>
      <c r="CS53" s="239">
        <f t="shared" si="691"/>
        <v>1.0989017970727591E-3</v>
      </c>
      <c r="CT53" s="241">
        <f t="shared" si="692"/>
        <v>2.528613162449018E-4</v>
      </c>
      <c r="CU53" s="238">
        <f t="shared" si="693"/>
        <v>3.4337024563653326E-4</v>
      </c>
      <c r="CV53" s="239">
        <f t="shared" si="694"/>
        <v>2.1389215905326712E-4</v>
      </c>
      <c r="CW53" s="239">
        <f t="shared" si="695"/>
        <v>2.625166825447589E-4</v>
      </c>
      <c r="CX53" s="241">
        <f t="shared" si="696"/>
        <v>1.3735644005170652E-4</v>
      </c>
      <c r="CY53" s="258">
        <f t="shared" si="98"/>
        <v>6.0255958607435582E-9</v>
      </c>
      <c r="CZ53" s="259" t="str">
        <f t="shared" si="697"/>
        <v/>
      </c>
      <c r="DA53" s="260" t="str">
        <f t="shared" si="698"/>
        <v/>
      </c>
      <c r="DB53" s="261" t="str">
        <f t="shared" si="699"/>
        <v/>
      </c>
      <c r="DC53" s="262">
        <f t="shared" si="700"/>
        <v>0</v>
      </c>
      <c r="DD53" s="263" t="str">
        <f t="shared" si="701"/>
        <v/>
      </c>
      <c r="DE53" s="259" t="str">
        <f t="shared" si="702"/>
        <v/>
      </c>
      <c r="DF53" s="260">
        <f t="shared" si="703"/>
        <v>4.1282183423464775E-6</v>
      </c>
      <c r="DG53" s="260" t="str">
        <f t="shared" si="704"/>
        <v/>
      </c>
      <c r="DH53" s="264" t="str">
        <f t="shared" si="705"/>
        <v/>
      </c>
      <c r="DI53" s="258">
        <f t="shared" si="108"/>
        <v>1.6595869074375609E-6</v>
      </c>
      <c r="DJ53" s="260" t="str">
        <f t="shared" si="706"/>
        <v/>
      </c>
      <c r="DK53" s="260">
        <f t="shared" si="707"/>
        <v>2.8560293039509304E-6</v>
      </c>
      <c r="DL53" s="260">
        <f t="shared" si="708"/>
        <v>4.1167931228668844E-6</v>
      </c>
      <c r="DM53" s="265">
        <f t="shared" si="709"/>
        <v>0</v>
      </c>
      <c r="DN53" s="242"/>
      <c r="DO53" s="238">
        <f t="shared" si="710"/>
        <v>0.20616631655342002</v>
      </c>
      <c r="DP53" s="239">
        <f t="shared" si="711"/>
        <v>0.14957878697613028</v>
      </c>
      <c r="DQ53" s="239">
        <f t="shared" si="712"/>
        <v>2.1978035941455181</v>
      </c>
      <c r="DR53" s="241">
        <f t="shared" si="713"/>
        <v>0.50572263248980365</v>
      </c>
      <c r="DS53" s="238">
        <f t="shared" si="714"/>
        <v>-0.34337024563653329</v>
      </c>
      <c r="DT53" s="239">
        <f t="shared" si="715"/>
        <v>-0.21389215905326711</v>
      </c>
      <c r="DU53" s="239">
        <f t="shared" si="716"/>
        <v>-0.26251668254475891</v>
      </c>
      <c r="DV53" s="241">
        <f t="shared" si="717"/>
        <v>-0.27471288010341305</v>
      </c>
      <c r="DW53" s="91">
        <f t="shared" si="113"/>
        <v>6.0255958607435579E-6</v>
      </c>
      <c r="DX53" s="89">
        <f t="shared" si="718"/>
        <v>0</v>
      </c>
      <c r="DY53" s="89">
        <f t="shared" si="719"/>
        <v>0</v>
      </c>
      <c r="DZ53" s="89">
        <f t="shared" si="720"/>
        <v>0</v>
      </c>
      <c r="EA53" s="90">
        <f t="shared" si="721"/>
        <v>0</v>
      </c>
      <c r="EB53" s="91">
        <f t="shared" si="118"/>
        <v>-1.6595869074375609E-3</v>
      </c>
      <c r="EC53" s="89">
        <f t="shared" si="722"/>
        <v>0</v>
      </c>
      <c r="ED53" s="89">
        <f t="shared" si="723"/>
        <v>-5.7120586079018607E-3</v>
      </c>
      <c r="EE53" s="89">
        <f t="shared" si="724"/>
        <v>-4.1167931228668847E-3</v>
      </c>
      <c r="EF53" s="90">
        <f t="shared" si="725"/>
        <v>0</v>
      </c>
      <c r="EG53" s="242"/>
      <c r="EH53" s="245">
        <f t="shared" si="726"/>
        <v>3.0592773557607331</v>
      </c>
      <c r="EI53" s="246">
        <f t="shared" si="727"/>
        <v>-1.1059804059761786</v>
      </c>
      <c r="EJ53" s="198">
        <f t="shared" si="728"/>
        <v>46.894983732532076</v>
      </c>
      <c r="EK53" s="198">
        <f t="shared" si="729"/>
        <v>6.5462987054209576E-3</v>
      </c>
      <c r="EL53" s="101">
        <f>IF(AND(CS53&lt;&gt;"",DK53&lt;&gt;""),LOG(CS53*DK53/Minerals!$C$6),"")</f>
        <v>-2.3106451019718668E-2</v>
      </c>
      <c r="EM53" s="94">
        <f>IF(AND(CS53&lt;&gt;"",DK53&lt;&gt;""),LOG(CS53*DK53/Minerals!$C$5),"")</f>
        <v>-0.15358598037593638</v>
      </c>
      <c r="EN53" s="94">
        <f>IF(AND(CS53&lt;&gt;"",DL53&lt;&gt;""),LOG(CS53*DL53^2/Minerals!$C$2),"")</f>
        <v>-3.1599980852005918</v>
      </c>
      <c r="EO53" s="94">
        <f>IF(AND(CS53&lt;&gt;"",CX53&lt;&gt;""),LOG($CS53*$CX53/Minerals!$C$3),"")</f>
        <v>-2.2212117250321834</v>
      </c>
      <c r="EP53" s="95">
        <f>IF(AND(CS53&lt;&gt;"",CX53&lt;&gt;""),LOG($CS53*$CX53/Minerals!$C$4),"")</f>
        <v>-2.4611962364980862</v>
      </c>
      <c r="EQ53" s="199"/>
      <c r="ER53" s="101">
        <f t="shared" ref="ER53:ES70" si="752">10^(-0.5*SQRT($EK53)/(1+SQRT($EK53)))</f>
        <v>0.91743128211858782</v>
      </c>
      <c r="ES53" s="94">
        <f t="shared" si="752"/>
        <v>0.91743128211858782</v>
      </c>
      <c r="ET53" s="94">
        <f t="shared" ref="ET53:EV70" si="753">10^(-0.5*4*SQRT($EK53)/(1+SQRT($EK53)))</f>
        <v>0.70842548737731137</v>
      </c>
      <c r="EU53" s="94">
        <f t="shared" si="753"/>
        <v>0.70842548737731137</v>
      </c>
      <c r="EV53" s="95">
        <f t="shared" si="753"/>
        <v>0.70842548737731137</v>
      </c>
      <c r="EW53" s="101">
        <f t="shared" ref="EW53:EZ70" si="754">10^(-0.5*SQRT($EK53)/(1+SQRT($EK53)))</f>
        <v>0.91743128211858782</v>
      </c>
      <c r="EX53" s="94">
        <f t="shared" si="31"/>
        <v>0.70842548737731137</v>
      </c>
      <c r="EY53" s="94">
        <f t="shared" si="754"/>
        <v>0.91743128211858782</v>
      </c>
      <c r="EZ53" s="94">
        <f t="shared" si="754"/>
        <v>0.91743128211858782</v>
      </c>
      <c r="FA53" s="94">
        <f t="shared" si="165"/>
        <v>0.91743128211858782</v>
      </c>
      <c r="FB53" s="95">
        <f t="shared" si="32"/>
        <v>0.70842548737731137</v>
      </c>
      <c r="FC53" s="199"/>
      <c r="FD53" s="101">
        <f t="shared" si="730"/>
        <v>1.8914342812527076E-4</v>
      </c>
      <c r="FE53" s="94">
        <f t="shared" si="731"/>
        <v>1.3722825831325431E-4</v>
      </c>
      <c r="FF53" s="94">
        <f t="shared" si="732"/>
        <v>7.7849004117107269E-4</v>
      </c>
      <c r="FG53" s="94">
        <f t="shared" si="733"/>
        <v>1.79133401199663E-4</v>
      </c>
      <c r="FH53" s="95" t="str">
        <f t="shared" si="734"/>
        <v/>
      </c>
      <c r="FI53" s="101">
        <f t="shared" si="735"/>
        <v>3.1501860469569914E-4</v>
      </c>
      <c r="FJ53" s="94">
        <f t="shared" si="736"/>
        <v>2.0232839516153212E-6</v>
      </c>
      <c r="FK53" s="94">
        <f t="shared" si="737"/>
        <v>1.9623135771535175E-4</v>
      </c>
      <c r="FL53" s="94">
        <f t="shared" si="738"/>
        <v>2.4084101664455647E-4</v>
      </c>
      <c r="FM53" s="94">
        <f t="shared" si="739"/>
        <v>3.7768747929287507E-6</v>
      </c>
      <c r="FN53" s="95">
        <f t="shared" si="740"/>
        <v>9.7306802988042642E-5</v>
      </c>
      <c r="FO53" s="199"/>
      <c r="FP53" s="101">
        <f>IF(EL53&lt;&gt;"",LOG(FF53*FJ53/Minerals!$C$6),"")</f>
        <v>-0.3225180957628534</v>
      </c>
      <c r="FQ53" s="94">
        <f>IF(EL53&lt;&gt;"",LOG(FF53*FJ53/Minerals!$C$5),"")</f>
        <v>-0.4529976251190711</v>
      </c>
      <c r="FR53" s="94">
        <f>IF(EN53&lt;&gt;"",LOG(FF53*FM53^2/Minerals!$C$2),"")</f>
        <v>-3.3845568187579431</v>
      </c>
      <c r="FS53" s="94">
        <f>IF(EO53&lt;&gt;"",LOG($FF53*$FN53/Minerals!$C$3),"")</f>
        <v>-2.5206233697753184</v>
      </c>
      <c r="FT53" s="95">
        <f>IF(EP53&lt;&gt;"",LOG($FF53*$FN53/Minerals!$C$4),"")</f>
        <v>-2.7606078812412207</v>
      </c>
      <c r="FU53" s="96"/>
      <c r="FV53" s="101">
        <f>IF(FP53&lt;&gt;"",LOG(FF53*FJ53/(EXP(-1*Minerals!$E$6/'Other Constants'!$B$2*(1/(273.15+'ppm-mgL-1'!$D53)-1/298.15)+LN(Minerals!$C$6)))),"")</f>
        <v>-1.7836789824606487</v>
      </c>
      <c r="FW53" s="94">
        <f>IF(FP53&lt;&gt;"",LOG(FF53*FJ53/(EXP(-1*Minerals!$E$5/'Other Constants'!$B$2*(1/(273.15+'ppm-mgL-1'!$D53)-1/298.15)+LN(Minerals!$C$5)))),"")</f>
        <v>-1.9142906051482667</v>
      </c>
      <c r="FX53" s="94">
        <f>IF(FR53&lt;&gt;"",LOG(FF53*FM53^2/(EXP(-1*Minerals!$E$2/'Other Constants'!$B$2*(1/(273.15+'ppm-mgL-1'!$D53)-1/298.15)+LN(Minerals!$C$2)))),"")</f>
        <v>-3.3227811707733421</v>
      </c>
      <c r="FY53" s="94">
        <f>IF(FS53&lt;&gt;"",LOG($FF53*$FN53/(EXP(-1*Minerals!$E$3/'Other Constants'!$B$2*(1/(273.15+'ppm-mgL-1'!$D53)-1/298.15)+LN(Minerals!$C$3)))),"")</f>
        <v>-1.26105181132438</v>
      </c>
      <c r="FZ53" s="95">
        <f>IF(FT53&lt;&gt;"",LOG($FF53*$FN53/(EXP(-1*Minerals!$E$4/'Other Constants'!$B$2*(1/(273.15+'ppm-mgL-1'!$D53)-1/298.15)+LN(Minerals!$C$4)))),"")</f>
        <v>-2.7966913762685759</v>
      </c>
      <c r="GA53" s="96"/>
      <c r="GB53" s="96"/>
      <c r="GC53" s="101">
        <f>10^(-1825000*(79.755*EXP(-0.0046*($D53-20))*($D53+273.15))^-1.5*$EK53^0.5/(1+'Elements and ions'!$D$12*$EK53^0.5/(2*(79.755*EXP(-0.0046*($D53-20))*($D53+273.15))^0.5)))</f>
        <v>0.91741248490579985</v>
      </c>
      <c r="GD53" s="94">
        <f>10^(-1825000*(79.755*EXP(-0.0046*($D53-20))*($D53+273.15))^-1.5*$EK53^0.5/(1+'Elements and ions'!$D$20*$EK53^0.5/(2*(79.755*EXP(-0.0046*($D53-20))*($D53+273.15))^0.5)))</f>
        <v>0.91547477346611017</v>
      </c>
      <c r="GE53" s="94">
        <f>10^(-1825000*(79.755*EXP(-0.0046*($D53-20))*($D53+273.15))^-1.5*4*$EK53^0.5/(1+'Elements and ions'!$D$21*$EK53^0.5/(2*(79.755*EXP(-0.0046*($D53-20))*($D53+273.15))^0.5)))</f>
        <v>0.71961659246953391</v>
      </c>
      <c r="GF53" s="94">
        <f>10^(-1825000*(79.755*EXP(-0.0046*($D53-20))*($D53+273.15))^-1.5*4*$EK53^0.5/(1+'Elements and ions'!$D$13*$EK53^0.5/(2*(79.755*EXP(-0.0046*($D53-20))*($D53+273.15))^0.5)))</f>
        <v>0.73003843050462947</v>
      </c>
      <c r="GG53" s="95">
        <f>10^(-1825000*(79.755*EXP(-0.0046*($D53-20))*($D53+273.15))^-1.5*4*$EK53^0.5/(1+'Elements and ions'!$D$27*$EK53^0.5/(2*(79.755*EXP(-0.0046*($D53-20))*($D53+273.15))^0.5)))</f>
        <v>0.71961659246953391</v>
      </c>
      <c r="GH53" s="101">
        <f>10^(-1825000*(79.755*EXP(-0.0046*($D53-20))*($D53+273.15))^-1.5*$EK53^0.5/(1+'Elements and ions'!$G$3*$EK53^0.5/(2*(79.755*EXP(-0.0046*($D53-20))*($D53+273.15))^0.5)))</f>
        <v>0.9104540828374259</v>
      </c>
      <c r="GI53" s="94">
        <f>10^(-1825000*(79.755*EXP(-0.0046*($D53-20))*($D53+273.15))^-1.5*4*$EK53^0.5/(1+'Elements and ions'!$G$4*$EK53^0.5/(2*(79.755*EXP(-0.0046*($D53-20))*($D53+273.15))^0.5)))</f>
        <v>0.68705163674835845</v>
      </c>
      <c r="GJ53" s="94">
        <f>10^(-1825000*(79.755*EXP(-0.0046*($D53-20))*($D53+273.15))^-1.5*$EK53^0.5/(1+'Elements and ions'!$D$18*$EK53^0.5/(2*(79.755*EXP(-0.0046*($D53-20))*($D53+273.15))^0.5)))</f>
        <v>0.91547477346611017</v>
      </c>
      <c r="GK53" s="94">
        <f>10^(-1825000*(79.755*EXP(-0.0046*($D53-20))*($D53+273.15))^-1.5*$EK53^0.5/(1+'Elements and ions'!$I$7*$EK53^0.5/(2*(79.755*EXP(-0.0046*($D53-20))*($D53+273.15))^0.5)))</f>
        <v>0.91547477346611017</v>
      </c>
      <c r="GL53" s="94">
        <f>10^(-1825000*(79.755*EXP(-0.0046*($D53-20))*($D53+273.15))^-1.5*$EK53^0.5/(1+'Elements and ions'!$D$10*$EK53^0.5/(2*(79.755*EXP(-0.0046*($D53-20))*($D53+273.15))^0.5)))</f>
        <v>0.91645485585061914</v>
      </c>
      <c r="GM53" s="95">
        <f>10^(-1825000*(79.755*EXP(-0.0046*($D53-20))*($D53+273.15))^-1.5*4*$EK53^0.5/(1+'Elements and ions'!$I$5*$EK53^0.5/(2*(79.755*EXP(-0.0046*($D53-20))*($D53+273.15))^0.5)))</f>
        <v>0.70836742955593002</v>
      </c>
      <c r="GN53" s="96"/>
      <c r="GO53" s="101">
        <f t="shared" si="741"/>
        <v>1.8913955277314879E-4</v>
      </c>
      <c r="GP53" s="94">
        <f t="shared" si="742"/>
        <v>1.3693560612230841E-4</v>
      </c>
      <c r="GQ53" s="94">
        <f t="shared" si="743"/>
        <v>7.9078796666814618E-4</v>
      </c>
      <c r="GR53" s="94">
        <f t="shared" si="744"/>
        <v>1.8459847844676288E-4</v>
      </c>
      <c r="GS53" s="95" t="str">
        <f t="shared" si="745"/>
        <v/>
      </c>
      <c r="GT53" s="101">
        <f t="shared" si="746"/>
        <v>3.1262284206467155E-4</v>
      </c>
      <c r="GU53" s="94">
        <f t="shared" si="747"/>
        <v>1.9622396078807616E-6</v>
      </c>
      <c r="GV53" s="94">
        <f t="shared" si="748"/>
        <v>1.9581287585546692E-4</v>
      </c>
      <c r="GW53" s="94">
        <f t="shared" si="749"/>
        <v>2.4032740048373792E-4</v>
      </c>
      <c r="GX53" s="94">
        <f t="shared" si="750"/>
        <v>3.7728550479837907E-6</v>
      </c>
      <c r="GY53" s="102">
        <f t="shared" si="751"/>
        <v>9.729882837238054E-5</v>
      </c>
      <c r="GZ53" s="199"/>
      <c r="HA53" s="92">
        <f>IF(AND(GQ53&lt;&gt;"",GU53&lt;&gt;""),LOG(GQ53*GU53/Minerals!$C$6),"")</f>
        <v>-0.32901590397815489</v>
      </c>
      <c r="HB53" s="94">
        <f>IF(AND(GQ53&lt;&gt;"",GU53&lt;&gt;""),LOG(GQ53*GU53/Minerals!$C$5),"")</f>
        <v>-0.45949543333437259</v>
      </c>
      <c r="HC53" s="94">
        <f>IF(AND(GQ53&lt;&gt;"",GX53&lt;&gt;""),LOG(GQ53*GX53^2/Minerals!$C$2),"")</f>
        <v>-3.3786747633680152</v>
      </c>
      <c r="HD53" s="94">
        <f>IF(AND(GQ53&lt;&gt;"",GY53&lt;&gt;""),LOG($GQ53*$GY53/Minerals!$C$3),"")</f>
        <v>-2.5138519722577239</v>
      </c>
      <c r="HE53" s="102">
        <f>IF(AND(GQ53&lt;&gt;"",GY53&lt;&gt;""),LOG($GQ53*$GY53/Minerals!$C$3),"")</f>
        <v>-2.5138519722577239</v>
      </c>
      <c r="HF53" s="199"/>
      <c r="HG53" s="92">
        <f>IF(HA53&lt;&gt;"",LOG(GQ53*GU53/(EXP(-1*Minerals!$E$6/'Other Constants'!$B$2*(1/(273.15+'ppm-mgL-1'!$D53)-1/298.15)+LN(Minerals!$C$6)))),"")</f>
        <v>-1.7901767906759503</v>
      </c>
      <c r="HH53" s="94">
        <f>IF(HA53&lt;&gt;"",LOG(GQ53*GU53/(EXP(-1*Minerals!$E$5/'Other Constants'!$B$2*(1/(273.15+'ppm-mgL-1'!$D53)-1/298.15)+LN(Minerals!$C$5)))),"")</f>
        <v>-1.9207884133635682</v>
      </c>
      <c r="HI53" s="94">
        <f>IF(HC53&lt;&gt;"",LOG(GQ53*GX53^2/(EXP(-1*Minerals!$E$2/'Other Constants'!$B$2*(1/(273.15+'ppm-mgL-1'!$D53)-1/298.15)+LN(Minerals!$C$2)))),"")</f>
        <v>-3.3168991153834142</v>
      </c>
      <c r="HJ53" s="94">
        <f>IF(HD53&lt;&gt;"",LOG($FF53*$FN53/(EXP(-1*Minerals!$E$3/'Other Constants'!$B$2*(1/(273.15+'ppm-mgL-1'!$D53)-1/298.15)+LN(Minerals!$C$3)))),"")</f>
        <v>-1.26105181132438</v>
      </c>
      <c r="HK53" s="95">
        <f>IF(HE53&lt;&gt;"",LOG($FF53*$FN53/(EXP(-1*Minerals!$E$4/'Other Constants'!$B$2*(1/(273.15+'ppm-mgL-1'!$D53)-1/298.15)+LN(Minerals!$C$4)))),"")</f>
        <v>-2.7966913762685759</v>
      </c>
      <c r="HL53" s="199"/>
      <c r="HM53" s="199"/>
    </row>
    <row r="54" spans="1:221" x14ac:dyDescent="0.25">
      <c r="A54" s="267" t="str">
        <f>'WC samples'!B25</f>
        <v>ISLM</v>
      </c>
      <c r="C54" s="266">
        <f>'WC samples'!A25</f>
        <v>41502</v>
      </c>
      <c r="D54" s="4">
        <f>'WC samples'!I25</f>
        <v>21.9</v>
      </c>
      <c r="E54" s="4">
        <f>'WC samples'!F25</f>
        <v>7.7</v>
      </c>
      <c r="AD54" s="83">
        <f>IF(E54&lt;&gt;"",10^(-2*$E54)/(10^(-2*$E54)+10^(-$E54-pKa!$B$2)+(10^(-pKa!$B$2-pKa!$C$2))),"")</f>
        <v>3.8194237486716409E-2</v>
      </c>
      <c r="AE54" s="84">
        <f>IF(E54&lt;&gt;"",10^(-$E54-pKa!$B$2)/(10^(-2*$E54)+10^(-$E54-pKa!$B$2)+10^(-pKa!$B$2-pKa!$C$2)),"")</f>
        <v>0.95939586904737717</v>
      </c>
      <c r="AF54" s="212">
        <f>IF(E54&lt;&gt;"",10^(-pKa!$B$2-pKa!$C$2)/(10^(-2*$E54)+10^(-$E54-pKa!$B$2)+10^(-pKa!$B$2-pKa!$C$2)),"")</f>
        <v>2.4098934659064369E-3</v>
      </c>
      <c r="AG54" s="152"/>
      <c r="AH54" s="222">
        <f>IF($AK54&lt;&gt;"",$AK54/'Elements and ions'!$G$3,IF($E54="","",""))</f>
        <v>4.457785752261179</v>
      </c>
      <c r="AI54" s="85">
        <f t="shared" si="688"/>
        <v>4.6232243206003054E-3</v>
      </c>
      <c r="AJ54" s="84">
        <f>IF(AI54&lt;&gt;"",AI54*1000*'Elements and ions'!$B$7,"")</f>
        <v>55.528160347434095</v>
      </c>
      <c r="AK54" s="99">
        <f>'WC samples'!H25</f>
        <v>272</v>
      </c>
      <c r="AL54" s="88">
        <f>IF($AK54&lt;&gt;"",$AK54/'Elements and ions'!$G$3*Minerals!$B$6/2,IF($E54="","","Enter Alk(HCO3-)"))</f>
        <v>223.0829784039947</v>
      </c>
      <c r="AM54" s="199"/>
      <c r="AN54" s="101">
        <f t="shared" si="491"/>
        <v>1.7658052765537119E-4</v>
      </c>
      <c r="AO54" s="94">
        <f t="shared" si="492"/>
        <v>4.4355023148632995E-3</v>
      </c>
      <c r="AP54" s="95">
        <f t="shared" si="493"/>
        <v>1.1141478081634403E-5</v>
      </c>
      <c r="AQ54" s="199"/>
      <c r="AR54" s="199"/>
      <c r="AS54" s="83">
        <f t="shared" si="66"/>
        <v>0.51935449310403281</v>
      </c>
      <c r="AT54" s="83">
        <f>IF(AN54&lt;&gt;"",AN54/'Henrys law constants'!$B$7*1000000,"")</f>
        <v>5193.5449310403283</v>
      </c>
      <c r="AU54" s="268">
        <f>'WC samples'!K25</f>
        <v>4.8676489285291451</v>
      </c>
      <c r="AV54" s="269">
        <f>'WC samples'!M25</f>
        <v>5.4945921070286916</v>
      </c>
      <c r="AW54" s="269">
        <f>'WC samples'!O25</f>
        <v>90.320780291250642</v>
      </c>
      <c r="AX54" s="269">
        <f>'WC samples'!N25</f>
        <v>6.3921039543786264</v>
      </c>
      <c r="AY54" s="226">
        <f>AO54*'Elements and ions'!$G$3*1000</f>
        <v>270.64033506564357</v>
      </c>
      <c r="AZ54" s="269">
        <f>'WC samples'!Q25</f>
        <v>7.0722984963889663</v>
      </c>
      <c r="BA54" s="269">
        <f>'WC samples'!T25</f>
        <v>15.670345574016341</v>
      </c>
      <c r="BB54" s="270">
        <f>'WC samples'!V25</f>
        <v>13.215177445834485</v>
      </c>
      <c r="BC54" s="222">
        <f>IF($E54&lt;&gt;"",10^-$E54*'Elements and ions'!B55*1000,"")</f>
        <v>0</v>
      </c>
      <c r="BE54" s="6"/>
      <c r="BF54" s="6"/>
      <c r="BG54" s="270">
        <f>'WC samples'!L25</f>
        <v>0</v>
      </c>
      <c r="BH54" s="3"/>
      <c r="BJ54" s="92">
        <f>IF($AN54&lt;&gt;"",$AN54*'Elements and ions'!$G$2*1000,"")</f>
        <v>10.952368380108311</v>
      </c>
      <c r="BK54" s="229"/>
      <c r="BL54" s="230"/>
      <c r="BM54" s="101">
        <f>IF($E54&lt;&gt;"",(10^-14+$E54)*'Elements and ions'!$G$8,"")</f>
        <v>130.95651800000016</v>
      </c>
      <c r="BO54" s="102">
        <f>IF($AP54&lt;&gt;"",$AP54*'Elements and ions'!$G$4*1000,"")</f>
        <v>0.66858784405299065</v>
      </c>
      <c r="BP54" s="269">
        <f>'WC samples'!P25</f>
        <v>8.6883803622873845E-2</v>
      </c>
      <c r="BQ54" s="270">
        <f>'WC samples'!R25</f>
        <v>0</v>
      </c>
      <c r="BR54" s="195"/>
      <c r="BS54" s="238">
        <f>IF($AU54&lt;&gt;"",$AU54/'Elements and ions'!$B$12,"")</f>
        <v>0.21173109087109312</v>
      </c>
      <c r="BT54" s="239">
        <f>IF($AV54&lt;&gt;"",$AV54/'Elements and ions'!$B$20,"")</f>
        <v>0.14053276247378252</v>
      </c>
      <c r="BU54" s="239">
        <f>IF($AW54&lt;&gt;"",$AW54/'Elements and ions'!$B$21, "")</f>
        <v>2.2536249386508969</v>
      </c>
      <c r="BV54" s="240">
        <f>IF($AX54&lt;&gt;"",$AX54/'Elements and ions'!$B$13, "")</f>
        <v>0.26299543116143287</v>
      </c>
      <c r="BW54" s="238">
        <f>IF($AY54&lt;&gt;"",$AY54/'Elements and ions'!$G$3,"")</f>
        <v>4.4355023148632995</v>
      </c>
      <c r="BX54" s="239">
        <f>IF($AZ54&lt;&gt;"",$AZ54/'Elements and ions'!$B$18,"")</f>
        <v>0.19948378124246088</v>
      </c>
      <c r="BY54" s="239">
        <f>IF($BA54&lt;&gt;"",$BA54/'Elements and ions'!$G$7,"")</f>
        <v>0.25272753563051215</v>
      </c>
      <c r="BZ54" s="241">
        <f>IF($BB54&lt;&gt;"",$BB54/'Elements and ions'!$G$5,"")</f>
        <v>0.13756839233827195</v>
      </c>
      <c r="CA54" s="91">
        <f t="shared" si="67"/>
        <v>1.9952623149688773E-5</v>
      </c>
      <c r="CB54" s="163" t="str">
        <f>IF($BD54&lt;&gt;"",$BD54/'Elements and ions'!$B$14,"")</f>
        <v/>
      </c>
      <c r="CC54" s="89" t="str">
        <f>IF($BE54&lt;&gt;"",$BE54/'Elements and ions'!$B$27, "")</f>
        <v/>
      </c>
      <c r="CD54" s="249" t="str">
        <f>IF($BF54&lt;&gt;"",$BF54/'Elements and ions'!$B$26,"")</f>
        <v/>
      </c>
      <c r="CE54" s="250">
        <f>IF($BG54&lt;&gt;"",$BG54/'Elements and ions'!$G$6,"")</f>
        <v>0</v>
      </c>
      <c r="CF54" s="91" t="str">
        <f>IF($BH54&lt;&gt;"",$BH54/'Elements and ions'!$G$15,"")</f>
        <v/>
      </c>
      <c r="CG54" s="89" t="str">
        <f>IF($BI54&lt;&gt;"",$BI54/'Elements and ions'!$G$16,"")</f>
        <v/>
      </c>
      <c r="CH54" s="90">
        <f>IF($BJ54&lt;&gt;"",$BJ54/'Elements and ions'!$G$2,"")</f>
        <v>0.17658052765537116</v>
      </c>
      <c r="CI54" s="91" t="str">
        <f>IF($BK54&lt;&gt;"",$BK54/'Elements and ions'!$B$15, "")</f>
        <v/>
      </c>
      <c r="CJ54" s="88" t="str">
        <f>IF($BL54&lt;&gt;"", $BL54/'Elements and ions'!$G$17,"")</f>
        <v/>
      </c>
      <c r="CK54" s="89">
        <f t="shared" si="68"/>
        <v>5.011872336272722E-4</v>
      </c>
      <c r="CL54" s="163" t="str">
        <f>IF($BN54&lt;&gt;"", $BN54/'Elements and ions'!$G$19,"")</f>
        <v/>
      </c>
      <c r="CM54" s="89">
        <f>IF($BO54&lt;&gt;"",$BO54/'Elements and ions'!$G$4,"")</f>
        <v>1.1141478081634402E-2</v>
      </c>
      <c r="CN54" s="89">
        <f>IF($BP54&lt;&gt;"",$BP54/'Elements and ions'!$B$10,"")</f>
        <v>4.5732161123348434E-3</v>
      </c>
      <c r="CO54" s="104">
        <f>IF($BQ54&lt;&gt;"",$BQ54/'Elements and ions'!$G$18,"")</f>
        <v>0</v>
      </c>
      <c r="CP54" s="242"/>
      <c r="CQ54" s="238">
        <f t="shared" si="689"/>
        <v>2.1173109087109312E-4</v>
      </c>
      <c r="CR54" s="239">
        <f t="shared" si="690"/>
        <v>1.4053276247378251E-4</v>
      </c>
      <c r="CS54" s="239">
        <f t="shared" si="691"/>
        <v>2.2536249386508967E-3</v>
      </c>
      <c r="CT54" s="241">
        <f t="shared" si="692"/>
        <v>2.6299543116143286E-4</v>
      </c>
      <c r="CU54" s="238">
        <f t="shared" si="693"/>
        <v>4.4355023148632995E-3</v>
      </c>
      <c r="CV54" s="239">
        <f t="shared" si="694"/>
        <v>1.9948378124246089E-4</v>
      </c>
      <c r="CW54" s="239">
        <f t="shared" si="695"/>
        <v>2.5272753563051212E-4</v>
      </c>
      <c r="CX54" s="241">
        <f t="shared" si="696"/>
        <v>1.3756839233827195E-4</v>
      </c>
      <c r="CY54" s="258">
        <f t="shared" si="98"/>
        <v>1.9952623149688773E-8</v>
      </c>
      <c r="CZ54" s="259" t="str">
        <f t="shared" si="697"/>
        <v/>
      </c>
      <c r="DA54" s="260" t="str">
        <f t="shared" si="698"/>
        <v/>
      </c>
      <c r="DB54" s="261" t="str">
        <f t="shared" si="699"/>
        <v/>
      </c>
      <c r="DC54" s="262">
        <f t="shared" si="700"/>
        <v>0</v>
      </c>
      <c r="DD54" s="263" t="str">
        <f t="shared" si="701"/>
        <v/>
      </c>
      <c r="DE54" s="259" t="str">
        <f t="shared" si="702"/>
        <v/>
      </c>
      <c r="DF54" s="260">
        <f t="shared" si="703"/>
        <v>1.7658052765537116E-4</v>
      </c>
      <c r="DG54" s="260" t="str">
        <f t="shared" si="704"/>
        <v/>
      </c>
      <c r="DH54" s="264" t="str">
        <f t="shared" si="705"/>
        <v/>
      </c>
      <c r="DI54" s="258">
        <f t="shared" si="108"/>
        <v>5.0118723362727218E-7</v>
      </c>
      <c r="DJ54" s="260" t="str">
        <f t="shared" si="706"/>
        <v/>
      </c>
      <c r="DK54" s="260">
        <f t="shared" si="707"/>
        <v>1.1141478081634403E-5</v>
      </c>
      <c r="DL54" s="260">
        <f t="shared" si="708"/>
        <v>4.5732161123348437E-6</v>
      </c>
      <c r="DM54" s="265">
        <f t="shared" si="709"/>
        <v>0</v>
      </c>
      <c r="DN54" s="242"/>
      <c r="DO54" s="238">
        <f t="shared" si="710"/>
        <v>0.21173109087109312</v>
      </c>
      <c r="DP54" s="239">
        <f t="shared" si="711"/>
        <v>0.14053276247378252</v>
      </c>
      <c r="DQ54" s="239">
        <f t="shared" si="712"/>
        <v>4.5072498773017937</v>
      </c>
      <c r="DR54" s="241">
        <f t="shared" si="713"/>
        <v>0.52599086232286574</v>
      </c>
      <c r="DS54" s="238">
        <f t="shared" si="714"/>
        <v>-4.4355023148632995</v>
      </c>
      <c r="DT54" s="239">
        <f t="shared" si="715"/>
        <v>-0.19948378124246088</v>
      </c>
      <c r="DU54" s="239">
        <f t="shared" si="716"/>
        <v>-0.25272753563051215</v>
      </c>
      <c r="DV54" s="241">
        <f t="shared" si="717"/>
        <v>-0.2751367846765439</v>
      </c>
      <c r="DW54" s="91">
        <f t="shared" si="113"/>
        <v>1.9952623149688773E-5</v>
      </c>
      <c r="DX54" s="89">
        <f t="shared" si="718"/>
        <v>0</v>
      </c>
      <c r="DY54" s="89">
        <f t="shared" si="719"/>
        <v>0</v>
      </c>
      <c r="DZ54" s="89">
        <f t="shared" si="720"/>
        <v>0</v>
      </c>
      <c r="EA54" s="90">
        <f t="shared" si="721"/>
        <v>0</v>
      </c>
      <c r="EB54" s="91">
        <f t="shared" si="118"/>
        <v>-5.011872336272722E-4</v>
      </c>
      <c r="EC54" s="89">
        <f t="shared" si="722"/>
        <v>0</v>
      </c>
      <c r="ED54" s="89">
        <f t="shared" si="723"/>
        <v>-2.2282956163268804E-2</v>
      </c>
      <c r="EE54" s="89">
        <f t="shared" si="724"/>
        <v>-4.5732161123348434E-3</v>
      </c>
      <c r="EF54" s="90">
        <f t="shared" si="725"/>
        <v>0</v>
      </c>
      <c r="EG54" s="242"/>
      <c r="EH54" s="245">
        <f t="shared" si="726"/>
        <v>5.385524545592685</v>
      </c>
      <c r="EI54" s="246">
        <f t="shared" si="727"/>
        <v>-5.1902077759220484</v>
      </c>
      <c r="EJ54" s="198">
        <f t="shared" si="728"/>
        <v>1.8468391949869427</v>
      </c>
      <c r="EK54" s="198">
        <f t="shared" si="729"/>
        <v>1.3239030399199148E-2</v>
      </c>
      <c r="EL54" s="101">
        <f>IF(AND(CS54&lt;&gt;"",DK54&lt;&gt;""),LOG(CS54*DK54/Minerals!$C$6),"")</f>
        <v>0.8799964563761824</v>
      </c>
      <c r="EM54" s="94">
        <f>IF(AND(CS54&lt;&gt;"",DK54&lt;&gt;""),LOG(CS54*DK54/Minerals!$C$5),"")</f>
        <v>0.74951692701996464</v>
      </c>
      <c r="EN54" s="94">
        <f>IF(AND(CS54&lt;&gt;"",DL54&lt;&gt;""),LOG(CS54*DL54^2/Minerals!$C$2),"")</f>
        <v>-2.7567499657839187</v>
      </c>
      <c r="EO54" s="94">
        <f>IF(AND(CS54&lt;&gt;"",CX54&lt;&gt;""),LOG($CS54*$CX54/Minerals!$C$3),"")</f>
        <v>-1.9086193331257926</v>
      </c>
      <c r="EP54" s="95">
        <f>IF(AND(CS54&lt;&gt;"",CX54&lt;&gt;""),LOG($CS54*$CX54/Minerals!$C$4),"")</f>
        <v>-2.1486038445916948</v>
      </c>
      <c r="EQ54" s="199"/>
      <c r="ER54" s="101">
        <f t="shared" si="752"/>
        <v>0.88798569066744337</v>
      </c>
      <c r="ES54" s="94">
        <f t="shared" si="752"/>
        <v>0.88798569066744337</v>
      </c>
      <c r="ET54" s="94">
        <f t="shared" si="753"/>
        <v>0.62176156177659558</v>
      </c>
      <c r="EU54" s="94">
        <f t="shared" si="753"/>
        <v>0.62176156177659558</v>
      </c>
      <c r="EV54" s="95">
        <f t="shared" si="753"/>
        <v>0.62176156177659558</v>
      </c>
      <c r="EW54" s="101">
        <f t="shared" si="754"/>
        <v>0.88798569066744337</v>
      </c>
      <c r="EX54" s="94">
        <f t="shared" si="31"/>
        <v>0.62176156177659558</v>
      </c>
      <c r="EY54" s="94">
        <f t="shared" si="754"/>
        <v>0.88798569066744337</v>
      </c>
      <c r="EZ54" s="94">
        <f t="shared" si="754"/>
        <v>0.88798569066744337</v>
      </c>
      <c r="FA54" s="94">
        <f t="shared" si="165"/>
        <v>0.88798569066744337</v>
      </c>
      <c r="FB54" s="95">
        <f t="shared" si="32"/>
        <v>0.62176156177659558</v>
      </c>
      <c r="FC54" s="199"/>
      <c r="FD54" s="101">
        <f t="shared" si="730"/>
        <v>1.8801417896293883E-4</v>
      </c>
      <c r="FE54" s="94">
        <f t="shared" si="731"/>
        <v>1.2479108214668552E-4</v>
      </c>
      <c r="FF54" s="94">
        <f t="shared" si="732"/>
        <v>1.401217361514266E-3</v>
      </c>
      <c r="FG54" s="94">
        <f t="shared" si="733"/>
        <v>1.6352045001904162E-4</v>
      </c>
      <c r="FH54" s="95" t="str">
        <f t="shared" si="734"/>
        <v/>
      </c>
      <c r="FI54" s="101">
        <f t="shared" si="735"/>
        <v>3.9386625865209307E-3</v>
      </c>
      <c r="FJ54" s="94">
        <f t="shared" si="736"/>
        <v>6.9273428125367144E-6</v>
      </c>
      <c r="FK54" s="94">
        <f t="shared" si="737"/>
        <v>1.7713874326353982E-4</v>
      </c>
      <c r="FL54" s="94">
        <f t="shared" si="738"/>
        <v>2.2441843527754122E-4</v>
      </c>
      <c r="FM54" s="94">
        <f t="shared" si="739"/>
        <v>4.0609504680831363E-6</v>
      </c>
      <c r="FN54" s="95">
        <f t="shared" si="740"/>
        <v>8.5534738471339415E-5</v>
      </c>
      <c r="FO54" s="199"/>
      <c r="FP54" s="101">
        <f>IF(EL54&lt;&gt;"",LOG(FF54*FJ54/Minerals!$C$6),"")</f>
        <v>0.46724419599021699</v>
      </c>
      <c r="FQ54" s="94">
        <f>IF(EL54&lt;&gt;"",LOG(FF54*FJ54/Minerals!$C$5),"")</f>
        <v>0.33676466663399929</v>
      </c>
      <c r="FR54" s="94">
        <f>IF(EN54&lt;&gt;"",LOG(FF54*FM54^2/Minerals!$C$2),"")</f>
        <v>-3.0663141610733926</v>
      </c>
      <c r="FS54" s="94">
        <f>IF(EO54&lt;&gt;"",LOG($FF54*$FN54/Minerals!$C$3),"")</f>
        <v>-2.321371593511758</v>
      </c>
      <c r="FT54" s="95">
        <f>IF(EP54&lt;&gt;"",LOG($FF54*$FN54/Minerals!$C$4),"")</f>
        <v>-2.5613561049776603</v>
      </c>
      <c r="FU54" s="96"/>
      <c r="FV54" s="101">
        <f>IF(FP54&lt;&gt;"",LOG(FF54*FJ54/(EXP(-1*Minerals!$E$6/'Other Constants'!$B$2*(1/(273.15+'ppm-mgL-1'!$D54)-1/298.15)+LN(Minerals!$C$6)))),"")</f>
        <v>-0.7544821734051087</v>
      </c>
      <c r="FW54" s="94">
        <f>IF(FP54&lt;&gt;"",LOG(FF54*FJ54/(EXP(-1*Minerals!$E$5/'Other Constants'!$B$2*(1/(273.15+'ppm-mgL-1'!$D54)-1/298.15)+LN(Minerals!$C$5)))),"")</f>
        <v>-0.88507215049344268</v>
      </c>
      <c r="FX54" s="94">
        <f>IF(FR54&lt;&gt;"",LOG(FF54*FM54^2/(EXP(-1*Minerals!$E$2/'Other Constants'!$B$2*(1/(273.15+'ppm-mgL-1'!$D54)-1/298.15)+LN(Minerals!$C$2)))),"")</f>
        <v>-3.0146614383538308</v>
      </c>
      <c r="FY54" s="94">
        <f>IF(FS54&lt;&gt;"",LOG($FF54*$FN54/(EXP(-1*Minerals!$E$3/'Other Constants'!$B$2*(1/(273.15+'ppm-mgL-1'!$D54)-1/298.15)+LN(Minerals!$C$3)))),"")</f>
        <v>-1.2682009255111515</v>
      </c>
      <c r="FZ54" s="95">
        <f>IF(FT54&lt;&gt;"",LOG($FF54*$FN54/(EXP(-1*Minerals!$E$4/'Other Constants'!$B$2*(1/(273.15+'ppm-mgL-1'!$D54)-1/298.15)+LN(Minerals!$C$4)))),"")</f>
        <v>-2.5915267438006682</v>
      </c>
      <c r="GA54" s="96"/>
      <c r="GB54" s="96"/>
      <c r="GC54" s="101">
        <f>10^(-1825000*(79.755*EXP(-0.0046*($D54-20))*($D54+273.15))^-1.5*$EK54^0.5/(1+'Elements and ions'!$D$12*$EK54^0.5/(2*(79.755*EXP(-0.0046*($D54-20))*($D54+273.15))^0.5)))</f>
        <v>0.88874751441948741</v>
      </c>
      <c r="GD54" s="94">
        <f>10^(-1825000*(79.755*EXP(-0.0046*($D54-20))*($D54+273.15))^-1.5*$EK54^0.5/(1+'Elements and ions'!$D$20*$EK54^0.5/(2*(79.755*EXP(-0.0046*($D54-20))*($D54+273.15))^0.5)))</f>
        <v>0.88520710425995774</v>
      </c>
      <c r="GE54" s="94">
        <f>10^(-1825000*(79.755*EXP(-0.0046*($D54-20))*($D54+273.15))^-1.5*4*$EK54^0.5/(1+'Elements and ions'!$D$21*$EK54^0.5/(2*(79.755*EXP(-0.0046*($D54-20))*($D54+273.15))^0.5)))</f>
        <v>0.64224897541751647</v>
      </c>
      <c r="GF54" s="94">
        <f>10^(-1825000*(79.755*EXP(-0.0046*($D54-20))*($D54+273.15))^-1.5*4*$EK54^0.5/(1+'Elements and ions'!$D$13*$EK54^0.5/(2*(79.755*EXP(-0.0046*($D54-20))*($D54+273.15))^0.5)))</f>
        <v>0.65892438430357481</v>
      </c>
      <c r="GG54" s="95">
        <f>10^(-1825000*(79.755*EXP(-0.0046*($D54-20))*($D54+273.15))^-1.5*4*$EK54^0.5/(1+'Elements and ions'!$D$27*$EK54^0.5/(2*(79.755*EXP(-0.0046*($D54-20))*($D54+273.15))^0.5)))</f>
        <v>0.64224897541751647</v>
      </c>
      <c r="GH54" s="101">
        <f>10^(-1825000*(79.755*EXP(-0.0046*($D54-20))*($D54+273.15))^-1.5*$EK54^0.5/(1+'Elements and ions'!$G$3*$EK54^0.5/(2*(79.755*EXP(-0.0046*($D54-20))*($D54+273.15))^0.5)))</f>
        <v>0.87575978945937982</v>
      </c>
      <c r="GI54" s="94">
        <f>10^(-1825000*(79.755*EXP(-0.0046*($D54-20))*($D54+273.15))^-1.5*4*$EK54^0.5/(1+'Elements and ions'!$G$4*$EK54^0.5/(2*(79.755*EXP(-0.0046*($D54-20))*($D54+273.15))^0.5)))</f>
        <v>0.58810441332586949</v>
      </c>
      <c r="GJ54" s="94">
        <f>10^(-1825000*(79.755*EXP(-0.0046*($D54-20))*($D54+273.15))^-1.5*$EK54^0.5/(1+'Elements and ions'!$D$18*$EK54^0.5/(2*(79.755*EXP(-0.0046*($D54-20))*($D54+273.15))^0.5)))</f>
        <v>0.88520710425995774</v>
      </c>
      <c r="GK54" s="94">
        <f>10^(-1825000*(79.755*EXP(-0.0046*($D54-20))*($D54+273.15))^-1.5*$EK54^0.5/(1+'Elements and ions'!$I$7*$EK54^0.5/(2*(79.755*EXP(-0.0046*($D54-20))*($D54+273.15))^0.5)))</f>
        <v>0.88520710425995774</v>
      </c>
      <c r="GL54" s="94">
        <f>10^(-1825000*(79.755*EXP(-0.0046*($D54-20))*($D54+273.15))^-1.5*$EK54^0.5/(1+'Elements and ions'!$D$10*$EK54^0.5/(2*(79.755*EXP(-0.0046*($D54-20))*($D54+273.15))^0.5)))</f>
        <v>0.88700499969197177</v>
      </c>
      <c r="GM54" s="95">
        <f>10^(-1825000*(79.755*EXP(-0.0046*($D54-20))*($D54+273.15))^-1.5*4*$EK54^0.5/(1+'Elements and ions'!$I$5*$EK54^0.5/(2*(79.755*EXP(-0.0046*($D54-20))*($D54+273.15))^0.5)))</f>
        <v>0.62389800447822885</v>
      </c>
      <c r="GN54" s="96"/>
      <c r="GO54" s="101">
        <f t="shared" si="741"/>
        <v>1.8817548073701062E-4</v>
      </c>
      <c r="GP54" s="94">
        <f t="shared" si="742"/>
        <v>1.2440059972306948E-4</v>
      </c>
      <c r="GQ54" s="94">
        <f t="shared" si="743"/>
        <v>1.4473883078239018E-3</v>
      </c>
      <c r="GR54" s="94">
        <f t="shared" si="744"/>
        <v>1.7329410255270035E-4</v>
      </c>
      <c r="GS54" s="95" t="str">
        <f t="shared" si="745"/>
        <v/>
      </c>
      <c r="GT54" s="101">
        <f t="shared" si="746"/>
        <v>3.884434573411275E-3</v>
      </c>
      <c r="GU54" s="94">
        <f t="shared" si="747"/>
        <v>6.5523524307826345E-6</v>
      </c>
      <c r="GV54" s="94">
        <f t="shared" si="748"/>
        <v>1.7658446034046567E-4</v>
      </c>
      <c r="GW54" s="94">
        <f t="shared" si="749"/>
        <v>2.2371620998224093E-4</v>
      </c>
      <c r="GX54" s="94">
        <f t="shared" si="750"/>
        <v>4.0564655563128881E-6</v>
      </c>
      <c r="GY54" s="102">
        <f t="shared" si="751"/>
        <v>8.5828645459125932E-5</v>
      </c>
      <c r="GZ54" s="199"/>
      <c r="HA54" s="92">
        <f>IF(AND(GQ54&lt;&gt;"",GU54&lt;&gt;""),LOG(GQ54*GU54/Minerals!$C$6),"")</f>
        <v>0.45715431498393744</v>
      </c>
      <c r="HB54" s="94">
        <f>IF(AND(GQ54&lt;&gt;"",GU54&lt;&gt;""),LOG(GQ54*GU54/Minerals!$C$5),"")</f>
        <v>0.32667478562771979</v>
      </c>
      <c r="HC54" s="94">
        <f>IF(AND(GQ54&lt;&gt;"",GX54&lt;&gt;""),LOG(GQ54*GX54^2/Minerals!$C$2),"")</f>
        <v>-3.053194410111387</v>
      </c>
      <c r="HD54" s="94">
        <f>IF(AND(GQ54&lt;&gt;"",GY54&lt;&gt;""),LOG($GQ54*$GY54/Minerals!$C$3),"")</f>
        <v>-2.305802316465845</v>
      </c>
      <c r="HE54" s="102">
        <f>IF(AND(GQ54&lt;&gt;"",GY54&lt;&gt;""),LOG($GQ54*$GY54/Minerals!$C$3),"")</f>
        <v>-2.305802316465845</v>
      </c>
      <c r="HF54" s="199"/>
      <c r="HG54" s="92">
        <f>IF(HA54&lt;&gt;"",LOG(GQ54*GU54/(EXP(-1*Minerals!$E$6/'Other Constants'!$B$2*(1/(273.15+'ppm-mgL-1'!$D54)-1/298.15)+LN(Minerals!$C$6)))),"")</f>
        <v>-0.76457205441138831</v>
      </c>
      <c r="HH54" s="94">
        <f>IF(HA54&lt;&gt;"",LOG(GQ54*GU54/(EXP(-1*Minerals!$E$5/'Other Constants'!$B$2*(1/(273.15+'ppm-mgL-1'!$D54)-1/298.15)+LN(Minerals!$C$5)))),"")</f>
        <v>-0.89516203149972218</v>
      </c>
      <c r="HI54" s="94">
        <f>IF(HC54&lt;&gt;"",LOG(GQ54*GX54^2/(EXP(-1*Minerals!$E$2/'Other Constants'!$B$2*(1/(273.15+'ppm-mgL-1'!$D54)-1/298.15)+LN(Minerals!$C$2)))),"")</f>
        <v>-3.0015416873918253</v>
      </c>
      <c r="HJ54" s="94">
        <f>IF(HD54&lt;&gt;"",LOG($FF54*$FN54/(EXP(-1*Minerals!$E$3/'Other Constants'!$B$2*(1/(273.15+'ppm-mgL-1'!$D54)-1/298.15)+LN(Minerals!$C$3)))),"")</f>
        <v>-1.2682009255111515</v>
      </c>
      <c r="HK54" s="95">
        <f>IF(HE54&lt;&gt;"",LOG($FF54*$FN54/(EXP(-1*Minerals!$E$4/'Other Constants'!$B$2*(1/(273.15+'ppm-mgL-1'!$D54)-1/298.15)+LN(Minerals!$C$4)))),"")</f>
        <v>-2.5915267438006682</v>
      </c>
      <c r="HL54" s="199"/>
      <c r="HM54" s="199"/>
    </row>
    <row r="55" spans="1:221" x14ac:dyDescent="0.25">
      <c r="A55" s="267" t="str">
        <f>'WC samples'!B26</f>
        <v>ISLM</v>
      </c>
      <c r="C55" s="266">
        <f>'WC samples'!A26</f>
        <v>41566</v>
      </c>
      <c r="D55" s="4">
        <f>'WC samples'!I26</f>
        <v>22.2</v>
      </c>
      <c r="E55" s="4">
        <f>'WC samples'!F26</f>
        <v>7.83</v>
      </c>
      <c r="AD55" s="83">
        <f>IF(E55&lt;&gt;"",10^(-2*$E55)/(10^(-2*$E55)+10^(-$E55-pKa!$B$2)+(10^(-pKa!$B$2-pKa!$C$2))),"")</f>
        <v>2.8572056359859006E-2</v>
      </c>
      <c r="AE55" s="84">
        <f>IF(E55&lt;&gt;"",10^(-$E55-pKa!$B$2)/(10^(-2*$E55)+10^(-$E55-pKa!$B$2)+10^(-pKa!$B$2-pKa!$C$2)),"")</f>
        <v>0.96814743264182246</v>
      </c>
      <c r="AF55" s="212">
        <f>IF(E55&lt;&gt;"",10^(-pKa!$B$2-pKa!$C$2)/(10^(-2*$E55)+10^(-$E55-pKa!$B$2)+10^(-pKa!$B$2-pKa!$C$2)),"")</f>
        <v>3.280510998318522E-3</v>
      </c>
      <c r="AG55" s="152"/>
      <c r="AH55" s="222">
        <f>IF($AK55&lt;&gt;"",$AK55/'Elements and ions'!$G$3,IF($E55="","",""))</f>
        <v>3.6875065965395786</v>
      </c>
      <c r="AI55" s="85">
        <f t="shared" si="688"/>
        <v>3.783188621889469E-3</v>
      </c>
      <c r="AJ55" s="84">
        <f>IF(AI55&lt;&gt;"",AI55*1000*'Elements and ions'!$B$7,"")</f>
        <v>45.438743580927841</v>
      </c>
      <c r="AK55" s="99">
        <f>'WC samples'!H26</f>
        <v>225</v>
      </c>
      <c r="AL55" s="88">
        <f>IF($AK55&lt;&gt;"",$AK55/'Elements and ions'!$G$3*Minerals!$B$6/2,IF($E55="","","Enter Alk(HCO3-)"))</f>
        <v>184.53555198859857</v>
      </c>
      <c r="AM55" s="199"/>
      <c r="AN55" s="101">
        <f t="shared" si="491"/>
        <v>1.0809347852460323E-4</v>
      </c>
      <c r="AO55" s="94">
        <f t="shared" si="492"/>
        <v>3.6626843514820438E-3</v>
      </c>
      <c r="AP55" s="95">
        <f t="shared" si="493"/>
        <v>1.2410791882821895E-5</v>
      </c>
      <c r="AQ55" s="199"/>
      <c r="AR55" s="199"/>
      <c r="AS55" s="83">
        <f t="shared" si="66"/>
        <v>0.3179219956605977</v>
      </c>
      <c r="AT55" s="83">
        <f>IF(AN55&lt;&gt;"",AN55/'Henrys law constants'!$B$7*1000000,"")</f>
        <v>3179.2199566059771</v>
      </c>
      <c r="AU55" s="268">
        <f>'WC samples'!K26</f>
        <v>4.7954999999999997</v>
      </c>
      <c r="AV55" s="269">
        <f>'WC samples'!M26</f>
        <v>5.6825000000000001</v>
      </c>
      <c r="AW55" s="269">
        <f>'WC samples'!O26</f>
        <v>88.970399999999998</v>
      </c>
      <c r="AX55" s="269">
        <f>'WC samples'!N26</f>
        <v>6.4169999999999998</v>
      </c>
      <c r="AY55" s="226">
        <f>AO55*'Elements and ions'!$G$3*1000</f>
        <v>223.48542504488361</v>
      </c>
      <c r="AZ55" s="269">
        <f>'WC samples'!Q26</f>
        <v>5.7857000000000003</v>
      </c>
      <c r="BA55" s="269">
        <f>'WC samples'!T26</f>
        <v>801.8886</v>
      </c>
      <c r="BB55" s="270">
        <f>'WC samples'!V26</f>
        <v>12.689299999999999</v>
      </c>
      <c r="BC55" s="222">
        <f>IF($E55&lt;&gt;"",10^-$E55*'Elements and ions'!B56*1000,"")</f>
        <v>0</v>
      </c>
      <c r="BE55" s="6"/>
      <c r="BF55" s="6"/>
      <c r="BG55" s="270">
        <f>'WC samples'!L26</f>
        <v>0</v>
      </c>
      <c r="BH55" s="3"/>
      <c r="BJ55" s="92">
        <f>IF($AN55&lt;&gt;"",$AN55*'Elements and ions'!$G$2*1000,"")</f>
        <v>6.7044742249232394</v>
      </c>
      <c r="BK55" s="229"/>
      <c r="BL55" s="230"/>
      <c r="BM55" s="101">
        <f>IF($E55&lt;&gt;"",(10^-14+$E55)*'Elements and ions'!$G$8,"")</f>
        <v>133.16747220000016</v>
      </c>
      <c r="BO55" s="102">
        <f>IF($AP55&lt;&gt;"",$AP55*'Elements and ions'!$G$4*1000,"")</f>
        <v>0.74475796901707081</v>
      </c>
      <c r="BP55" s="269">
        <f>'WC samples'!P26</f>
        <v>6.2300000000000001E-2</v>
      </c>
      <c r="BQ55" s="270">
        <f>'WC samples'!R26</f>
        <v>0</v>
      </c>
      <c r="BR55" s="195"/>
      <c r="BS55" s="238">
        <f>IF($AU55&lt;&gt;"",$AU55/'Elements and ions'!$B$12,"")</f>
        <v>0.20859278497291642</v>
      </c>
      <c r="BT55" s="239">
        <f>IF($AV55&lt;&gt;"",$AV55/'Elements and ions'!$B$20,"")</f>
        <v>0.1453387998966707</v>
      </c>
      <c r="BU55" s="239">
        <f>IF($AW55&lt;&gt;"",$AW55/'Elements and ions'!$B$21, "")</f>
        <v>2.2199311342881378</v>
      </c>
      <c r="BV55" s="240">
        <f>IF($AX55&lt;&gt;"",$AX55/'Elements and ions'!$B$13, "")</f>
        <v>0.26401974902283482</v>
      </c>
      <c r="BW55" s="238">
        <f>IF($AY55&lt;&gt;"",$AY55/'Elements and ions'!$G$3,"")</f>
        <v>3.662684351482044</v>
      </c>
      <c r="BX55" s="239">
        <f>IF($AZ55&lt;&gt;"",$AZ55/'Elements and ions'!$B$18,"")</f>
        <v>0.16319352382026908</v>
      </c>
      <c r="BY55" s="239">
        <f>IF($BA55&lt;&gt;"",$BA55/'Elements and ions'!$G$7,"")</f>
        <v>12.932664999056525</v>
      </c>
      <c r="BZ55" s="241">
        <f>IF($BB55&lt;&gt;"",$BB55/'Elements and ions'!$G$5,"")</f>
        <v>0.13209407199055614</v>
      </c>
      <c r="CA55" s="91">
        <f t="shared" si="67"/>
        <v>1.4791083881682026E-5</v>
      </c>
      <c r="CB55" s="163" t="str">
        <f>IF($BD55&lt;&gt;"",$BD55/'Elements and ions'!$B$14,"")</f>
        <v/>
      </c>
      <c r="CC55" s="89" t="str">
        <f>IF($BE55&lt;&gt;"",$BE55/'Elements and ions'!$B$27, "")</f>
        <v/>
      </c>
      <c r="CD55" s="249" t="str">
        <f>IF($BF55&lt;&gt;"",$BF55/'Elements and ions'!$B$26,"")</f>
        <v/>
      </c>
      <c r="CE55" s="250">
        <f>IF($BG55&lt;&gt;"",$BG55/'Elements and ions'!$G$6,"")</f>
        <v>0</v>
      </c>
      <c r="CF55" s="91" t="str">
        <f>IF($BH55&lt;&gt;"",$BH55/'Elements and ions'!$G$15,"")</f>
        <v/>
      </c>
      <c r="CG55" s="89" t="str">
        <f>IF($BI55&lt;&gt;"",$BI55/'Elements and ions'!$G$16,"")</f>
        <v/>
      </c>
      <c r="CH55" s="90">
        <f>IF($BJ55&lt;&gt;"",$BJ55/'Elements and ions'!$G$2,"")</f>
        <v>0.10809347852460323</v>
      </c>
      <c r="CI55" s="91" t="str">
        <f>IF($BK55&lt;&gt;"",$BK55/'Elements and ions'!$B$15, "")</f>
        <v/>
      </c>
      <c r="CJ55" s="88" t="str">
        <f>IF($BL55&lt;&gt;"", $BL55/'Elements and ions'!$G$17,"")</f>
        <v/>
      </c>
      <c r="CK55" s="89">
        <f t="shared" si="68"/>
        <v>6.7608297539198088E-4</v>
      </c>
      <c r="CL55" s="163" t="str">
        <f>IF($BN55&lt;&gt;"", $BN55/'Elements and ions'!$G$19,"")</f>
        <v/>
      </c>
      <c r="CM55" s="89">
        <f>IF($BO55&lt;&gt;"",$BO55/'Elements and ions'!$G$4,"")</f>
        <v>1.2410791882821896E-2</v>
      </c>
      <c r="CN55" s="89">
        <f>IF($BP55&lt;&gt;"",$BP55/'Elements and ions'!$B$10,"")</f>
        <v>3.2792229612223413E-3</v>
      </c>
      <c r="CO55" s="104">
        <f>IF($BQ55&lt;&gt;"",$BQ55/'Elements and ions'!$G$18,"")</f>
        <v>0</v>
      </c>
      <c r="CP55" s="242"/>
      <c r="CQ55" s="238">
        <f t="shared" si="689"/>
        <v>2.085927849729164E-4</v>
      </c>
      <c r="CR55" s="239">
        <f t="shared" si="690"/>
        <v>1.4533879989667069E-4</v>
      </c>
      <c r="CS55" s="239">
        <f t="shared" si="691"/>
        <v>2.219931134288138E-3</v>
      </c>
      <c r="CT55" s="241">
        <f t="shared" si="692"/>
        <v>2.640197490228348E-4</v>
      </c>
      <c r="CU55" s="238">
        <f t="shared" si="693"/>
        <v>3.6626843514820438E-3</v>
      </c>
      <c r="CV55" s="239">
        <f t="shared" si="694"/>
        <v>1.6319352382026907E-4</v>
      </c>
      <c r="CW55" s="239">
        <f t="shared" si="695"/>
        <v>1.2932664999056525E-2</v>
      </c>
      <c r="CX55" s="241">
        <f t="shared" si="696"/>
        <v>1.3209407199055615E-4</v>
      </c>
      <c r="CY55" s="258">
        <f t="shared" si="98"/>
        <v>1.4791083881682026E-8</v>
      </c>
      <c r="CZ55" s="259" t="str">
        <f t="shared" si="697"/>
        <v/>
      </c>
      <c r="DA55" s="260" t="str">
        <f t="shared" si="698"/>
        <v/>
      </c>
      <c r="DB55" s="261" t="str">
        <f t="shared" si="699"/>
        <v/>
      </c>
      <c r="DC55" s="262">
        <f t="shared" si="700"/>
        <v>0</v>
      </c>
      <c r="DD55" s="263" t="str">
        <f t="shared" si="701"/>
        <v/>
      </c>
      <c r="DE55" s="259" t="str">
        <f t="shared" si="702"/>
        <v/>
      </c>
      <c r="DF55" s="260">
        <f t="shared" si="703"/>
        <v>1.0809347852460323E-4</v>
      </c>
      <c r="DG55" s="260" t="str">
        <f t="shared" si="704"/>
        <v/>
      </c>
      <c r="DH55" s="264" t="str">
        <f t="shared" si="705"/>
        <v/>
      </c>
      <c r="DI55" s="258">
        <f t="shared" si="108"/>
        <v>6.7608297539198085E-7</v>
      </c>
      <c r="DJ55" s="260" t="str">
        <f t="shared" si="706"/>
        <v/>
      </c>
      <c r="DK55" s="260">
        <f t="shared" si="707"/>
        <v>1.2410791882821897E-5</v>
      </c>
      <c r="DL55" s="260">
        <f t="shared" si="708"/>
        <v>3.2792229612223415E-6</v>
      </c>
      <c r="DM55" s="265">
        <f t="shared" si="709"/>
        <v>0</v>
      </c>
      <c r="DN55" s="242"/>
      <c r="DO55" s="238">
        <f t="shared" si="710"/>
        <v>0.20859278497291642</v>
      </c>
      <c r="DP55" s="239">
        <f t="shared" si="711"/>
        <v>0.1453387998966707</v>
      </c>
      <c r="DQ55" s="239">
        <f t="shared" si="712"/>
        <v>4.4398622685762756</v>
      </c>
      <c r="DR55" s="241">
        <f t="shared" si="713"/>
        <v>0.52803949804566963</v>
      </c>
      <c r="DS55" s="238">
        <f t="shared" si="714"/>
        <v>-3.662684351482044</v>
      </c>
      <c r="DT55" s="239">
        <f t="shared" si="715"/>
        <v>-0.16319352382026908</v>
      </c>
      <c r="DU55" s="239">
        <f t="shared" si="716"/>
        <v>-12.932664999056525</v>
      </c>
      <c r="DV55" s="241">
        <f t="shared" si="717"/>
        <v>-0.26418814398111229</v>
      </c>
      <c r="DW55" s="91">
        <f t="shared" si="113"/>
        <v>1.4791083881682026E-5</v>
      </c>
      <c r="DX55" s="89">
        <f t="shared" si="718"/>
        <v>0</v>
      </c>
      <c r="DY55" s="89">
        <f t="shared" si="719"/>
        <v>0</v>
      </c>
      <c r="DZ55" s="89">
        <f t="shared" si="720"/>
        <v>0</v>
      </c>
      <c r="EA55" s="90">
        <f t="shared" si="721"/>
        <v>0</v>
      </c>
      <c r="EB55" s="91">
        <f t="shared" si="118"/>
        <v>-6.7608297539198088E-4</v>
      </c>
      <c r="EC55" s="89">
        <f t="shared" si="722"/>
        <v>0</v>
      </c>
      <c r="ED55" s="89">
        <f t="shared" si="723"/>
        <v>-2.4821583765643793E-2</v>
      </c>
      <c r="EE55" s="89">
        <f t="shared" si="724"/>
        <v>-3.2792229612223413E-3</v>
      </c>
      <c r="EF55" s="90">
        <f t="shared" si="725"/>
        <v>0</v>
      </c>
      <c r="EG55" s="242"/>
      <c r="EH55" s="245">
        <f t="shared" si="726"/>
        <v>5.3218481425754129</v>
      </c>
      <c r="EI55" s="246">
        <f t="shared" si="727"/>
        <v>-17.051507908042208</v>
      </c>
      <c r="EJ55" s="198">
        <f t="shared" si="728"/>
        <v>-52.426912345781027</v>
      </c>
      <c r="EK55" s="198">
        <f t="shared" si="729"/>
        <v>1.9022056662300939E-2</v>
      </c>
      <c r="EL55" s="101">
        <f>IF(AND(CS55&lt;&gt;"",DK55&lt;&gt;""),LOG(CS55*DK55/Minerals!$C$6),"")</f>
        <v>0.92031100136525135</v>
      </c>
      <c r="EM55" s="94">
        <f>IF(AND(CS55&lt;&gt;"",DK55&lt;&gt;""),LOG(CS55*DK55/Minerals!$C$5),"")</f>
        <v>0.78983147200903359</v>
      </c>
      <c r="EN55" s="94">
        <f>IF(AND(CS55&lt;&gt;"",DL55&lt;&gt;""),LOG(CS55*DL55^2/Minerals!$C$2),"")</f>
        <v>-3.0521936608562918</v>
      </c>
      <c r="EO55" s="94">
        <f>IF(AND(CS55&lt;&gt;"",CX55&lt;&gt;""),LOG($CS55*$CX55/Minerals!$C$3),"")</f>
        <v>-1.932796804754737</v>
      </c>
      <c r="EP55" s="95">
        <f>IF(AND(CS55&lt;&gt;"",CX55&lt;&gt;""),LOG($CS55*$CX55/Minerals!$C$4),"")</f>
        <v>-2.1727813162206395</v>
      </c>
      <c r="EQ55" s="199"/>
      <c r="ER55" s="101">
        <f t="shared" si="752"/>
        <v>0.86975717051104529</v>
      </c>
      <c r="ES55" s="94">
        <f t="shared" si="752"/>
        <v>0.86975717051104529</v>
      </c>
      <c r="ET55" s="94">
        <f t="shared" si="753"/>
        <v>0.57225826195123597</v>
      </c>
      <c r="EU55" s="94">
        <f t="shared" si="753"/>
        <v>0.57225826195123597</v>
      </c>
      <c r="EV55" s="95">
        <f t="shared" si="753"/>
        <v>0.57225826195123597</v>
      </c>
      <c r="EW55" s="101">
        <f t="shared" si="754"/>
        <v>0.86975717051104529</v>
      </c>
      <c r="EX55" s="94">
        <f t="shared" si="31"/>
        <v>0.57225826195123597</v>
      </c>
      <c r="EY55" s="94">
        <f t="shared" si="754"/>
        <v>0.86975717051104529</v>
      </c>
      <c r="EZ55" s="94">
        <f t="shared" si="754"/>
        <v>0.86975717051104529</v>
      </c>
      <c r="FA55" s="94">
        <f t="shared" si="165"/>
        <v>0.86975717051104529</v>
      </c>
      <c r="FB55" s="95">
        <f t="shared" si="32"/>
        <v>0.57225826195123597</v>
      </c>
      <c r="FC55" s="199"/>
      <c r="FD55" s="101">
        <f t="shared" si="730"/>
        <v>1.8142507044706266E-4</v>
      </c>
      <c r="FE55" s="94">
        <f t="shared" si="731"/>
        <v>1.264094633635993E-4</v>
      </c>
      <c r="FF55" s="94">
        <f t="shared" si="732"/>
        <v>1.2703739325591657E-3</v>
      </c>
      <c r="FG55" s="94">
        <f t="shared" si="733"/>
        <v>1.5108748269660897E-4</v>
      </c>
      <c r="FH55" s="95" t="str">
        <f t="shared" si="734"/>
        <v/>
      </c>
      <c r="FI55" s="101">
        <f t="shared" si="735"/>
        <v>3.1856459780201054E-3</v>
      </c>
      <c r="FJ55" s="94">
        <f t="shared" si="736"/>
        <v>7.1021781923021663E-6</v>
      </c>
      <c r="FK55" s="94">
        <f t="shared" si="737"/>
        <v>1.4193873752364411E-4</v>
      </c>
      <c r="FL55" s="94">
        <f t="shared" si="738"/>
        <v>1.1248278116746634E-2</v>
      </c>
      <c r="FM55" s="94">
        <f t="shared" si="739"/>
        <v>2.852127684227595E-6</v>
      </c>
      <c r="FN55" s="95">
        <f t="shared" si="740"/>
        <v>7.5591924051377098E-5</v>
      </c>
      <c r="FO55" s="199"/>
      <c r="FP55" s="101">
        <f>IF(EL55&lt;&gt;"",LOG(FF55*FJ55/Minerals!$C$6),"")</f>
        <v>0.43549514436048231</v>
      </c>
      <c r="FQ55" s="94">
        <f>IF(EL55&lt;&gt;"",LOG(FF55*FJ55/Minerals!$C$5),"")</f>
        <v>0.30501561500426455</v>
      </c>
      <c r="FR55" s="94">
        <f>IF(EN55&lt;&gt;"",LOG(FF55*FM55^2/Minerals!$C$2),"")</f>
        <v>-3.4158055536098684</v>
      </c>
      <c r="FS55" s="94">
        <f>IF(EO55&lt;&gt;"",LOG($FF55*$FN55/Minerals!$C$3),"")</f>
        <v>-2.417612661759506</v>
      </c>
      <c r="FT55" s="95">
        <f>IF(EP55&lt;&gt;"",LOG($FF55*$FN55/Minerals!$C$4),"")</f>
        <v>-2.6575971732254087</v>
      </c>
      <c r="FU55" s="96"/>
      <c r="FV55" s="101">
        <f>IF(FP55&lt;&gt;"",LOG(FF55*FJ55/(EXP(-1*Minerals!$E$6/'Other Constants'!$B$2*(1/(273.15+'ppm-mgL-1'!$D55)-1/298.15)+LN(Minerals!$C$6)))),"")</f>
        <v>-0.66687877265677409</v>
      </c>
      <c r="FW55" s="94">
        <f>IF(FP55&lt;&gt;"",LOG(FF55*FJ55/(EXP(-1*Minerals!$E$5/'Other Constants'!$B$2*(1/(273.15+'ppm-mgL-1'!$D55)-1/298.15)+LN(Minerals!$C$5)))),"")</f>
        <v>-0.79745795992504809</v>
      </c>
      <c r="FX55" s="94">
        <f>IF(FR55&lt;&gt;"",LOG(FF55*FM55^2/(EXP(-1*Minerals!$E$2/'Other Constants'!$B$2*(1/(273.15+'ppm-mgL-1'!$D55)-1/298.15)+LN(Minerals!$C$2)))),"")</f>
        <v>-3.3691988700714339</v>
      </c>
      <c r="FY55" s="94">
        <f>IF(FS55&lt;&gt;"",LOG($FF55*$FN55/(EXP(-1*Minerals!$E$3/'Other Constants'!$B$2*(1/(273.15+'ppm-mgL-1'!$D55)-1/298.15)+LN(Minerals!$C$3)))),"")</f>
        <v>-1.4673279632749165</v>
      </c>
      <c r="FZ55" s="95">
        <f>IF(FT55&lt;&gt;"",LOG($FF55*$FN55/(EXP(-1*Minerals!$E$4/'Other Constants'!$B$2*(1/(273.15+'ppm-mgL-1'!$D55)-1/298.15)+LN(Minerals!$C$4)))),"")</f>
        <v>-2.6848203928688488</v>
      </c>
      <c r="GA55" s="96"/>
      <c r="GB55" s="96"/>
      <c r="GC55" s="101">
        <f>10^(-1825000*(79.755*EXP(-0.0046*($D55-20))*($D55+273.15))^-1.5*$EK55^0.5/(1+'Elements and ions'!$D$12*$EK55^0.5/(2*(79.755*EXP(-0.0046*($D55-20))*($D55+273.15))^0.5)))</f>
        <v>0.87121994717983864</v>
      </c>
      <c r="GD55" s="94">
        <f>10^(-1825000*(79.755*EXP(-0.0046*($D55-20))*($D55+273.15))^-1.5*$EK55^0.5/(1+'Elements and ions'!$D$20*$EK55^0.5/(2*(79.755*EXP(-0.0046*($D55-20))*($D55+273.15))^0.5)))</f>
        <v>0.86645620191474149</v>
      </c>
      <c r="GE55" s="94">
        <f>10^(-1825000*(79.755*EXP(-0.0046*($D55-20))*($D55+273.15))^-1.5*4*$EK55^0.5/(1+'Elements and ions'!$D$21*$EK55^0.5/(2*(79.755*EXP(-0.0046*($D55-20))*($D55+273.15))^0.5)))</f>
        <v>0.59914260982318968</v>
      </c>
      <c r="GF55" s="94">
        <f>10^(-1825000*(79.755*EXP(-0.0046*($D55-20))*($D55+273.15))^-1.5*4*$EK55^0.5/(1+'Elements and ions'!$D$13*$EK55^0.5/(2*(79.755*EXP(-0.0046*($D55-20))*($D55+273.15))^0.5)))</f>
        <v>0.61985598426099142</v>
      </c>
      <c r="GG55" s="95">
        <f>10^(-1825000*(79.755*EXP(-0.0046*($D55-20))*($D55+273.15))^-1.5*4*$EK55^0.5/(1+'Elements and ions'!$D$27*$EK55^0.5/(2*(79.755*EXP(-0.0046*($D55-20))*($D55+273.15))^0.5)))</f>
        <v>0.59914260982318968</v>
      </c>
      <c r="GH55" s="101">
        <f>10^(-1825000*(79.755*EXP(-0.0046*($D55-20))*($D55+273.15))^-1.5*$EK55^0.5/(1+'Elements and ions'!$G$3*$EK55^0.5/(2*(79.755*EXP(-0.0046*($D55-20))*($D55+273.15))^0.5)))</f>
        <v>0.85350913911766835</v>
      </c>
      <c r="GI55" s="94">
        <f>10^(-1825000*(79.755*EXP(-0.0046*($D55-20))*($D55+273.15))^-1.5*4*$EK55^0.5/(1+'Elements and ions'!$G$4*$EK55^0.5/(2*(79.755*EXP(-0.0046*($D55-20))*($D55+273.15))^0.5)))</f>
        <v>0.53053098943257204</v>
      </c>
      <c r="GJ55" s="94">
        <f>10^(-1825000*(79.755*EXP(-0.0046*($D55-20))*($D55+273.15))^-1.5*$EK55^0.5/(1+'Elements and ions'!$D$18*$EK55^0.5/(2*(79.755*EXP(-0.0046*($D55-20))*($D55+273.15))^0.5)))</f>
        <v>0.86645620191474149</v>
      </c>
      <c r="GK55" s="94">
        <f>10^(-1825000*(79.755*EXP(-0.0046*($D55-20))*($D55+273.15))^-1.5*$EK55^0.5/(1+'Elements and ions'!$I$7*$EK55^0.5/(2*(79.755*EXP(-0.0046*($D55-20))*($D55+273.15))^0.5)))</f>
        <v>0.86645620191474149</v>
      </c>
      <c r="GL55" s="94">
        <f>10^(-1825000*(79.755*EXP(-0.0046*($D55-20))*($D55+273.15))^-1.5*$EK55^0.5/(1+'Elements and ions'!$D$10*$EK55^0.5/(2*(79.755*EXP(-0.0046*($D55-20))*($D55+273.15))^0.5)))</f>
        <v>0.86888125241786607</v>
      </c>
      <c r="GM55" s="95">
        <f>10^(-1825000*(79.755*EXP(-0.0046*($D55-20))*($D55+273.15))^-1.5*4*$EK55^0.5/(1+'Elements and ions'!$I$5*$EK55^0.5/(2*(79.755*EXP(-0.0046*($D55-20))*($D55+273.15))^0.5)))</f>
        <v>0.57611773066607797</v>
      </c>
      <c r="GN55" s="96"/>
      <c r="GO55" s="101">
        <f t="shared" si="741"/>
        <v>1.8173019510619968E-4</v>
      </c>
      <c r="GP55" s="94">
        <f t="shared" si="742"/>
        <v>1.2592970454931591E-4</v>
      </c>
      <c r="GQ55" s="94">
        <f t="shared" si="743"/>
        <v>1.3300553334251487E-3</v>
      </c>
      <c r="GR55" s="94">
        <f t="shared" si="744"/>
        <v>1.6365422139488919E-4</v>
      </c>
      <c r="GS55" s="95" t="str">
        <f t="shared" si="745"/>
        <v/>
      </c>
      <c r="GT55" s="101">
        <f t="shared" si="746"/>
        <v>3.1261345676931946E-3</v>
      </c>
      <c r="GU55" s="94">
        <f t="shared" si="747"/>
        <v>6.5843096972352352E-6</v>
      </c>
      <c r="GV55" s="94">
        <f t="shared" si="748"/>
        <v>1.4140004082639323E-4</v>
      </c>
      <c r="GW55" s="94">
        <f t="shared" si="749"/>
        <v>1.120558779571823E-2</v>
      </c>
      <c r="GX55" s="94">
        <f t="shared" si="750"/>
        <v>2.8492553535042918E-6</v>
      </c>
      <c r="GY55" s="102">
        <f t="shared" si="751"/>
        <v>7.6101736989640738E-5</v>
      </c>
      <c r="GZ55" s="199"/>
      <c r="HA55" s="92">
        <f>IF(AND(GQ55&lt;&gt;"",GU55&lt;&gt;""),LOG(GQ55*GU55/Minerals!$C$6),"")</f>
        <v>0.4225519652419843</v>
      </c>
      <c r="HB55" s="94">
        <f>IF(AND(GQ55&lt;&gt;"",GU55&lt;&gt;""),LOG(GQ55*GU55/Minerals!$C$5),"")</f>
        <v>0.29207243588576659</v>
      </c>
      <c r="HC55" s="94">
        <f>IF(AND(GQ55&lt;&gt;"",GX55&lt;&gt;""),LOG(GQ55*GX55^2/Minerals!$C$2),"")</f>
        <v>-3.3967426006408563</v>
      </c>
      <c r="HD55" s="94">
        <f>IF(AND(GQ55&lt;&gt;"",GY55&lt;&gt;""),LOG($GQ55*$GY55/Minerals!$C$3),"")</f>
        <v>-2.3947553565822171</v>
      </c>
      <c r="HE55" s="102">
        <f>IF(AND(GQ55&lt;&gt;"",GY55&lt;&gt;""),LOG($GQ55*$GY55/Minerals!$C$3),"")</f>
        <v>-2.3947553565822171</v>
      </c>
      <c r="HF55" s="199"/>
      <c r="HG55" s="92">
        <f>IF(HA55&lt;&gt;"",LOG(GQ55*GU55/(EXP(-1*Minerals!$E$6/'Other Constants'!$B$2*(1/(273.15+'ppm-mgL-1'!$D55)-1/298.15)+LN(Minerals!$C$6)))),"")</f>
        <v>-0.67982195177527205</v>
      </c>
      <c r="HH55" s="94">
        <f>IF(HA55&lt;&gt;"",LOG(GQ55*GU55/(EXP(-1*Minerals!$E$5/'Other Constants'!$B$2*(1/(273.15+'ppm-mgL-1'!$D55)-1/298.15)+LN(Minerals!$C$5)))),"")</f>
        <v>-0.81040113904354605</v>
      </c>
      <c r="HI55" s="94">
        <f>IF(HC55&lt;&gt;"",LOG(GQ55*GX55^2/(EXP(-1*Minerals!$E$2/'Other Constants'!$B$2*(1/(273.15+'ppm-mgL-1'!$D55)-1/298.15)+LN(Minerals!$C$2)))),"")</f>
        <v>-3.3501359171024214</v>
      </c>
      <c r="HJ55" s="94">
        <f>IF(HD55&lt;&gt;"",LOG($FF55*$FN55/(EXP(-1*Minerals!$E$3/'Other Constants'!$B$2*(1/(273.15+'ppm-mgL-1'!$D55)-1/298.15)+LN(Minerals!$C$3)))),"")</f>
        <v>-1.4673279632749165</v>
      </c>
      <c r="HK55" s="95">
        <f>IF(HE55&lt;&gt;"",LOG($FF55*$FN55/(EXP(-1*Minerals!$E$4/'Other Constants'!$B$2*(1/(273.15+'ppm-mgL-1'!$D55)-1/298.15)+LN(Minerals!$C$4)))),"")</f>
        <v>-2.6848203928688488</v>
      </c>
      <c r="HL55" s="199"/>
      <c r="HM55" s="199"/>
    </row>
    <row r="56" spans="1:221" x14ac:dyDescent="0.25">
      <c r="A56" s="267" t="str">
        <f>'WC samples'!B27</f>
        <v>ISLM</v>
      </c>
      <c r="C56" s="266">
        <f>'WC samples'!A27</f>
        <v>41594</v>
      </c>
      <c r="D56" s="4">
        <f>'WC samples'!I27</f>
        <v>22.4</v>
      </c>
      <c r="E56" s="4">
        <f>'WC samples'!F27</f>
        <v>8.23</v>
      </c>
      <c r="AD56" s="83">
        <f>IF(E56&lt;&gt;"",10^(-2*$E56)/(10^(-2*$E56)+10^(-$E56-pKa!$B$2)+(10^(-pKa!$B$2-pKa!$C$2))),"")</f>
        <v>1.151566409602317E-2</v>
      </c>
      <c r="AE56" s="84">
        <f>IF(E56&lt;&gt;"",10^(-$E56-pKa!$B$2)/(10^(-2*$E56)+10^(-$E56-pKa!$B$2)+10^(-pKa!$B$2-pKa!$C$2)),"")</f>
        <v>0.98014197472867315</v>
      </c>
      <c r="AF56" s="212">
        <f>IF(E56&lt;&gt;"",10^(-pKa!$B$2-pKa!$C$2)/(10^(-2*$E56)+10^(-$E56-pKa!$B$2)+10^(-pKa!$B$2-pKa!$C$2)),"")</f>
        <v>8.3423611753036479E-3</v>
      </c>
      <c r="AG56" s="152"/>
      <c r="AH56" s="222">
        <f>IF($AK56&lt;&gt;"",$AK56/'Elements and ions'!$G$3,IF($E56="","",""))</f>
        <v>4.4413968340543368</v>
      </c>
      <c r="AI56" s="85">
        <f t="shared" si="688"/>
        <v>4.455533900438749E-3</v>
      </c>
      <c r="AJ56" s="84">
        <f>IF(AI56&lt;&gt;"",AI56*1000*'Elements and ions'!$B$7,"")</f>
        <v>53.514081017999686</v>
      </c>
      <c r="AK56" s="99">
        <f>'WC samples'!H27</f>
        <v>271</v>
      </c>
      <c r="AL56" s="88">
        <f>IF($AK56&lt;&gt;"",$AK56/'Elements and ions'!$G$3*Minerals!$B$6/2,IF($E56="","","Enter Alk(HCO3-)"))</f>
        <v>222.2628203951565</v>
      </c>
      <c r="AM56" s="199"/>
      <c r="AN56" s="101">
        <f t="shared" si="491"/>
        <v>5.1308431765896579E-5</v>
      </c>
      <c r="AO56" s="94">
        <f t="shared" si="492"/>
        <v>4.3670557956465824E-3</v>
      </c>
      <c r="AP56" s="95">
        <f t="shared" si="493"/>
        <v>3.716967302626945E-5</v>
      </c>
      <c r="AQ56" s="199"/>
      <c r="AR56" s="199"/>
      <c r="AS56" s="83">
        <f t="shared" si="66"/>
        <v>0.15090715225263698</v>
      </c>
      <c r="AT56" s="83">
        <f>IF(AN56&lt;&gt;"",AN56/'Henrys law constants'!$B$7*1000000,"")</f>
        <v>1509.0715225263698</v>
      </c>
      <c r="AU56" s="268">
        <f>'WC samples'!K27</f>
        <v>4.7304000000000004</v>
      </c>
      <c r="AV56" s="269">
        <f>'WC samples'!M27</f>
        <v>5.6776</v>
      </c>
      <c r="AW56" s="269">
        <f>'WC samples'!O27</f>
        <v>89.191599999999994</v>
      </c>
      <c r="AX56" s="269">
        <f>'WC samples'!N27</f>
        <v>6.4469000000000003</v>
      </c>
      <c r="AY56" s="226">
        <f>AO56*'Elements and ions'!$G$3*1000</f>
        <v>266.4639447540402</v>
      </c>
      <c r="AZ56" s="269">
        <f>'WC samples'!Q27</f>
        <v>5.7861000000000002</v>
      </c>
      <c r="BA56" s="269">
        <f>'WC samples'!T27</f>
        <v>15.4099</v>
      </c>
      <c r="BB56" s="270">
        <f>'WC samples'!V27</f>
        <v>11.615500000000001</v>
      </c>
      <c r="BC56" s="222">
        <f>IF($E56&lt;&gt;"",10^-$E56*'Elements and ions'!B57*1000,"")</f>
        <v>0</v>
      </c>
      <c r="BE56" s="6"/>
      <c r="BF56" s="6"/>
      <c r="BG56" s="270">
        <f>'WC samples'!L27</f>
        <v>0</v>
      </c>
      <c r="BH56" s="3"/>
      <c r="BJ56" s="92">
        <f>IF($AN56&lt;&gt;"",$AN56*'Elements and ions'!$G$2*1000,"")</f>
        <v>3.1823941924247467</v>
      </c>
      <c r="BK56" s="229"/>
      <c r="BL56" s="230"/>
      <c r="BM56" s="101">
        <f>IF($E56&lt;&gt;"",(10^-14+$E56)*'Elements and ions'!$G$8,"")</f>
        <v>139.97040820000018</v>
      </c>
      <c r="BO56" s="102">
        <f>IF($AP56&lt;&gt;"",$AP56*'Elements and ions'!$G$4*1000,"")</f>
        <v>2.2305111916661007</v>
      </c>
      <c r="BP56" s="269">
        <f>'WC samples'!P27</f>
        <v>0.09</v>
      </c>
      <c r="BQ56" s="270">
        <f>'WC samples'!R27</f>
        <v>0</v>
      </c>
      <c r="BR56" s="195"/>
      <c r="BS56" s="238">
        <f>IF($AU56&lt;&gt;"",$AU56/'Elements and ions'!$B$12,"")</f>
        <v>0.20576109061325909</v>
      </c>
      <c r="BT56" s="239">
        <f>IF($AV56&lt;&gt;"",$AV56/'Elements and ions'!$B$20,"")</f>
        <v>0.14521347475465685</v>
      </c>
      <c r="BU56" s="239">
        <f>IF($AW56&lt;&gt;"",$AW56/'Elements and ions'!$B$21, "")</f>
        <v>2.2254503717750382</v>
      </c>
      <c r="BV56" s="240">
        <f>IF($AX56&lt;&gt;"",$AX56/'Elements and ions'!$B$13, "")</f>
        <v>0.26524994857025302</v>
      </c>
      <c r="BW56" s="238">
        <f>IF($AY56&lt;&gt;"",$AY56/'Elements and ions'!$G$3,"")</f>
        <v>4.3670557956465821</v>
      </c>
      <c r="BX56" s="239">
        <f>IF($AZ56&lt;&gt;"",$AZ56/'Elements and ions'!$B$18,"")</f>
        <v>0.1632048063633543</v>
      </c>
      <c r="BY56" s="239">
        <f>IF($BA56&lt;&gt;"",$BA56/'Elements and ions'!$G$7,"")</f>
        <v>0.24852713253307401</v>
      </c>
      <c r="BZ56" s="241">
        <f>IF($BB56&lt;&gt;"",$BB56/'Elements and ions'!$G$5,"")</f>
        <v>0.1209159443945927</v>
      </c>
      <c r="CA56" s="91">
        <f t="shared" si="67"/>
        <v>5.8884365535558715E-6</v>
      </c>
      <c r="CB56" s="163" t="str">
        <f>IF($BD56&lt;&gt;"",$BD56/'Elements and ions'!$B$14,"")</f>
        <v/>
      </c>
      <c r="CC56" s="89" t="str">
        <f>IF($BE56&lt;&gt;"",$BE56/'Elements and ions'!$B$27, "")</f>
        <v/>
      </c>
      <c r="CD56" s="249" t="str">
        <f>IF($BF56&lt;&gt;"",$BF56/'Elements and ions'!$B$26,"")</f>
        <v/>
      </c>
      <c r="CE56" s="250">
        <f>IF($BG56&lt;&gt;"",$BG56/'Elements and ions'!$G$6,"")</f>
        <v>0</v>
      </c>
      <c r="CF56" s="91" t="str">
        <f>IF($BH56&lt;&gt;"",$BH56/'Elements and ions'!$G$15,"")</f>
        <v/>
      </c>
      <c r="CG56" s="89" t="str">
        <f>IF($BI56&lt;&gt;"",$BI56/'Elements and ions'!$G$16,"")</f>
        <v/>
      </c>
      <c r="CH56" s="90">
        <f>IF($BJ56&lt;&gt;"",$BJ56/'Elements and ions'!$G$2,"")</f>
        <v>5.1308431765896584E-2</v>
      </c>
      <c r="CI56" s="91" t="str">
        <f>IF($BK56&lt;&gt;"",$BK56/'Elements and ions'!$B$15, "")</f>
        <v/>
      </c>
      <c r="CJ56" s="88" t="str">
        <f>IF($BL56&lt;&gt;"", $BL56/'Elements and ions'!$G$17,"")</f>
        <v/>
      </c>
      <c r="CK56" s="89">
        <f t="shared" si="68"/>
        <v>1.6982436524617447E-3</v>
      </c>
      <c r="CL56" s="163" t="str">
        <f>IF($BN56&lt;&gt;"", $BN56/'Elements and ions'!$G$19,"")</f>
        <v/>
      </c>
      <c r="CM56" s="89">
        <f>IF($BO56&lt;&gt;"",$BO56/'Elements and ions'!$G$4,"")</f>
        <v>3.7169673026269452E-2</v>
      </c>
      <c r="CN56" s="89">
        <f>IF($BP56&lt;&gt;"",$BP56/'Elements and ions'!$B$10,"")</f>
        <v>4.7372402329054685E-3</v>
      </c>
      <c r="CO56" s="104">
        <f>IF($BQ56&lt;&gt;"",$BQ56/'Elements and ions'!$G$18,"")</f>
        <v>0</v>
      </c>
      <c r="CP56" s="242"/>
      <c r="CQ56" s="238">
        <f t="shared" si="689"/>
        <v>2.0576109061325908E-4</v>
      </c>
      <c r="CR56" s="239">
        <f t="shared" si="690"/>
        <v>1.4521347475465686E-4</v>
      </c>
      <c r="CS56" s="239">
        <f t="shared" si="691"/>
        <v>2.2254503717750382E-3</v>
      </c>
      <c r="CT56" s="241">
        <f t="shared" si="692"/>
        <v>2.6524994857025301E-4</v>
      </c>
      <c r="CU56" s="238">
        <f t="shared" si="693"/>
        <v>4.3670557956465824E-3</v>
      </c>
      <c r="CV56" s="239">
        <f t="shared" si="694"/>
        <v>1.6320480636335431E-4</v>
      </c>
      <c r="CW56" s="239">
        <f t="shared" si="695"/>
        <v>2.4852713253307399E-4</v>
      </c>
      <c r="CX56" s="241">
        <f t="shared" si="696"/>
        <v>1.209159443945927E-4</v>
      </c>
      <c r="CY56" s="258">
        <f t="shared" si="98"/>
        <v>5.8884365535558713E-9</v>
      </c>
      <c r="CZ56" s="259" t="str">
        <f t="shared" si="697"/>
        <v/>
      </c>
      <c r="DA56" s="260" t="str">
        <f t="shared" si="698"/>
        <v/>
      </c>
      <c r="DB56" s="261" t="str">
        <f t="shared" si="699"/>
        <v/>
      </c>
      <c r="DC56" s="262">
        <f t="shared" si="700"/>
        <v>0</v>
      </c>
      <c r="DD56" s="263" t="str">
        <f t="shared" si="701"/>
        <v/>
      </c>
      <c r="DE56" s="259" t="str">
        <f t="shared" si="702"/>
        <v/>
      </c>
      <c r="DF56" s="260">
        <f t="shared" si="703"/>
        <v>5.1308431765896586E-5</v>
      </c>
      <c r="DG56" s="260" t="str">
        <f t="shared" si="704"/>
        <v/>
      </c>
      <c r="DH56" s="264" t="str">
        <f t="shared" si="705"/>
        <v/>
      </c>
      <c r="DI56" s="258">
        <f t="shared" si="108"/>
        <v>1.6982436524617446E-6</v>
      </c>
      <c r="DJ56" s="260" t="str">
        <f t="shared" si="706"/>
        <v/>
      </c>
      <c r="DK56" s="260">
        <f t="shared" si="707"/>
        <v>3.716967302626945E-5</v>
      </c>
      <c r="DL56" s="260">
        <f t="shared" si="708"/>
        <v>4.7372402329054685E-6</v>
      </c>
      <c r="DM56" s="265">
        <f t="shared" si="709"/>
        <v>0</v>
      </c>
      <c r="DN56" s="242"/>
      <c r="DO56" s="238">
        <f t="shared" si="710"/>
        <v>0.20576109061325909</v>
      </c>
      <c r="DP56" s="239">
        <f t="shared" si="711"/>
        <v>0.14521347475465685</v>
      </c>
      <c r="DQ56" s="239">
        <f t="shared" si="712"/>
        <v>4.4509007435500765</v>
      </c>
      <c r="DR56" s="241">
        <f t="shared" si="713"/>
        <v>0.53049989714050605</v>
      </c>
      <c r="DS56" s="238">
        <f t="shared" si="714"/>
        <v>-4.3670557956465821</v>
      </c>
      <c r="DT56" s="239">
        <f t="shared" si="715"/>
        <v>-0.1632048063633543</v>
      </c>
      <c r="DU56" s="239">
        <f t="shared" si="716"/>
        <v>-0.24852713253307401</v>
      </c>
      <c r="DV56" s="241">
        <f t="shared" si="717"/>
        <v>-0.24183188878918541</v>
      </c>
      <c r="DW56" s="91">
        <f t="shared" si="113"/>
        <v>5.8884365535558715E-6</v>
      </c>
      <c r="DX56" s="89">
        <f t="shared" si="718"/>
        <v>0</v>
      </c>
      <c r="DY56" s="89">
        <f t="shared" si="719"/>
        <v>0</v>
      </c>
      <c r="DZ56" s="89">
        <f t="shared" si="720"/>
        <v>0</v>
      </c>
      <c r="EA56" s="90">
        <f t="shared" si="721"/>
        <v>0</v>
      </c>
      <c r="EB56" s="91">
        <f t="shared" si="118"/>
        <v>-1.6982436524617447E-3</v>
      </c>
      <c r="EC56" s="89">
        <f t="shared" si="722"/>
        <v>0</v>
      </c>
      <c r="ED56" s="89">
        <f t="shared" si="723"/>
        <v>-7.4339346052538904E-2</v>
      </c>
      <c r="EE56" s="89">
        <f t="shared" si="724"/>
        <v>-4.7372402329054685E-3</v>
      </c>
      <c r="EF56" s="90">
        <f t="shared" si="725"/>
        <v>0</v>
      </c>
      <c r="EG56" s="242"/>
      <c r="EH56" s="245">
        <f t="shared" si="726"/>
        <v>5.3323810944950516</v>
      </c>
      <c r="EI56" s="246">
        <f t="shared" si="727"/>
        <v>-5.1013944532701023</v>
      </c>
      <c r="EJ56" s="198">
        <f t="shared" si="728"/>
        <v>2.2138356356958924</v>
      </c>
      <c r="EK56" s="198">
        <f t="shared" si="729"/>
        <v>1.3013714829031452E-2</v>
      </c>
      <c r="EL56" s="101">
        <f>IF(AND(CS56&lt;&gt;"",DK56&lt;&gt;""),LOG(CS56*DK56/Minerals!$C$6),"")</f>
        <v>1.3977786607669138</v>
      </c>
      <c r="EM56" s="94">
        <f>IF(AND(CS56&lt;&gt;"",DK56&lt;&gt;""),LOG(CS56*DK56/Minerals!$C$5),"")</f>
        <v>1.2672991314106961</v>
      </c>
      <c r="EN56" s="94">
        <f>IF(AND(CS56&lt;&gt;"",DL56&lt;&gt;""),LOG(CS56*DL56^2/Minerals!$C$2),"")</f>
        <v>-2.7316063236396402</v>
      </c>
      <c r="EO56" s="94">
        <f>IF(AND(CS56&lt;&gt;"",CX56&lt;&gt;""),LOG($CS56*$CX56/Minerals!$C$3),"")</f>
        <v>-1.9701181490294419</v>
      </c>
      <c r="EP56" s="95">
        <f>IF(AND(CS56&lt;&gt;"",CX56&lt;&gt;""),LOG($CS56*$CX56/Minerals!$C$4),"")</f>
        <v>-2.2101026604953442</v>
      </c>
      <c r="EQ56" s="199"/>
      <c r="ER56" s="101">
        <f t="shared" si="752"/>
        <v>0.88879528659728413</v>
      </c>
      <c r="ES56" s="94">
        <f t="shared" si="752"/>
        <v>0.88879528659728413</v>
      </c>
      <c r="ET56" s="94">
        <f t="shared" si="753"/>
        <v>0.62403215897824316</v>
      </c>
      <c r="EU56" s="94">
        <f t="shared" si="753"/>
        <v>0.62403215897824316</v>
      </c>
      <c r="EV56" s="95">
        <f t="shared" si="753"/>
        <v>0.62403215897824316</v>
      </c>
      <c r="EW56" s="101">
        <f t="shared" si="754"/>
        <v>0.88879528659728413</v>
      </c>
      <c r="EX56" s="94">
        <f t="shared" si="31"/>
        <v>0.62403215897824316</v>
      </c>
      <c r="EY56" s="94">
        <f t="shared" si="754"/>
        <v>0.88879528659728413</v>
      </c>
      <c r="EZ56" s="94">
        <f t="shared" si="754"/>
        <v>0.88879528659728413</v>
      </c>
      <c r="FA56" s="94">
        <f t="shared" si="165"/>
        <v>0.88879528659728413</v>
      </c>
      <c r="FB56" s="95">
        <f t="shared" si="32"/>
        <v>0.62403215897824316</v>
      </c>
      <c r="FC56" s="199"/>
      <c r="FD56" s="101">
        <f t="shared" si="730"/>
        <v>1.8287948750218136E-4</v>
      </c>
      <c r="FE56" s="94">
        <f t="shared" si="731"/>
        <v>1.2906505191235274E-4</v>
      </c>
      <c r="FF56" s="94">
        <f t="shared" si="732"/>
        <v>1.388752600197711E-3</v>
      </c>
      <c r="FG56" s="94">
        <f t="shared" si="733"/>
        <v>1.6552449807516294E-4</v>
      </c>
      <c r="FH56" s="95" t="str">
        <f t="shared" si="734"/>
        <v/>
      </c>
      <c r="FI56" s="101">
        <f t="shared" si="735"/>
        <v>3.8814186074780346E-3</v>
      </c>
      <c r="FJ56" s="94">
        <f t="shared" si="736"/>
        <v>2.3195071307098295E-5</v>
      </c>
      <c r="FK56" s="94">
        <f t="shared" si="737"/>
        <v>1.4505566264577175E-4</v>
      </c>
      <c r="FL56" s="94">
        <f t="shared" si="738"/>
        <v>2.2088974398693471E-4</v>
      </c>
      <c r="FM56" s="94">
        <f t="shared" si="739"/>
        <v>4.2104367904854009E-6</v>
      </c>
      <c r="FN56" s="95">
        <f t="shared" si="740"/>
        <v>7.545543783545088E-5</v>
      </c>
      <c r="FO56" s="199"/>
      <c r="FP56" s="101">
        <f>IF(EL56&lt;&gt;"",LOG(FF56*FJ56/Minerals!$C$6),"")</f>
        <v>0.98819260329494574</v>
      </c>
      <c r="FQ56" s="94">
        <f>IF(EL56&lt;&gt;"",LOG(FF56*FJ56/Minerals!$C$5),"")</f>
        <v>0.85771307393872798</v>
      </c>
      <c r="FR56" s="94">
        <f>IF(EN56&lt;&gt;"",LOG(FF56*FM56^2/Minerals!$C$2),"")</f>
        <v>-3.0387958667436163</v>
      </c>
      <c r="FS56" s="94">
        <f>IF(EO56&lt;&gt;"",LOG($FF56*$FN56/Minerals!$C$3),"")</f>
        <v>-2.37970420650141</v>
      </c>
      <c r="FT56" s="95">
        <f>IF(EP56&lt;&gt;"",LOG($FF56*$FN56/Minerals!$C$4),"")</f>
        <v>-2.6196887179673127</v>
      </c>
      <c r="FU56" s="96"/>
      <c r="FV56" s="101">
        <f>IF(FP56&lt;&gt;"",LOG(FF56*FJ56/(EXP(-1*Minerals!$E$6/'Other Constants'!$B$2*(1/(273.15+'ppm-mgL-1'!$D56)-1/298.15)+LN(Minerals!$C$6)))),"")</f>
        <v>-3.4747622696218963E-2</v>
      </c>
      <c r="FW56" s="94">
        <f>IF(FP56&lt;&gt;"",LOG(FF56*FJ56/(EXP(-1*Minerals!$E$5/'Other Constants'!$B$2*(1/(273.15+'ppm-mgL-1'!$D56)-1/298.15)+LN(Minerals!$C$5)))),"")</f>
        <v>-0.16531962892031807</v>
      </c>
      <c r="FX56" s="94">
        <f>IF(FR56&lt;&gt;"",LOG(FF56*FM56^2/(EXP(-1*Minerals!$E$2/'Other Constants'!$B$2*(1/(273.15+'ppm-mgL-1'!$D56)-1/298.15)+LN(Minerals!$C$2)))),"")</f>
        <v>-2.9955475181973235</v>
      </c>
      <c r="FY56" s="94">
        <f>IF(FS56&lt;&gt;"",LOG($FF56*$FN56/(EXP(-1*Minerals!$E$3/'Other Constants'!$B$2*(1/(273.15+'ppm-mgL-1'!$D56)-1/298.15)+LN(Minerals!$C$3)))),"")</f>
        <v>-1.4978941153719096</v>
      </c>
      <c r="FZ56" s="95">
        <f>IF(FT56&lt;&gt;"",LOG($FF56*$FN56/(EXP(-1*Minerals!$E$4/'Other Constants'!$B$2*(1/(273.15+'ppm-mgL-1'!$D56)-1/298.15)+LN(Minerals!$C$4)))),"")</f>
        <v>-2.6449503157104965</v>
      </c>
      <c r="GA56" s="96"/>
      <c r="GB56" s="96"/>
      <c r="GC56" s="101">
        <f>10^(-1825000*(79.755*EXP(-0.0046*($D56-20))*($D56+273.15))^-1.5*$EK56^0.5/(1+'Elements and ions'!$D$12*$EK56^0.5/(2*(79.755*EXP(-0.0046*($D56-20))*($D56+273.15))^0.5)))</f>
        <v>0.88943652187030797</v>
      </c>
      <c r="GD56" s="94">
        <f>10^(-1825000*(79.755*EXP(-0.0046*($D56-20))*($D56+273.15))^-1.5*$EK56^0.5/(1+'Elements and ions'!$D$20*$EK56^0.5/(2*(79.755*EXP(-0.0046*($D56-20))*($D56+273.15))^0.5)))</f>
        <v>0.88594264795025979</v>
      </c>
      <c r="GE56" s="94">
        <f>10^(-1825000*(79.755*EXP(-0.0046*($D56-20))*($D56+273.15))^-1.5*4*$EK56^0.5/(1+'Elements and ions'!$D$21*$EK56^0.5/(2*(79.755*EXP(-0.0046*($D56-20))*($D56+273.15))^0.5)))</f>
        <v>0.64399529222059071</v>
      </c>
      <c r="GF56" s="94">
        <f>10^(-1825000*(79.755*EXP(-0.0046*($D56-20))*($D56+273.15))^-1.5*4*$EK56^0.5/(1+'Elements and ions'!$D$13*$EK56^0.5/(2*(79.755*EXP(-0.0046*($D56-20))*($D56+273.15))^0.5)))</f>
        <v>0.66050536454542974</v>
      </c>
      <c r="GG56" s="95">
        <f>10^(-1825000*(79.755*EXP(-0.0046*($D56-20))*($D56+273.15))^-1.5*4*$EK56^0.5/(1+'Elements and ions'!$D$27*$EK56^0.5/(2*(79.755*EXP(-0.0046*($D56-20))*($D56+273.15))^0.5)))</f>
        <v>0.64399529222059071</v>
      </c>
      <c r="GH56" s="101">
        <f>10^(-1825000*(79.755*EXP(-0.0046*($D56-20))*($D56+273.15))^-1.5*$EK56^0.5/(1+'Elements and ions'!$G$3*$EK56^0.5/(2*(79.755*EXP(-0.0046*($D56-20))*($D56+273.15))^0.5)))</f>
        <v>0.8766268531392819</v>
      </c>
      <c r="GI56" s="94">
        <f>10^(-1825000*(79.755*EXP(-0.0046*($D56-20))*($D56+273.15))^-1.5*4*$EK56^0.5/(1+'Elements and ions'!$G$4*$EK56^0.5/(2*(79.755*EXP(-0.0046*($D56-20))*($D56+273.15))^0.5)))</f>
        <v>0.59043873198643193</v>
      </c>
      <c r="GJ56" s="94">
        <f>10^(-1825000*(79.755*EXP(-0.0046*($D56-20))*($D56+273.15))^-1.5*$EK56^0.5/(1+'Elements and ions'!$D$18*$EK56^0.5/(2*(79.755*EXP(-0.0046*($D56-20))*($D56+273.15))^0.5)))</f>
        <v>0.88594264795025979</v>
      </c>
      <c r="GK56" s="94">
        <f>10^(-1825000*(79.755*EXP(-0.0046*($D56-20))*($D56+273.15))^-1.5*$EK56^0.5/(1+'Elements and ions'!$I$7*$EK56^0.5/(2*(79.755*EXP(-0.0046*($D56-20))*($D56+273.15))^0.5)))</f>
        <v>0.88594264795025979</v>
      </c>
      <c r="GL56" s="94">
        <f>10^(-1825000*(79.755*EXP(-0.0046*($D56-20))*($D56+273.15))^-1.5*$EK56^0.5/(1+'Elements and ions'!$D$10*$EK56^0.5/(2*(79.755*EXP(-0.0046*($D56-20))*($D56+273.15))^0.5)))</f>
        <v>0.88771672360727649</v>
      </c>
      <c r="GM56" s="95">
        <f>10^(-1825000*(79.755*EXP(-0.0046*($D56-20))*($D56+273.15))^-1.5*4*$EK56^0.5/(1+'Elements and ions'!$I$5*$EK56^0.5/(2*(79.755*EXP(-0.0046*($D56-20))*($D56+273.15))^0.5)))</f>
        <v>0.62583497989537518</v>
      </c>
      <c r="GN56" s="96"/>
      <c r="GO56" s="101">
        <f t="shared" si="741"/>
        <v>1.8301142877129843E-4</v>
      </c>
      <c r="GP56" s="94">
        <f t="shared" si="742"/>
        <v>1.286508103421989E-4</v>
      </c>
      <c r="GQ56" s="94">
        <f t="shared" si="743"/>
        <v>1.433179562493688E-3</v>
      </c>
      <c r="GR56" s="94">
        <f t="shared" si="744"/>
        <v>1.7519901397605145E-4</v>
      </c>
      <c r="GS56" s="95" t="str">
        <f t="shared" si="745"/>
        <v/>
      </c>
      <c r="GT56" s="101">
        <f t="shared" si="746"/>
        <v>3.8282783796213266E-3</v>
      </c>
      <c r="GU56" s="94">
        <f t="shared" si="747"/>
        <v>2.1946414609980815E-5</v>
      </c>
      <c r="GV56" s="94">
        <f t="shared" si="748"/>
        <v>1.4459009830775953E-4</v>
      </c>
      <c r="GW56" s="94">
        <f t="shared" si="749"/>
        <v>2.2018078588383674E-4</v>
      </c>
      <c r="GX56" s="94">
        <f t="shared" si="750"/>
        <v>4.2053273784954137E-6</v>
      </c>
      <c r="GY56" s="102">
        <f t="shared" si="751"/>
        <v>7.5673427629220221E-5</v>
      </c>
      <c r="GZ56" s="199"/>
      <c r="HA56" s="92">
        <f>IF(AND(GQ56&lt;&gt;"",GU56&lt;&gt;""),LOG(GQ56*GU56/Minerals!$C$6),"")</f>
        <v>0.97783619221160167</v>
      </c>
      <c r="HB56" s="94">
        <f>IF(AND(GQ56&lt;&gt;"",GU56&lt;&gt;""),LOG(GQ56*GU56/Minerals!$C$5),"")</f>
        <v>0.84735666285538391</v>
      </c>
      <c r="HC56" s="94">
        <f>IF(AND(GQ56&lt;&gt;"",GX56&lt;&gt;""),LOG(GQ56*GX56^2/Minerals!$C$2),"")</f>
        <v>-3.0261748279020755</v>
      </c>
      <c r="HD56" s="94">
        <f>IF(AND(GQ56&lt;&gt;"",GY56&lt;&gt;""),LOG($GQ56*$GY56/Minerals!$C$3),"")</f>
        <v>-2.3647756228878754</v>
      </c>
      <c r="HE56" s="102">
        <f>IF(AND(GQ56&lt;&gt;"",GY56&lt;&gt;""),LOG($GQ56*$GY56/Minerals!$C$3),"")</f>
        <v>-2.3647756228878754</v>
      </c>
      <c r="HF56" s="199"/>
      <c r="HG56" s="92">
        <f>IF(HA56&lt;&gt;"",LOG(GQ56*GU56/(EXP(-1*Minerals!$E$6/'Other Constants'!$B$2*(1/(273.15+'ppm-mgL-1'!$D56)-1/298.15)+LN(Minerals!$C$6)))),"")</f>
        <v>-4.5104033779563013E-2</v>
      </c>
      <c r="HH56" s="94">
        <f>IF(HA56&lt;&gt;"",LOG(GQ56*GU56/(EXP(-1*Minerals!$E$5/'Other Constants'!$B$2*(1/(273.15+'ppm-mgL-1'!$D56)-1/298.15)+LN(Minerals!$C$5)))),"")</f>
        <v>-0.17567604000366219</v>
      </c>
      <c r="HI56" s="94">
        <f>IF(HC56&lt;&gt;"",LOG(GQ56*GX56^2/(EXP(-1*Minerals!$E$2/'Other Constants'!$B$2*(1/(273.15+'ppm-mgL-1'!$D56)-1/298.15)+LN(Minerals!$C$2)))),"")</f>
        <v>-2.9829264793557826</v>
      </c>
      <c r="HJ56" s="94">
        <f>IF(HD56&lt;&gt;"",LOG($FF56*$FN56/(EXP(-1*Minerals!$E$3/'Other Constants'!$B$2*(1/(273.15+'ppm-mgL-1'!$D56)-1/298.15)+LN(Minerals!$C$3)))),"")</f>
        <v>-1.4978941153719096</v>
      </c>
      <c r="HK56" s="95">
        <f>IF(HE56&lt;&gt;"",LOG($FF56*$FN56/(EXP(-1*Minerals!$E$4/'Other Constants'!$B$2*(1/(273.15+'ppm-mgL-1'!$D56)-1/298.15)+LN(Minerals!$C$4)))),"")</f>
        <v>-2.6449503157104965</v>
      </c>
      <c r="HL56" s="199"/>
      <c r="HM56" s="199"/>
    </row>
    <row r="57" spans="1:221" x14ac:dyDescent="0.25">
      <c r="A57" s="267" t="str">
        <f>'WC samples'!B28</f>
        <v>ISLM</v>
      </c>
      <c r="C57" s="266">
        <f>'WC samples'!A28</f>
        <v>41624</v>
      </c>
      <c r="D57" s="4">
        <f>'WC samples'!I28</f>
        <v>22.1</v>
      </c>
      <c r="E57" s="4">
        <f>'WC samples'!F28</f>
        <v>8.15</v>
      </c>
      <c r="AD57" s="83">
        <f>IF(E57&lt;&gt;"",10^(-2*$E57)/(10^(-2*$E57)+10^(-$E57-pKa!$B$2)+(10^(-pKa!$B$2-pKa!$C$2))),"")</f>
        <v>1.3832068734652415E-2</v>
      </c>
      <c r="AE57" s="84">
        <f>IF(E57&lt;&gt;"",10^(-$E57-pKa!$B$2)/(10^(-2*$E57)+10^(-$E57-pKa!$B$2)+10^(-pKa!$B$2-pKa!$C$2)),"")</f>
        <v>0.97923547500088493</v>
      </c>
      <c r="AF57" s="212">
        <f>IF(E57&lt;&gt;"",10^(-pKa!$B$2-pKa!$C$2)/(10^(-2*$E57)+10^(-$E57-pKa!$B$2)+10^(-pKa!$B$2-pKa!$C$2)),"")</f>
        <v>6.9324562644627469E-3</v>
      </c>
      <c r="AG57" s="152"/>
      <c r="AH57" s="222">
        <f>IF($AK57&lt;&gt;"",$AK57/'Elements and ions'!$G$3,IF($E57="","",""))</f>
        <v>4.4086189976406516</v>
      </c>
      <c r="AI57" s="85">
        <f t="shared" si="688"/>
        <v>4.4392466738919969E-3</v>
      </c>
      <c r="AJ57" s="84">
        <f>IF(AI57&lt;&gt;"",AI57*1000*'Elements and ions'!$B$7,"")</f>
        <v>53.318460026114607</v>
      </c>
      <c r="AK57" s="99">
        <f>'WC samples'!H28</f>
        <v>269</v>
      </c>
      <c r="AL57" s="88">
        <f>IF($AK57&lt;&gt;"",$AK57/'Elements and ions'!$G$3*Minerals!$B$6/2,IF($E57="","","Enter Alk(HCO3-)"))</f>
        <v>220.62250437748006</v>
      </c>
      <c r="AM57" s="199"/>
      <c r="AN57" s="101">
        <f t="shared" si="491"/>
        <v>6.1403965123351214E-5</v>
      </c>
      <c r="AO57" s="94">
        <f t="shared" si="492"/>
        <v>4.3470678253547277E-3</v>
      </c>
      <c r="AP57" s="95">
        <f t="shared" si="493"/>
        <v>3.0774883413917987E-5</v>
      </c>
      <c r="AQ57" s="199"/>
      <c r="AR57" s="199"/>
      <c r="AS57" s="83">
        <f t="shared" si="66"/>
        <v>0.18059989742162122</v>
      </c>
      <c r="AT57" s="83">
        <f>IF(AN57&lt;&gt;"",AN57/'Henrys law constants'!$B$7*1000000,"")</f>
        <v>1805.9989742162122</v>
      </c>
      <c r="AU57" s="268">
        <f>'WC samples'!K28</f>
        <v>4.5468999999999999</v>
      </c>
      <c r="AV57" s="269">
        <f>'WC samples'!M28</f>
        <v>5.5835999999999997</v>
      </c>
      <c r="AW57" s="269">
        <f>'WC samples'!O28</f>
        <v>70.268100000000004</v>
      </c>
      <c r="AX57" s="269">
        <f>'WC samples'!N28</f>
        <v>6.4375999999999998</v>
      </c>
      <c r="AY57" s="226">
        <f>AO57*'Elements and ions'!$G$3*1000</f>
        <v>265.24434196881737</v>
      </c>
      <c r="AZ57" s="269">
        <f>'WC samples'!Q28</f>
        <v>5.5172999999999996</v>
      </c>
      <c r="BA57" s="269">
        <f>'WC samples'!T28</f>
        <v>15.097200000000001</v>
      </c>
      <c r="BB57" s="270">
        <f>'WC samples'!V28</f>
        <v>10.3142</v>
      </c>
      <c r="BC57" s="222">
        <f>IF($E57&lt;&gt;"",10^-$E57*'Elements and ions'!B58*1000,"")</f>
        <v>0</v>
      </c>
      <c r="BE57" s="6"/>
      <c r="BF57" s="6"/>
      <c r="BG57" s="270">
        <f>'WC samples'!L28</f>
        <v>0</v>
      </c>
      <c r="BH57" s="3"/>
      <c r="BJ57" s="92">
        <f>IF($AN57&lt;&gt;"",$AN57*'Elements and ions'!$G$2*1000,"")</f>
        <v>3.8085674279035313</v>
      </c>
      <c r="BK57" s="229"/>
      <c r="BL57" s="230"/>
      <c r="BM57" s="101">
        <f>IF($E57&lt;&gt;"",(10^-14+$E57)*'Elements and ions'!$G$8,"")</f>
        <v>138.60982100000018</v>
      </c>
      <c r="BO57" s="102">
        <f>IF($AP57&lt;&gt;"",$AP57*'Elements and ions'!$G$4*1000,"")</f>
        <v>1.846766901297463</v>
      </c>
      <c r="BP57" s="269">
        <f>'WC samples'!P28</f>
        <v>7.85E-2</v>
      </c>
      <c r="BQ57" s="270">
        <f>'WC samples'!R28</f>
        <v>0</v>
      </c>
      <c r="BR57" s="195"/>
      <c r="BS57" s="238">
        <f>IF($AU57&lt;&gt;"",$AU57/'Elements and ions'!$B$12,"")</f>
        <v>0.19777927932298064</v>
      </c>
      <c r="BT57" s="239">
        <f>IF($AV57&lt;&gt;"",$AV57/'Elements and ions'!$B$20,"")</f>
        <v>0.14280927815275854</v>
      </c>
      <c r="BU57" s="239">
        <f>IF($AW57&lt;&gt;"",$AW57/'Elements and ions'!$B$21, "")</f>
        <v>1.7532835969858775</v>
      </c>
      <c r="BV57" s="240">
        <f>IF($AX57&lt;&gt;"",$AX57/'Elements and ions'!$B$13, "")</f>
        <v>0.26486731125282864</v>
      </c>
      <c r="BW57" s="238">
        <f>IF($AY57&lt;&gt;"",$AY57/'Elements and ions'!$G$3,"")</f>
        <v>4.3470678253547277</v>
      </c>
      <c r="BX57" s="239">
        <f>IF($AZ57&lt;&gt;"",$AZ57/'Elements and ions'!$B$18,"")</f>
        <v>0.1556229374100922</v>
      </c>
      <c r="BY57" s="239">
        <f>IF($BA57&lt;&gt;"",$BA57/'Elements and ions'!$G$7,"")</f>
        <v>0.24348398271749491</v>
      </c>
      <c r="BZ57" s="241">
        <f>IF($BB57&lt;&gt;"",$BB57/'Elements and ions'!$G$5,"")</f>
        <v>0.10736956942660306</v>
      </c>
      <c r="CA57" s="91">
        <f t="shared" si="67"/>
        <v>7.0794578438413513E-6</v>
      </c>
      <c r="CB57" s="163" t="str">
        <f>IF($BD57&lt;&gt;"",$BD57/'Elements and ions'!$B$14,"")</f>
        <v/>
      </c>
      <c r="CC57" s="89" t="str">
        <f>IF($BE57&lt;&gt;"",$BE57/'Elements and ions'!$B$27, "")</f>
        <v/>
      </c>
      <c r="CD57" s="249" t="str">
        <f>IF($BF57&lt;&gt;"",$BF57/'Elements and ions'!$B$26,"")</f>
        <v/>
      </c>
      <c r="CE57" s="250">
        <f>IF($BG57&lt;&gt;"",$BG57/'Elements and ions'!$G$6,"")</f>
        <v>0</v>
      </c>
      <c r="CF57" s="91" t="str">
        <f>IF($BH57&lt;&gt;"",$BH57/'Elements and ions'!$G$15,"")</f>
        <v/>
      </c>
      <c r="CG57" s="89" t="str">
        <f>IF($BI57&lt;&gt;"",$BI57/'Elements and ions'!$G$16,"")</f>
        <v/>
      </c>
      <c r="CH57" s="90">
        <f>IF($BJ57&lt;&gt;"",$BJ57/'Elements and ions'!$G$2,"")</f>
        <v>6.1403965123351209E-2</v>
      </c>
      <c r="CI57" s="91" t="str">
        <f>IF($BK57&lt;&gt;"",$BK57/'Elements and ions'!$B$15, "")</f>
        <v/>
      </c>
      <c r="CJ57" s="88" t="str">
        <f>IF($BL57&lt;&gt;"", $BL57/'Elements and ions'!$G$17,"")</f>
        <v/>
      </c>
      <c r="CK57" s="89">
        <f t="shared" si="68"/>
        <v>1.4125375446227531E-3</v>
      </c>
      <c r="CL57" s="163" t="str">
        <f>IF($BN57&lt;&gt;"", $BN57/'Elements and ions'!$G$19,"")</f>
        <v/>
      </c>
      <c r="CM57" s="89">
        <f>IF($BO57&lt;&gt;"",$BO57/'Elements and ions'!$G$4,"")</f>
        <v>3.0774883413917986E-2</v>
      </c>
      <c r="CN57" s="89">
        <f>IF($BP57&lt;&gt;"",$BP57/'Elements and ions'!$B$10,"")</f>
        <v>4.1319262031453254E-3</v>
      </c>
      <c r="CO57" s="104">
        <f>IF($BQ57&lt;&gt;"",$BQ57/'Elements and ions'!$G$18,"")</f>
        <v>0</v>
      </c>
      <c r="CP57" s="242"/>
      <c r="CQ57" s="238">
        <f t="shared" si="689"/>
        <v>1.9777927932298066E-4</v>
      </c>
      <c r="CR57" s="239">
        <f t="shared" si="690"/>
        <v>1.4280927815275854E-4</v>
      </c>
      <c r="CS57" s="239">
        <f t="shared" si="691"/>
        <v>1.7532835969858776E-3</v>
      </c>
      <c r="CT57" s="241">
        <f t="shared" si="692"/>
        <v>2.6486731125282864E-4</v>
      </c>
      <c r="CU57" s="238">
        <f t="shared" si="693"/>
        <v>4.3470678253547277E-3</v>
      </c>
      <c r="CV57" s="239">
        <f t="shared" si="694"/>
        <v>1.5562293741009221E-4</v>
      </c>
      <c r="CW57" s="239">
        <f t="shared" si="695"/>
        <v>2.434839827174949E-4</v>
      </c>
      <c r="CX57" s="241">
        <f t="shared" si="696"/>
        <v>1.0736956942660306E-4</v>
      </c>
      <c r="CY57" s="258">
        <f t="shared" si="98"/>
        <v>7.0794578438413513E-9</v>
      </c>
      <c r="CZ57" s="259" t="str">
        <f t="shared" si="697"/>
        <v/>
      </c>
      <c r="DA57" s="260" t="str">
        <f t="shared" si="698"/>
        <v/>
      </c>
      <c r="DB57" s="261" t="str">
        <f t="shared" si="699"/>
        <v/>
      </c>
      <c r="DC57" s="262">
        <f t="shared" si="700"/>
        <v>0</v>
      </c>
      <c r="DD57" s="263" t="str">
        <f t="shared" si="701"/>
        <v/>
      </c>
      <c r="DE57" s="259" t="str">
        <f t="shared" si="702"/>
        <v/>
      </c>
      <c r="DF57" s="260">
        <f t="shared" si="703"/>
        <v>6.1403965123351214E-5</v>
      </c>
      <c r="DG57" s="260" t="str">
        <f t="shared" si="704"/>
        <v/>
      </c>
      <c r="DH57" s="264" t="str">
        <f t="shared" si="705"/>
        <v/>
      </c>
      <c r="DI57" s="258">
        <f t="shared" si="108"/>
        <v>1.4125375446227531E-6</v>
      </c>
      <c r="DJ57" s="260" t="str">
        <f t="shared" si="706"/>
        <v/>
      </c>
      <c r="DK57" s="260">
        <f t="shared" si="707"/>
        <v>3.0774883413917987E-5</v>
      </c>
      <c r="DL57" s="260">
        <f t="shared" si="708"/>
        <v>4.1319262031453251E-6</v>
      </c>
      <c r="DM57" s="265">
        <f t="shared" si="709"/>
        <v>0</v>
      </c>
      <c r="DN57" s="242"/>
      <c r="DO57" s="238">
        <f t="shared" si="710"/>
        <v>0.19777927932298064</v>
      </c>
      <c r="DP57" s="239">
        <f t="shared" si="711"/>
        <v>0.14280927815275854</v>
      </c>
      <c r="DQ57" s="239">
        <f t="shared" si="712"/>
        <v>3.5065671939717551</v>
      </c>
      <c r="DR57" s="241">
        <f t="shared" si="713"/>
        <v>0.52973462250565728</v>
      </c>
      <c r="DS57" s="238">
        <f t="shared" si="714"/>
        <v>-4.3470678253547277</v>
      </c>
      <c r="DT57" s="239">
        <f t="shared" si="715"/>
        <v>-0.1556229374100922</v>
      </c>
      <c r="DU57" s="239">
        <f t="shared" si="716"/>
        <v>-0.24348398271749491</v>
      </c>
      <c r="DV57" s="241">
        <f t="shared" si="717"/>
        <v>-0.21473913885320611</v>
      </c>
      <c r="DW57" s="91">
        <f t="shared" si="113"/>
        <v>7.0794578438413513E-6</v>
      </c>
      <c r="DX57" s="89">
        <f t="shared" si="718"/>
        <v>0</v>
      </c>
      <c r="DY57" s="89">
        <f t="shared" si="719"/>
        <v>0</v>
      </c>
      <c r="DZ57" s="89">
        <f t="shared" si="720"/>
        <v>0</v>
      </c>
      <c r="EA57" s="90">
        <f t="shared" si="721"/>
        <v>0</v>
      </c>
      <c r="EB57" s="91">
        <f t="shared" si="118"/>
        <v>-1.4125375446227531E-3</v>
      </c>
      <c r="EC57" s="89">
        <f t="shared" si="722"/>
        <v>0</v>
      </c>
      <c r="ED57" s="89">
        <f t="shared" si="723"/>
        <v>-6.1549766827835972E-2</v>
      </c>
      <c r="EE57" s="89">
        <f t="shared" si="724"/>
        <v>-4.1319262031453254E-3</v>
      </c>
      <c r="EF57" s="90">
        <f t="shared" si="725"/>
        <v>0</v>
      </c>
      <c r="EG57" s="242"/>
      <c r="EH57" s="245">
        <f t="shared" si="726"/>
        <v>4.3768974534109955</v>
      </c>
      <c r="EI57" s="246">
        <f t="shared" si="727"/>
        <v>-5.0280081149111249</v>
      </c>
      <c r="EJ57" s="198">
        <f t="shared" si="728"/>
        <v>-6.9230962158006077</v>
      </c>
      <c r="EK57" s="198">
        <f t="shared" si="729"/>
        <v>1.1047529525241837E-2</v>
      </c>
      <c r="EL57" s="101">
        <f>IF(AND(CS57&lt;&gt;"",DK57&lt;&gt;""),LOG(CS57*DK57/Minerals!$C$6),"")</f>
        <v>1.2122205923120291</v>
      </c>
      <c r="EM57" s="94">
        <f>IF(AND(CS57&lt;&gt;"",DK57&lt;&gt;""),LOG(CS57*DK57/Minerals!$C$5),"")</f>
        <v>1.0817410629558113</v>
      </c>
      <c r="EN57" s="94">
        <f>IF(AND(CS57&lt;&gt;"",DL57&lt;&gt;""),LOG(CS57*DL57^2/Minerals!$C$2),"")</f>
        <v>-2.953917773112821</v>
      </c>
      <c r="EO57" s="94">
        <f>IF(AND(CS57&lt;&gt;"",CX57&lt;&gt;""),LOG($CS57*$CX57/Minerals!$C$3),"")</f>
        <v>-2.1252862538180093</v>
      </c>
      <c r="EP57" s="95">
        <f>IF(AND(CS57&lt;&gt;"",CX57&lt;&gt;""),LOG($CS57*$CX57/Minerals!$C$4),"")</f>
        <v>-2.365270765283912</v>
      </c>
      <c r="EQ57" s="199"/>
      <c r="ER57" s="101">
        <f t="shared" si="752"/>
        <v>0.8962822232077915</v>
      </c>
      <c r="ES57" s="94">
        <f t="shared" si="752"/>
        <v>0.8962822232077915</v>
      </c>
      <c r="ET57" s="94">
        <f t="shared" si="753"/>
        <v>0.64532595233356627</v>
      </c>
      <c r="EU57" s="94">
        <f t="shared" si="753"/>
        <v>0.64532595233356627</v>
      </c>
      <c r="EV57" s="95">
        <f t="shared" si="753"/>
        <v>0.64532595233356627</v>
      </c>
      <c r="EW57" s="101">
        <f t="shared" si="754"/>
        <v>0.8962822232077915</v>
      </c>
      <c r="EX57" s="94">
        <f t="shared" si="31"/>
        <v>0.64532595233356627</v>
      </c>
      <c r="EY57" s="94">
        <f t="shared" si="754"/>
        <v>0.8962822232077915</v>
      </c>
      <c r="EZ57" s="94">
        <f t="shared" si="754"/>
        <v>0.8962822232077915</v>
      </c>
      <c r="FA57" s="94">
        <f t="shared" si="165"/>
        <v>0.8962822232077915</v>
      </c>
      <c r="FB57" s="95">
        <f t="shared" si="32"/>
        <v>0.64532595233356627</v>
      </c>
      <c r="FC57" s="199"/>
      <c r="FD57" s="101">
        <f t="shared" si="730"/>
        <v>1.7726605217603588E-4</v>
      </c>
      <c r="FE57" s="94">
        <f t="shared" si="731"/>
        <v>1.279974173174543E-4</v>
      </c>
      <c r="FF57" s="94">
        <f t="shared" si="732"/>
        <v>1.131439406935732E-3</v>
      </c>
      <c r="FG57" s="94">
        <f t="shared" si="733"/>
        <v>1.7092574987626275E-4</v>
      </c>
      <c r="FH57" s="95" t="str">
        <f t="shared" si="734"/>
        <v/>
      </c>
      <c r="FI57" s="101">
        <f t="shared" si="735"/>
        <v>3.896199614943995E-3</v>
      </c>
      <c r="FJ57" s="94">
        <f t="shared" si="736"/>
        <v>1.9859830947041099E-5</v>
      </c>
      <c r="FK57" s="94">
        <f t="shared" si="737"/>
        <v>1.3948207232404442E-4</v>
      </c>
      <c r="FL57" s="94">
        <f t="shared" si="738"/>
        <v>2.182303653455238E-4</v>
      </c>
      <c r="FM57" s="94">
        <f t="shared" si="739"/>
        <v>3.7033720034856207E-6</v>
      </c>
      <c r="FN57" s="95">
        <f t="shared" si="740"/>
        <v>6.9288369641867575E-5</v>
      </c>
      <c r="FO57" s="199"/>
      <c r="FP57" s="101">
        <f>IF(EL57&lt;&gt;"",LOG(FF57*FJ57/Minerals!$C$6),"")</f>
        <v>0.83177885427468057</v>
      </c>
      <c r="FQ57" s="94">
        <f>IF(EL57&lt;&gt;"",LOG(FF57*FJ57/Minerals!$C$5),"")</f>
        <v>0.70129932491846281</v>
      </c>
      <c r="FR57" s="94">
        <f>IF(EN57&lt;&gt;"",LOG(FF57*FM57^2/Minerals!$C$2),"")</f>
        <v>-3.2392490766408324</v>
      </c>
      <c r="FS57" s="94">
        <f>IF(EO57&lt;&gt;"",LOG($FF57*$FN57/Minerals!$C$3),"")</f>
        <v>-2.5057279918553581</v>
      </c>
      <c r="FT57" s="95">
        <f>IF(EP57&lt;&gt;"",LOG($FF57*$FN57/Minerals!$C$4),"")</f>
        <v>-2.7457125033212604</v>
      </c>
      <c r="FU57" s="96"/>
      <c r="FV57" s="101">
        <f>IF(FP57&lt;&gt;"",LOG(FF57*FJ57/(EXP(-1*Minerals!$E$6/'Other Constants'!$B$2*(1/(273.15+'ppm-mgL-1'!$D57)-1/298.15)+LN(Minerals!$C$6)))),"")</f>
        <v>-0.31035226406815586</v>
      </c>
      <c r="FW57" s="94">
        <f>IF(FP57&lt;&gt;"",LOG(FF57*FJ57/(EXP(-1*Minerals!$E$5/'Other Constants'!$B$2*(1/(273.15+'ppm-mgL-1'!$D57)-1/298.15)+LN(Minerals!$C$5)))),"")</f>
        <v>-0.44093504550680401</v>
      </c>
      <c r="FX57" s="94">
        <f>IF(FR57&lt;&gt;"",LOG(FF57*FM57^2/(EXP(-1*Minerals!$E$2/'Other Constants'!$B$2*(1/(273.15+'ppm-mgL-1'!$D57)-1/298.15)+LN(Minerals!$C$2)))),"")</f>
        <v>-3.1909615194242829</v>
      </c>
      <c r="FY57" s="94">
        <f>IF(FS57&lt;&gt;"",LOG($FF57*$FN57/(EXP(-1*Minerals!$E$3/'Other Constants'!$B$2*(1/(273.15+'ppm-mgL-1'!$D57)-1/298.15)+LN(Minerals!$C$3)))),"")</f>
        <v>-1.5211712015777266</v>
      </c>
      <c r="FZ57" s="95">
        <f>IF(FT57&lt;&gt;"",LOG($FF57*$FN57/(EXP(-1*Minerals!$E$4/'Other Constants'!$B$2*(1/(273.15+'ppm-mgL-1'!$D57)-1/298.15)+LN(Minerals!$C$4)))),"")</f>
        <v>-2.7739175305051251</v>
      </c>
      <c r="GA57" s="96"/>
      <c r="GB57" s="96"/>
      <c r="GC57" s="101">
        <f>10^(-1825000*(79.755*EXP(-0.0046*($D57-20))*($D57+273.15))^-1.5*$EK57^0.5/(1+'Elements and ions'!$D$12*$EK57^0.5/(2*(79.755*EXP(-0.0046*($D57-20))*($D57+273.15))^0.5)))</f>
        <v>0.89672007739950388</v>
      </c>
      <c r="GD57" s="94">
        <f>10^(-1825000*(79.755*EXP(-0.0046*($D57-20))*($D57+273.15))^-1.5*$EK57^0.5/(1+'Elements and ions'!$D$20*$EK57^0.5/(2*(79.755*EXP(-0.0046*($D57-20))*($D57+273.15))^0.5)))</f>
        <v>0.8936760573012732</v>
      </c>
      <c r="GE57" s="94">
        <f>10^(-1825000*(79.755*EXP(-0.0046*($D57-20))*($D57+273.15))^-1.5*4*$EK57^0.5/(1+'Elements and ions'!$D$21*$EK57^0.5/(2*(79.755*EXP(-0.0046*($D57-20))*($D57+273.15))^0.5)))</f>
        <v>0.66287370110833865</v>
      </c>
      <c r="GF57" s="94">
        <f>10^(-1825000*(79.755*EXP(-0.0046*($D57-20))*($D57+273.15))^-1.5*4*$EK57^0.5/(1+'Elements and ions'!$D$13*$EK57^0.5/(2*(79.755*EXP(-0.0046*($D57-20))*($D57+273.15))^0.5)))</f>
        <v>0.67774751406642975</v>
      </c>
      <c r="GG57" s="95">
        <f>10^(-1825000*(79.755*EXP(-0.0046*($D57-20))*($D57+273.15))^-1.5*4*$EK57^0.5/(1+'Elements and ions'!$D$27*$EK57^0.5/(2*(79.755*EXP(-0.0046*($D57-20))*($D57+273.15))^0.5)))</f>
        <v>0.66287370110833865</v>
      </c>
      <c r="GH57" s="101">
        <f>10^(-1825000*(79.755*EXP(-0.0046*($D57-20))*($D57+273.15))^-1.5*$EK57^0.5/(1+'Elements and ions'!$G$3*$EK57^0.5/(2*(79.755*EXP(-0.0046*($D57-20))*($D57+273.15))^0.5)))</f>
        <v>0.88562048297507301</v>
      </c>
      <c r="GI57" s="94">
        <f>10^(-1825000*(79.755*EXP(-0.0046*($D57-20))*($D57+273.15))^-1.5*4*$EK57^0.5/(1+'Elements and ions'!$G$4*$EK57^0.5/(2*(79.755*EXP(-0.0046*($D57-20))*($D57+273.15))^0.5)))</f>
        <v>0.61506200427534174</v>
      </c>
      <c r="GJ57" s="94">
        <f>10^(-1825000*(79.755*EXP(-0.0046*($D57-20))*($D57+273.15))^-1.5*$EK57^0.5/(1+'Elements and ions'!$D$18*$EK57^0.5/(2*(79.755*EXP(-0.0046*($D57-20))*($D57+273.15))^0.5)))</f>
        <v>0.8936760573012732</v>
      </c>
      <c r="GK57" s="94">
        <f>10^(-1825000*(79.755*EXP(-0.0046*($D57-20))*($D57+273.15))^-1.5*$EK57^0.5/(1+'Elements and ions'!$I$7*$EK57^0.5/(2*(79.755*EXP(-0.0046*($D57-20))*($D57+273.15))^0.5)))</f>
        <v>0.8936760573012732</v>
      </c>
      <c r="GL57" s="94">
        <f>10^(-1825000*(79.755*EXP(-0.0046*($D57-20))*($D57+273.15))^-1.5*$EK57^0.5/(1+'Elements and ions'!$D$10*$EK57^0.5/(2*(79.755*EXP(-0.0046*($D57-20))*($D57+273.15))^0.5)))</f>
        <v>0.895220147230956</v>
      </c>
      <c r="GM57" s="95">
        <f>10^(-1825000*(79.755*EXP(-0.0046*($D57-20))*($D57+273.15))^-1.5*4*$EK57^0.5/(1+'Elements and ions'!$I$5*$EK57^0.5/(2*(79.755*EXP(-0.0046*($D57-20))*($D57+273.15))^0.5)))</f>
        <v>0.64658790214290041</v>
      </c>
      <c r="GN57" s="96"/>
      <c r="GO57" s="101">
        <f t="shared" si="741"/>
        <v>1.7735265066252132E-4</v>
      </c>
      <c r="GP57" s="94">
        <f t="shared" si="742"/>
        <v>1.276252326455981E-4</v>
      </c>
      <c r="GQ57" s="94">
        <f t="shared" si="743"/>
        <v>1.1622055870265696E-3</v>
      </c>
      <c r="GR57" s="94">
        <f t="shared" si="744"/>
        <v>1.7951316175906389E-4</v>
      </c>
      <c r="GS57" s="95" t="str">
        <f t="shared" si="745"/>
        <v/>
      </c>
      <c r="GT57" s="101">
        <f t="shared" si="746"/>
        <v>3.8498523070160545E-3</v>
      </c>
      <c r="GU57" s="94">
        <f t="shared" si="747"/>
        <v>1.892846147390437E-5</v>
      </c>
      <c r="GV57" s="94">
        <f t="shared" si="748"/>
        <v>1.3907649313029403E-4</v>
      </c>
      <c r="GW57" s="94">
        <f t="shared" si="749"/>
        <v>2.175958056909822E-4</v>
      </c>
      <c r="GX57" s="94">
        <f t="shared" si="750"/>
        <v>3.6989835839272028E-6</v>
      </c>
      <c r="GY57" s="102">
        <f t="shared" si="751"/>
        <v>6.9423864649533764E-5</v>
      </c>
      <c r="GZ57" s="199"/>
      <c r="HA57" s="92">
        <f>IF(AND(GQ57&lt;&gt;"",GU57&lt;&gt;""),LOG(GQ57*GU57/Minerals!$C$6),"")</f>
        <v>0.82257028056616321</v>
      </c>
      <c r="HB57" s="94">
        <f>IF(AND(GQ57&lt;&gt;"",GU57&lt;&gt;""),LOG(GQ57*GU57/Minerals!$C$5),"")</f>
        <v>0.69209075120994545</v>
      </c>
      <c r="HC57" s="94">
        <f>IF(AND(GQ57&lt;&gt;"",GX57&lt;&gt;""),LOG(GQ57*GX57^2/Minerals!$C$2),"")</f>
        <v>-3.2286272888315168</v>
      </c>
      <c r="HD57" s="94">
        <f>IF(AND(GQ57&lt;&gt;"",GY57&lt;&gt;""),LOG($GQ57*$GY57/Minerals!$C$3),"")</f>
        <v>-2.4932278901152882</v>
      </c>
      <c r="HE57" s="102">
        <f>IF(AND(GQ57&lt;&gt;"",GY57&lt;&gt;""),LOG($GQ57*$GY57/Minerals!$C$3),"")</f>
        <v>-2.4932278901152882</v>
      </c>
      <c r="HF57" s="199"/>
      <c r="HG57" s="92">
        <f>IF(HA57&lt;&gt;"",LOG(GQ57*GU57/(EXP(-1*Minerals!$E$6/'Other Constants'!$B$2*(1/(273.15+'ppm-mgL-1'!$D57)-1/298.15)+LN(Minerals!$C$6)))),"")</f>
        <v>-0.31956083777667321</v>
      </c>
      <c r="HH57" s="94">
        <f>IF(HA57&lt;&gt;"",LOG(GQ57*GU57/(EXP(-1*Minerals!$E$5/'Other Constants'!$B$2*(1/(273.15+'ppm-mgL-1'!$D57)-1/298.15)+LN(Minerals!$C$5)))),"")</f>
        <v>-0.45014361921532137</v>
      </c>
      <c r="HI57" s="94">
        <f>IF(HC57&lt;&gt;"",LOG(GQ57*GX57^2/(EXP(-1*Minerals!$E$2/'Other Constants'!$B$2*(1/(273.15+'ppm-mgL-1'!$D57)-1/298.15)+LN(Minerals!$C$2)))),"")</f>
        <v>-3.1803397316149673</v>
      </c>
      <c r="HJ57" s="94">
        <f>IF(HD57&lt;&gt;"",LOG($FF57*$FN57/(EXP(-1*Minerals!$E$3/'Other Constants'!$B$2*(1/(273.15+'ppm-mgL-1'!$D57)-1/298.15)+LN(Minerals!$C$3)))),"")</f>
        <v>-1.5211712015777266</v>
      </c>
      <c r="HK57" s="95">
        <f>IF(HE57&lt;&gt;"",LOG($FF57*$FN57/(EXP(-1*Minerals!$E$4/'Other Constants'!$B$2*(1/(273.15+'ppm-mgL-1'!$D57)-1/298.15)+LN(Minerals!$C$4)))),"")</f>
        <v>-2.7739175305051251</v>
      </c>
      <c r="HL57" s="199"/>
      <c r="HM57" s="199"/>
    </row>
    <row r="58" spans="1:221" x14ac:dyDescent="0.25">
      <c r="A58" s="267" t="str">
        <f>'WC samples'!B29</f>
        <v>ISLM</v>
      </c>
      <c r="C58" s="266">
        <f>'WC samples'!A29</f>
        <v>41659</v>
      </c>
      <c r="D58" s="4">
        <f>'WC samples'!I29</f>
        <v>22.2</v>
      </c>
      <c r="E58" s="4">
        <f>'WC samples'!F29</f>
        <v>8.1999999999999993</v>
      </c>
      <c r="AD58" s="83">
        <f>IF(E58&lt;&gt;"",10^(-2*$E58)/(10^(-2*$E58)+10^(-$E58-pKa!$B$2)+(10^(-pKa!$B$2-pKa!$C$2))),"")</f>
        <v>1.2335965457355316E-2</v>
      </c>
      <c r="AE58" s="84">
        <f>IF(E58&lt;&gt;"",10^(-$E58-pKa!$B$2)/(10^(-2*$E58)+10^(-$E58-pKa!$B$2)+10^(-pKa!$B$2-pKa!$C$2)),"")</f>
        <v>0.97988056653607236</v>
      </c>
      <c r="AF58" s="212">
        <f>IF(E58&lt;&gt;"",10^(-pKa!$B$2-pKa!$C$2)/(10^(-2*$E58)+10^(-$E58-pKa!$B$2)+10^(-pKa!$B$2-pKa!$C$2)),"")</f>
        <v>7.7834680065722618E-3</v>
      </c>
      <c r="AG58" s="152"/>
      <c r="AH58" s="222">
        <f>IF($AK58&lt;&gt;"",$AK58/'Elements and ions'!$G$3,IF($E58="","",""))</f>
        <v>4.2611187337790684</v>
      </c>
      <c r="AI58" s="85">
        <f t="shared" si="688"/>
        <v>4.2806045967097809E-3</v>
      </c>
      <c r="AJ58" s="84">
        <f>IF(AI58&lt;&gt;"",AI58*1000*'Elements and ions'!$B$7,"")</f>
        <v>51.413057629702159</v>
      </c>
      <c r="AK58" s="99">
        <f>'WC samples'!H29</f>
        <v>260</v>
      </c>
      <c r="AL58" s="88">
        <f>IF($AK58&lt;&gt;"",$AK58/'Elements and ions'!$G$3*Minerals!$B$6/2,IF($E58="","","Enter Alk(HCO3-)"))</f>
        <v>213.24108229793612</v>
      </c>
      <c r="AM58" s="199"/>
      <c r="AN58" s="101">
        <f t="shared" si="491"/>
        <v>5.2805390441608237E-5</v>
      </c>
      <c r="AO58" s="94">
        <f t="shared" si="492"/>
        <v>4.1944812573408959E-3</v>
      </c>
      <c r="AP58" s="95">
        <f t="shared" si="493"/>
        <v>3.3317948927276742E-5</v>
      </c>
      <c r="AQ58" s="199"/>
      <c r="AR58" s="199"/>
      <c r="AS58" s="83">
        <f t="shared" si="66"/>
        <v>0.15530997188708304</v>
      </c>
      <c r="AT58" s="83">
        <f>IF(AN58&lt;&gt;"",AN58/'Henrys law constants'!$B$7*1000000,"")</f>
        <v>1553.0997188708304</v>
      </c>
      <c r="AU58" s="268">
        <f>'WC samples'!K29</f>
        <v>4.4695</v>
      </c>
      <c r="AV58" s="269">
        <f>'WC samples'!M29</f>
        <v>5.3662000000000001</v>
      </c>
      <c r="AW58" s="269">
        <f>'WC samples'!O29</f>
        <v>74.092299999999994</v>
      </c>
      <c r="AX58" s="269">
        <f>'WC samples'!N29</f>
        <v>6.3956</v>
      </c>
      <c r="AY58" s="226">
        <f>AO58*'Elements and ions'!$G$3*1000</f>
        <v>255.93399176216823</v>
      </c>
      <c r="AZ58" s="269">
        <f>'WC samples'!Q29</f>
        <v>5.6657999999999999</v>
      </c>
      <c r="BA58" s="269">
        <f>'WC samples'!T29</f>
        <v>14.683999999999999</v>
      </c>
      <c r="BB58" s="270">
        <f>'WC samples'!V29</f>
        <v>10.006500000000001</v>
      </c>
      <c r="BC58" s="222">
        <f>IF($E58&lt;&gt;"",10^-$E58*'Elements and ions'!B59*1000,"")</f>
        <v>0</v>
      </c>
      <c r="BE58" s="6"/>
      <c r="BF58" s="6"/>
      <c r="BG58" s="270">
        <f>'WC samples'!L29</f>
        <v>0</v>
      </c>
      <c r="BH58" s="3"/>
      <c r="BJ58" s="92">
        <f>IF($AN58&lt;&gt;"",$AN58*'Elements and ions'!$G$2*1000,"")</f>
        <v>3.2752427249548535</v>
      </c>
      <c r="BK58" s="229"/>
      <c r="BL58" s="230"/>
      <c r="BM58" s="101">
        <f>IF($E58&lt;&gt;"",(10^-14+$E58)*'Elements and ions'!$G$8,"")</f>
        <v>139.46018800000016</v>
      </c>
      <c r="BO58" s="102">
        <f>IF($AP58&lt;&gt;"",$AP58*'Elements and ions'!$G$4*1000,"")</f>
        <v>1.9993734653820572</v>
      </c>
      <c r="BP58" s="269">
        <f>'WC samples'!P29</f>
        <v>7.6300000000000007E-2</v>
      </c>
      <c r="BQ58" s="270">
        <f>'WC samples'!R29</f>
        <v>0</v>
      </c>
      <c r="BR58" s="195"/>
      <c r="BS58" s="238">
        <f>IF($AU58&lt;&gt;"",$AU58/'Elements and ions'!$B$12,"")</f>
        <v>0.19441256437002399</v>
      </c>
      <c r="BT58" s="239">
        <f>IF($AV58&lt;&gt;"",$AV58/'Elements and ions'!$B$20,"")</f>
        <v>0.13724893409687888</v>
      </c>
      <c r="BU58" s="239">
        <f>IF($AW58&lt;&gt;"",$AW58/'Elements and ions'!$B$21, "")</f>
        <v>1.8487025300663702</v>
      </c>
      <c r="BV58" s="240">
        <f>IF($AX58&lt;&gt;"",$AX58/'Elements and ions'!$B$13, "")</f>
        <v>0.26313927175478297</v>
      </c>
      <c r="BW58" s="238">
        <f>IF($AY58&lt;&gt;"",$AY58/'Elements and ions'!$G$3,"")</f>
        <v>4.1944812573408958</v>
      </c>
      <c r="BX58" s="239">
        <f>IF($AZ58&lt;&gt;"",$AZ58/'Elements and ions'!$B$18,"")</f>
        <v>0.15981158153047695</v>
      </c>
      <c r="BY58" s="239">
        <f>IF($BA58&lt;&gt;"",$BA58/'Elements and ions'!$G$7,"")</f>
        <v>0.23681999325859729</v>
      </c>
      <c r="BZ58" s="241">
        <f>IF($BB58&lt;&gt;"",$BB58/'Elements and ions'!$G$5,"")</f>
        <v>0.1041664497941967</v>
      </c>
      <c r="CA58" s="91">
        <f t="shared" si="67"/>
        <v>6.309573444801933E-6</v>
      </c>
      <c r="CB58" s="163" t="str">
        <f>IF($BD58&lt;&gt;"",$BD58/'Elements and ions'!$B$14,"")</f>
        <v/>
      </c>
      <c r="CC58" s="89" t="str">
        <f>IF($BE58&lt;&gt;"",$BE58/'Elements and ions'!$B$27, "")</f>
        <v/>
      </c>
      <c r="CD58" s="249" t="str">
        <f>IF($BF58&lt;&gt;"",$BF58/'Elements and ions'!$B$26,"")</f>
        <v/>
      </c>
      <c r="CE58" s="250">
        <f>IF($BG58&lt;&gt;"",$BG58/'Elements and ions'!$G$6,"")</f>
        <v>0</v>
      </c>
      <c r="CF58" s="91" t="str">
        <f>IF($BH58&lt;&gt;"",$BH58/'Elements and ions'!$G$15,"")</f>
        <v/>
      </c>
      <c r="CG58" s="89" t="str">
        <f>IF($BI58&lt;&gt;"",$BI58/'Elements and ions'!$G$16,"")</f>
        <v/>
      </c>
      <c r="CH58" s="90">
        <f>IF($BJ58&lt;&gt;"",$BJ58/'Elements and ions'!$G$2,"")</f>
        <v>5.2805390441608237E-2</v>
      </c>
      <c r="CI58" s="91" t="str">
        <f>IF($BK58&lt;&gt;"",$BK58/'Elements and ions'!$B$15, "")</f>
        <v/>
      </c>
      <c r="CJ58" s="88" t="str">
        <f>IF($BL58&lt;&gt;"", $BL58/'Elements and ions'!$G$17,"")</f>
        <v/>
      </c>
      <c r="CK58" s="89">
        <f t="shared" si="68"/>
        <v>1.5848931924611084E-3</v>
      </c>
      <c r="CL58" s="163" t="str">
        <f>IF($BN58&lt;&gt;"", $BN58/'Elements and ions'!$G$19,"")</f>
        <v/>
      </c>
      <c r="CM58" s="89">
        <f>IF($BO58&lt;&gt;"",$BO58/'Elements and ions'!$G$4,"")</f>
        <v>3.3317948927276742E-2</v>
      </c>
      <c r="CN58" s="89">
        <f>IF($BP58&lt;&gt;"",$BP58/'Elements and ions'!$B$10,"")</f>
        <v>4.0161269974520811E-3</v>
      </c>
      <c r="CO58" s="104">
        <f>IF($BQ58&lt;&gt;"",$BQ58/'Elements and ions'!$G$18,"")</f>
        <v>0</v>
      </c>
      <c r="CP58" s="242"/>
      <c r="CQ58" s="238">
        <f t="shared" si="689"/>
        <v>1.94412564370024E-4</v>
      </c>
      <c r="CR58" s="239">
        <f t="shared" si="690"/>
        <v>1.3724893409687889E-4</v>
      </c>
      <c r="CS58" s="239">
        <f t="shared" si="691"/>
        <v>1.8487025300663702E-3</v>
      </c>
      <c r="CT58" s="241">
        <f t="shared" si="692"/>
        <v>2.6313927175478297E-4</v>
      </c>
      <c r="CU58" s="238">
        <f t="shared" si="693"/>
        <v>4.1944812573408959E-3</v>
      </c>
      <c r="CV58" s="239">
        <f t="shared" si="694"/>
        <v>1.5981158153047695E-4</v>
      </c>
      <c r="CW58" s="239">
        <f t="shared" si="695"/>
        <v>2.3681999325859729E-4</v>
      </c>
      <c r="CX58" s="241">
        <f t="shared" si="696"/>
        <v>1.041664497941967E-4</v>
      </c>
      <c r="CY58" s="258">
        <f t="shared" si="98"/>
        <v>6.3095734448019329E-9</v>
      </c>
      <c r="CZ58" s="259" t="str">
        <f t="shared" si="697"/>
        <v/>
      </c>
      <c r="DA58" s="260" t="str">
        <f t="shared" si="698"/>
        <v/>
      </c>
      <c r="DB58" s="261" t="str">
        <f t="shared" si="699"/>
        <v/>
      </c>
      <c r="DC58" s="262">
        <f t="shared" si="700"/>
        <v>0</v>
      </c>
      <c r="DD58" s="263" t="str">
        <f t="shared" si="701"/>
        <v/>
      </c>
      <c r="DE58" s="259" t="str">
        <f t="shared" si="702"/>
        <v/>
      </c>
      <c r="DF58" s="260">
        <f t="shared" si="703"/>
        <v>5.2805390441608237E-5</v>
      </c>
      <c r="DG58" s="260" t="str">
        <f t="shared" si="704"/>
        <v/>
      </c>
      <c r="DH58" s="264" t="str">
        <f t="shared" si="705"/>
        <v/>
      </c>
      <c r="DI58" s="258">
        <f t="shared" si="108"/>
        <v>1.5848931924611084E-6</v>
      </c>
      <c r="DJ58" s="260" t="str">
        <f t="shared" si="706"/>
        <v/>
      </c>
      <c r="DK58" s="260">
        <f t="shared" si="707"/>
        <v>3.3317948927276742E-5</v>
      </c>
      <c r="DL58" s="260">
        <f t="shared" si="708"/>
        <v>4.0161269974520809E-6</v>
      </c>
      <c r="DM58" s="265">
        <f t="shared" si="709"/>
        <v>0</v>
      </c>
      <c r="DN58" s="242"/>
      <c r="DO58" s="238">
        <f t="shared" si="710"/>
        <v>0.19441256437002399</v>
      </c>
      <c r="DP58" s="239">
        <f t="shared" si="711"/>
        <v>0.13724893409687888</v>
      </c>
      <c r="DQ58" s="239">
        <f t="shared" si="712"/>
        <v>3.6974050601327404</v>
      </c>
      <c r="DR58" s="241">
        <f t="shared" si="713"/>
        <v>0.52627854350956593</v>
      </c>
      <c r="DS58" s="238">
        <f t="shared" si="714"/>
        <v>-4.1944812573408958</v>
      </c>
      <c r="DT58" s="239">
        <f t="shared" si="715"/>
        <v>-0.15981158153047695</v>
      </c>
      <c r="DU58" s="239">
        <f t="shared" si="716"/>
        <v>-0.23681999325859729</v>
      </c>
      <c r="DV58" s="241">
        <f t="shared" si="717"/>
        <v>-0.20833289958839341</v>
      </c>
      <c r="DW58" s="91">
        <f t="shared" si="113"/>
        <v>6.309573444801933E-6</v>
      </c>
      <c r="DX58" s="89">
        <f t="shared" si="718"/>
        <v>0</v>
      </c>
      <c r="DY58" s="89">
        <f t="shared" si="719"/>
        <v>0</v>
      </c>
      <c r="DZ58" s="89">
        <f t="shared" si="720"/>
        <v>0</v>
      </c>
      <c r="EA58" s="90">
        <f t="shared" si="721"/>
        <v>0</v>
      </c>
      <c r="EB58" s="91">
        <f t="shared" si="118"/>
        <v>-1.5848931924611084E-3</v>
      </c>
      <c r="EC58" s="89">
        <f t="shared" si="722"/>
        <v>0</v>
      </c>
      <c r="ED58" s="89">
        <f t="shared" si="723"/>
        <v>-6.6635897854553483E-2</v>
      </c>
      <c r="EE58" s="89">
        <f t="shared" si="724"/>
        <v>-4.0161269974520811E-3</v>
      </c>
      <c r="EF58" s="90">
        <f t="shared" si="725"/>
        <v>0</v>
      </c>
      <c r="EG58" s="242"/>
      <c r="EH58" s="245">
        <f t="shared" si="726"/>
        <v>4.5553514116826541</v>
      </c>
      <c r="EI58" s="246">
        <f t="shared" si="727"/>
        <v>-4.8716826497628292</v>
      </c>
      <c r="EJ58" s="198">
        <f t="shared" si="728"/>
        <v>-3.3555754229625729</v>
      </c>
      <c r="EK58" s="198">
        <f t="shared" si="729"/>
        <v>1.1327428235258561E-2</v>
      </c>
      <c r="EL58" s="101">
        <f>IF(AND(CS58&lt;&gt;"",DK58&lt;&gt;""),LOG(CS58*DK58/Minerals!$C$6),"")</f>
        <v>1.269717299936753</v>
      </c>
      <c r="EM58" s="94">
        <f>IF(AND(CS58&lt;&gt;"",DK58&lt;&gt;""),LOG(CS58*DK58/Minerals!$C$5),"")</f>
        <v>1.1392377705805352</v>
      </c>
      <c r="EN58" s="94">
        <f>IF(AND(CS58&lt;&gt;"",DL58&lt;&gt;""),LOG(CS58*DL58^2/Minerals!$C$2),"")</f>
        <v>-2.9555931448540216</v>
      </c>
      <c r="EO58" s="94">
        <f>IF(AND(CS58&lt;&gt;"",CX58&lt;&gt;""),LOG($CS58*$CX58/Minerals!$C$3),"")</f>
        <v>-2.1154247367151697</v>
      </c>
      <c r="EP58" s="95">
        <f>IF(AND(CS58&lt;&gt;"",CX58&lt;&gt;""),LOG($CS58*$CX58/Minerals!$C$4),"")</f>
        <v>-2.355409248181072</v>
      </c>
      <c r="EQ58" s="199"/>
      <c r="ER58" s="101">
        <f t="shared" si="752"/>
        <v>0.89516627321295317</v>
      </c>
      <c r="ES58" s="94">
        <f t="shared" si="752"/>
        <v>0.89516627321295317</v>
      </c>
      <c r="ET58" s="94">
        <f t="shared" si="753"/>
        <v>0.64211800013748854</v>
      </c>
      <c r="EU58" s="94">
        <f t="shared" si="753"/>
        <v>0.64211800013748854</v>
      </c>
      <c r="EV58" s="95">
        <f t="shared" si="753"/>
        <v>0.64211800013748854</v>
      </c>
      <c r="EW58" s="101">
        <f t="shared" si="754"/>
        <v>0.89516627321295317</v>
      </c>
      <c r="EX58" s="94">
        <f t="shared" si="31"/>
        <v>0.64211800013748854</v>
      </c>
      <c r="EY58" s="94">
        <f t="shared" si="754"/>
        <v>0.89516627321295317</v>
      </c>
      <c r="EZ58" s="94">
        <f t="shared" si="754"/>
        <v>0.89516627321295317</v>
      </c>
      <c r="FA58" s="94">
        <f t="shared" si="165"/>
        <v>0.89516627321295317</v>
      </c>
      <c r="FB58" s="95">
        <f t="shared" si="32"/>
        <v>0.64211800013748854</v>
      </c>
      <c r="FC58" s="199"/>
      <c r="FD58" s="101">
        <f t="shared" si="730"/>
        <v>1.7403157071288776E-4</v>
      </c>
      <c r="FE58" s="94">
        <f t="shared" si="731"/>
        <v>1.228606168379533E-4</v>
      </c>
      <c r="FF58" s="94">
        <f t="shared" si="732"/>
        <v>1.1870851714553328E-3</v>
      </c>
      <c r="FG58" s="94">
        <f t="shared" si="733"/>
        <v>1.6896646293681637E-4</v>
      </c>
      <c r="FH58" s="95" t="str">
        <f t="shared" si="734"/>
        <v/>
      </c>
      <c r="FI58" s="101">
        <f t="shared" si="735"/>
        <v>3.7547581551954316E-3</v>
      </c>
      <c r="FJ58" s="94">
        <f t="shared" si="736"/>
        <v>2.1394054733865923E-5</v>
      </c>
      <c r="FK58" s="94">
        <f t="shared" si="737"/>
        <v>1.4305793785490507E-4</v>
      </c>
      <c r="FL58" s="94">
        <f t="shared" si="738"/>
        <v>2.1199327078761523E-4</v>
      </c>
      <c r="FM58" s="94">
        <f t="shared" si="739"/>
        <v>3.5951014370591069E-6</v>
      </c>
      <c r="FN58" s="95">
        <f t="shared" si="740"/>
        <v>6.6887152423271689E-5</v>
      </c>
      <c r="FO58" s="199"/>
      <c r="FP58" s="101">
        <f>IF(EL58&lt;&gt;"",LOG(FF58*FJ58/Minerals!$C$6),"")</f>
        <v>0.88494698878333478</v>
      </c>
      <c r="FQ58" s="94">
        <f>IF(EL58&lt;&gt;"",LOG(FF58*FJ58/Minerals!$C$5),"")</f>
        <v>0.75446745942711702</v>
      </c>
      <c r="FR58" s="94">
        <f>IF(EN58&lt;&gt;"",LOG(FF58*FM58^2/Minerals!$C$2),"")</f>
        <v>-3.244170878219085</v>
      </c>
      <c r="FS58" s="94">
        <f>IF(EO58&lt;&gt;"",LOG($FF58*$FN58/Minerals!$C$3),"")</f>
        <v>-2.5001950478685879</v>
      </c>
      <c r="FT58" s="95">
        <f>IF(EP58&lt;&gt;"",LOG($FF58*$FN58/Minerals!$C$4),"")</f>
        <v>-2.7401795593344902</v>
      </c>
      <c r="FU58" s="96"/>
      <c r="FV58" s="101">
        <f>IF(FP58&lt;&gt;"",LOG(FF58*FJ58/(EXP(-1*Minerals!$E$6/'Other Constants'!$B$2*(1/(273.15+'ppm-mgL-1'!$D58)-1/298.15)+LN(Minerals!$C$6)))),"")</f>
        <v>-0.2174269282339216</v>
      </c>
      <c r="FW58" s="94">
        <f>IF(FP58&lt;&gt;"",LOG(FF58*FJ58/(EXP(-1*Minerals!$E$5/'Other Constants'!$B$2*(1/(273.15+'ppm-mgL-1'!$D58)-1/298.15)+LN(Minerals!$C$5)))),"")</f>
        <v>-0.34800611550219557</v>
      </c>
      <c r="FX58" s="94">
        <f>IF(FR58&lt;&gt;"",LOG(FF58*FM58^2/(EXP(-1*Minerals!$E$2/'Other Constants'!$B$2*(1/(273.15+'ppm-mgL-1'!$D58)-1/298.15)+LN(Minerals!$C$2)))),"")</f>
        <v>-3.1975641946806501</v>
      </c>
      <c r="FY58" s="94">
        <f>IF(FS58&lt;&gt;"",LOG($FF58*$FN58/(EXP(-1*Minerals!$E$3/'Other Constants'!$B$2*(1/(273.15+'ppm-mgL-1'!$D58)-1/298.15)+LN(Minerals!$C$3)))),"")</f>
        <v>-1.5499103493839983</v>
      </c>
      <c r="FZ58" s="95">
        <f>IF(FT58&lt;&gt;"",LOG($FF58*$FN58/(EXP(-1*Minerals!$E$4/'Other Constants'!$B$2*(1/(273.15+'ppm-mgL-1'!$D58)-1/298.15)+LN(Minerals!$C$4)))),"")</f>
        <v>-2.7674027789779307</v>
      </c>
      <c r="GA58" s="96"/>
      <c r="GB58" s="96"/>
      <c r="GC58" s="101">
        <f>10^(-1825000*(79.755*EXP(-0.0046*($D58-20))*($D58+273.15))^-1.5*$EK58^0.5/(1+'Elements and ions'!$D$12*$EK58^0.5/(2*(79.755*EXP(-0.0046*($D58-20))*($D58+273.15))^0.5)))</f>
        <v>0.89562345073024152</v>
      </c>
      <c r="GD58" s="94">
        <f>10^(-1825000*(79.755*EXP(-0.0046*($D58-20))*($D58+273.15))^-1.5*$EK58^0.5/(1+'Elements and ions'!$D$20*$EK58^0.5/(2*(79.755*EXP(-0.0046*($D58-20))*($D58+273.15))^0.5)))</f>
        <v>0.89251393495916009</v>
      </c>
      <c r="GE58" s="94">
        <f>10^(-1825000*(79.755*EXP(-0.0046*($D58-20))*($D58+273.15))^-1.5*4*$EK58^0.5/(1+'Elements and ions'!$D$21*$EK58^0.5/(2*(79.755*EXP(-0.0046*($D58-20))*($D58+273.15))^0.5)))</f>
        <v>0.65999494105888268</v>
      </c>
      <c r="GF58" s="94">
        <f>10^(-1825000*(79.755*EXP(-0.0046*($D58-20))*($D58+273.15))^-1.5*4*$EK58^0.5/(1+'Elements and ions'!$D$13*$EK58^0.5/(2*(79.755*EXP(-0.0046*($D58-20))*($D58+273.15))^0.5)))</f>
        <v>0.67511242956099182</v>
      </c>
      <c r="GG58" s="95">
        <f>10^(-1825000*(79.755*EXP(-0.0046*($D58-20))*($D58+273.15))^-1.5*4*$EK58^0.5/(1+'Elements and ions'!$D$27*$EK58^0.5/(2*(79.755*EXP(-0.0046*($D58-20))*($D58+273.15))^0.5)))</f>
        <v>0.65999494105888268</v>
      </c>
      <c r="GH58" s="101">
        <f>10^(-1825000*(79.755*EXP(-0.0046*($D58-20))*($D58+273.15))^-1.5*$EK58^0.5/(1+'Elements and ions'!$G$3*$EK58^0.5/(2*(79.755*EXP(-0.0046*($D58-20))*($D58+273.15))^0.5)))</f>
        <v>0.88427580103138115</v>
      </c>
      <c r="GI58" s="94">
        <f>10^(-1825000*(79.755*EXP(-0.0046*($D58-20))*($D58+273.15))^-1.5*4*$EK58^0.5/(1+'Elements and ions'!$G$4*$EK58^0.5/(2*(79.755*EXP(-0.0046*($D58-20))*($D58+273.15))^0.5)))</f>
        <v>0.61133245638224165</v>
      </c>
      <c r="GJ58" s="94">
        <f>10^(-1825000*(79.755*EXP(-0.0046*($D58-20))*($D58+273.15))^-1.5*$EK58^0.5/(1+'Elements and ions'!$D$18*$EK58^0.5/(2*(79.755*EXP(-0.0046*($D58-20))*($D58+273.15))^0.5)))</f>
        <v>0.89251393495916009</v>
      </c>
      <c r="GK58" s="94">
        <f>10^(-1825000*(79.755*EXP(-0.0046*($D58-20))*($D58+273.15))^-1.5*$EK58^0.5/(1+'Elements and ions'!$I$7*$EK58^0.5/(2*(79.755*EXP(-0.0046*($D58-20))*($D58+273.15))^0.5)))</f>
        <v>0.89251393495916009</v>
      </c>
      <c r="GL58" s="94">
        <f>10^(-1825000*(79.755*EXP(-0.0046*($D58-20))*($D58+273.15))^-1.5*$EK58^0.5/(1+'Elements and ions'!$D$10*$EK58^0.5/(2*(79.755*EXP(-0.0046*($D58-20))*($D58+273.15))^0.5)))</f>
        <v>0.89409148687448703</v>
      </c>
      <c r="GM58" s="95">
        <f>10^(-1825000*(79.755*EXP(-0.0046*($D58-20))*($D58+273.15))^-1.5*4*$EK58^0.5/(1+'Elements and ions'!$I$5*$EK58^0.5/(2*(79.755*EXP(-0.0046*($D58-20))*($D58+273.15))^0.5)))</f>
        <v>0.64343077024290862</v>
      </c>
      <c r="GN58" s="96"/>
      <c r="GO58" s="101">
        <f t="shared" si="741"/>
        <v>1.741204517663961E-4</v>
      </c>
      <c r="GP58" s="94">
        <f t="shared" si="742"/>
        <v>1.2249658623975581E-4</v>
      </c>
      <c r="GQ58" s="94">
        <f t="shared" si="743"/>
        <v>1.2201343173665613E-3</v>
      </c>
      <c r="GR58" s="94">
        <f t="shared" si="744"/>
        <v>1.776485930672816E-4</v>
      </c>
      <c r="GS58" s="95" t="str">
        <f t="shared" si="745"/>
        <v/>
      </c>
      <c r="GT58" s="101">
        <f t="shared" si="746"/>
        <v>3.7090782737462355E-3</v>
      </c>
      <c r="GU58" s="94">
        <f t="shared" si="747"/>
        <v>2.0368343559330164E-5</v>
      </c>
      <c r="GV58" s="94">
        <f t="shared" si="748"/>
        <v>1.4263406348381262E-4</v>
      </c>
      <c r="GW58" s="94">
        <f t="shared" si="749"/>
        <v>2.1136514406023245E-4</v>
      </c>
      <c r="GX58" s="94">
        <f t="shared" si="750"/>
        <v>3.5907849586287003E-6</v>
      </c>
      <c r="GY58" s="102">
        <f t="shared" si="751"/>
        <v>6.7023899024549249E-5</v>
      </c>
      <c r="GZ58" s="199"/>
      <c r="HA58" s="92">
        <f>IF(AND(GQ58&lt;&gt;"",GU58&lt;&gt;""),LOG(GQ58*GU58/Minerals!$C$6),"")</f>
        <v>0.87553536019473333</v>
      </c>
      <c r="HB58" s="94">
        <f>IF(AND(GQ58&lt;&gt;"",GU58&lt;&gt;""),LOG(GQ58*GU58/Minerals!$C$5),"")</f>
        <v>0.74505583083851568</v>
      </c>
      <c r="HC58" s="94">
        <f>IF(AND(GQ58&lt;&gt;"",GX58&lt;&gt;""),LOG(GQ58*GX58^2/Minerals!$C$2),"")</f>
        <v>-3.2332886187214984</v>
      </c>
      <c r="HD58" s="94">
        <f>IF(AND(GQ58&lt;&gt;"",GY58&lt;&gt;""),LOG($GQ58*$GY58/Minerals!$C$3),"")</f>
        <v>-2.4873823041218208</v>
      </c>
      <c r="HE58" s="102">
        <f>IF(AND(GQ58&lt;&gt;"",GY58&lt;&gt;""),LOG($GQ58*$GY58/Minerals!$C$3),"")</f>
        <v>-2.4873823041218208</v>
      </c>
      <c r="HF58" s="199"/>
      <c r="HG58" s="92">
        <f>IF(HA58&lt;&gt;"",LOG(GQ58*GU58/(EXP(-1*Minerals!$E$6/'Other Constants'!$B$2*(1/(273.15+'ppm-mgL-1'!$D58)-1/298.15)+LN(Minerals!$C$6)))),"")</f>
        <v>-0.22683855682252307</v>
      </c>
      <c r="HH58" s="94">
        <f>IF(HA58&lt;&gt;"",LOG(GQ58*GU58/(EXP(-1*Minerals!$E$5/'Other Constants'!$B$2*(1/(273.15+'ppm-mgL-1'!$D58)-1/298.15)+LN(Minerals!$C$5)))),"")</f>
        <v>-0.35741774409079702</v>
      </c>
      <c r="HI58" s="94">
        <f>IF(HC58&lt;&gt;"",LOG(GQ58*GX58^2/(EXP(-1*Minerals!$E$2/'Other Constants'!$B$2*(1/(273.15+'ppm-mgL-1'!$D58)-1/298.15)+LN(Minerals!$C$2)))),"")</f>
        <v>-3.186681935183064</v>
      </c>
      <c r="HJ58" s="94">
        <f>IF(HD58&lt;&gt;"",LOG($FF58*$FN58/(EXP(-1*Minerals!$E$3/'Other Constants'!$B$2*(1/(273.15+'ppm-mgL-1'!$D58)-1/298.15)+LN(Minerals!$C$3)))),"")</f>
        <v>-1.5499103493839983</v>
      </c>
      <c r="HK58" s="95">
        <f>IF(HE58&lt;&gt;"",LOG($FF58*$FN58/(EXP(-1*Minerals!$E$4/'Other Constants'!$B$2*(1/(273.15+'ppm-mgL-1'!$D58)-1/298.15)+LN(Minerals!$C$4)))),"")</f>
        <v>-2.7674027789779307</v>
      </c>
      <c r="HL58" s="199"/>
      <c r="HM58" s="199"/>
    </row>
    <row r="59" spans="1:221" x14ac:dyDescent="0.25">
      <c r="A59" s="267" t="str">
        <f>'WC samples'!B30</f>
        <v>ISLM</v>
      </c>
      <c r="C59" s="266">
        <f>'WC samples'!A30</f>
        <v>41685</v>
      </c>
      <c r="D59" s="4">
        <f>'WC samples'!I30</f>
        <v>21.9</v>
      </c>
      <c r="E59" s="4">
        <f>'WC samples'!F30</f>
        <v>8.3000000000000007</v>
      </c>
      <c r="AD59" s="83">
        <f>IF(E59&lt;&gt;"",10^(-2*$E59)/(10^(-2*$E59)+10^(-$E59-pKa!$B$2)+(10^(-pKa!$B$2-pKa!$C$2))),"")</f>
        <v>9.8039215686274977E-3</v>
      </c>
      <c r="AE59" s="84">
        <f>IF(E59&lt;&gt;"",10^(-$E59-pKa!$B$2)/(10^(-2*$E59)+10^(-$E59-pKa!$B$2)+10^(-pKa!$B$2-pKa!$C$2)),"")</f>
        <v>0.98039215686274495</v>
      </c>
      <c r="AF59" s="212">
        <f>IF(E59&lt;&gt;"",10^(-pKa!$B$2-pKa!$C$2)/(10^(-2*$E59)+10^(-$E59-pKa!$B$2)+10^(-pKa!$B$2-pKa!$C$2)),"")</f>
        <v>9.8039215686274977E-3</v>
      </c>
      <c r="AG59" s="152"/>
      <c r="AH59" s="222">
        <f>IF($AK59&lt;&gt;"",$AK59/'Elements and ions'!$G$3,IF($E59="","",""))</f>
        <v>4.3594522430201241</v>
      </c>
      <c r="AI59" s="85">
        <f t="shared" si="688"/>
        <v>4.3594502527696827E-3</v>
      </c>
      <c r="AJ59" s="84">
        <f>IF(AI59&lt;&gt;"",AI59*1000*'Elements and ions'!$B$7,"")</f>
        <v>52.360049150940824</v>
      </c>
      <c r="AK59" s="99">
        <f>'WC samples'!H30</f>
        <v>266</v>
      </c>
      <c r="AL59" s="88">
        <f>IF($AK59&lt;&gt;"",$AK59/'Elements and ions'!$G$3*Minerals!$B$6/2,IF($E59="","","Enter Alk(HCO3-)"))</f>
        <v>218.16203035096544</v>
      </c>
      <c r="AM59" s="199"/>
      <c r="AN59" s="101">
        <f t="shared" si="491"/>
        <v>4.273970836048729E-5</v>
      </c>
      <c r="AO59" s="94">
        <f t="shared" si="492"/>
        <v>4.2739708360487079E-3</v>
      </c>
      <c r="AP59" s="95">
        <f t="shared" si="493"/>
        <v>4.273970836048729E-5</v>
      </c>
      <c r="AQ59" s="199"/>
      <c r="AR59" s="199"/>
      <c r="AS59" s="83">
        <f t="shared" si="66"/>
        <v>0.12570502458966851</v>
      </c>
      <c r="AT59" s="83">
        <f>IF(AN59&lt;&gt;"",AN59/'Henrys law constants'!$B$7*1000000,"")</f>
        <v>1257.0502458966851</v>
      </c>
      <c r="AU59" s="268">
        <f>'WC samples'!K30</f>
        <v>4.4337999999999997</v>
      </c>
      <c r="AV59" s="269">
        <f>'WC samples'!M30</f>
        <v>5.1971999999999996</v>
      </c>
      <c r="AW59" s="269">
        <f>'WC samples'!O30</f>
        <v>83.875200000000007</v>
      </c>
      <c r="AX59" s="269">
        <f>'WC samples'!N30</f>
        <v>6.3625999999999996</v>
      </c>
      <c r="AY59" s="226">
        <f>AO59*'Elements and ions'!$G$3*1000</f>
        <v>260.78419466785027</v>
      </c>
      <c r="AZ59" s="269">
        <f>'WC samples'!Q30</f>
        <v>5.7686999999999999</v>
      </c>
      <c r="BA59" s="269">
        <f>'WC samples'!T30</f>
        <v>14.344200000000001</v>
      </c>
      <c r="BB59" s="270">
        <f>'WC samples'!V30</f>
        <v>9.9438999999999993</v>
      </c>
      <c r="BC59" s="222">
        <f>IF($E59&lt;&gt;"",10^-$E59*'Elements and ions'!B60*1000,"")</f>
        <v>0</v>
      </c>
      <c r="BE59" s="6"/>
      <c r="BF59" s="6"/>
      <c r="BG59" s="270">
        <f>'WC samples'!L30</f>
        <v>0</v>
      </c>
      <c r="BH59" s="3"/>
      <c r="BJ59" s="92">
        <f>IF($AN59&lt;&gt;"",$AN59*'Elements and ions'!$G$2*1000,"")</f>
        <v>2.6509210083233845</v>
      </c>
      <c r="BK59" s="229"/>
      <c r="BL59" s="230"/>
      <c r="BM59" s="101">
        <f>IF($E59&lt;&gt;"",(10^-14+$E59)*'Elements and ions'!$G$8,"")</f>
        <v>141.1609220000002</v>
      </c>
      <c r="BO59" s="102">
        <f>IF($AP59&lt;&gt;"",$AP59*'Elements and ions'!$G$4*1000,"")</f>
        <v>2.5647628850336459</v>
      </c>
      <c r="BP59" s="269">
        <f>'WC samples'!P30</f>
        <v>8.3799999999999999E-2</v>
      </c>
      <c r="BQ59" s="270">
        <f>'WC samples'!R30</f>
        <v>0</v>
      </c>
      <c r="BR59" s="195"/>
      <c r="BS59" s="238">
        <f>IF($AU59&lt;&gt;"",$AU59/'Elements and ions'!$B$12,"")</f>
        <v>0.19285969972117961</v>
      </c>
      <c r="BT59" s="239">
        <f>IF($AV59&lt;&gt;"",$AV59/'Elements and ions'!$B$20,"")</f>
        <v>0.13292649552538088</v>
      </c>
      <c r="BU59" s="239">
        <f>IF($AW59&lt;&gt;"",$AW59/'Elements and ions'!$B$21, "")</f>
        <v>2.0927990418683566</v>
      </c>
      <c r="BV59" s="240">
        <f>IF($AX59&lt;&gt;"",$AX59/'Elements and ions'!$B$13, "")</f>
        <v>0.26178152643488994</v>
      </c>
      <c r="BW59" s="238">
        <f>IF($AY59&lt;&gt;"",$AY59/'Elements and ions'!$G$3,"")</f>
        <v>4.2739708360487088</v>
      </c>
      <c r="BX59" s="239">
        <f>IF($AZ59&lt;&gt;"",$AZ59/'Elements and ions'!$B$18,"")</f>
        <v>0.16271401573914759</v>
      </c>
      <c r="BY59" s="239">
        <f>IF($BA59&lt;&gt;"",$BA59/'Elements and ions'!$G$7,"")</f>
        <v>0.23133978121083981</v>
      </c>
      <c r="BZ59" s="241">
        <f>IF($BB59&lt;&gt;"",$BB59/'Elements and ions'!$G$5,"")</f>
        <v>0.10351479139644355</v>
      </c>
      <c r="CA59" s="91">
        <f t="shared" si="67"/>
        <v>5.0118723362727114E-6</v>
      </c>
      <c r="CB59" s="163" t="str">
        <f>IF($BD59&lt;&gt;"",$BD59/'Elements and ions'!$B$14,"")</f>
        <v/>
      </c>
      <c r="CC59" s="89" t="str">
        <f>IF($BE59&lt;&gt;"",$BE59/'Elements and ions'!$B$27, "")</f>
        <v/>
      </c>
      <c r="CD59" s="249" t="str">
        <f>IF($BF59&lt;&gt;"",$BF59/'Elements and ions'!$B$26,"")</f>
        <v/>
      </c>
      <c r="CE59" s="250">
        <f>IF($BG59&lt;&gt;"",$BG59/'Elements and ions'!$G$6,"")</f>
        <v>0</v>
      </c>
      <c r="CF59" s="91" t="str">
        <f>IF($BH59&lt;&gt;"",$BH59/'Elements and ions'!$G$15,"")</f>
        <v/>
      </c>
      <c r="CG59" s="89" t="str">
        <f>IF($BI59&lt;&gt;"",$BI59/'Elements and ions'!$G$16,"")</f>
        <v/>
      </c>
      <c r="CH59" s="90">
        <f>IF($BJ59&lt;&gt;"",$BJ59/'Elements and ions'!$G$2,"")</f>
        <v>4.2739708360487287E-2</v>
      </c>
      <c r="CI59" s="91" t="str">
        <f>IF($BK59&lt;&gt;"",$BK59/'Elements and ions'!$B$15, "")</f>
        <v/>
      </c>
      <c r="CJ59" s="88" t="str">
        <f>IF($BL59&lt;&gt;"", $BL59/'Elements and ions'!$G$17,"")</f>
        <v/>
      </c>
      <c r="CK59" s="89">
        <f t="shared" si="68"/>
        <v>1.9952623149688815E-3</v>
      </c>
      <c r="CL59" s="163" t="str">
        <f>IF($BN59&lt;&gt;"", $BN59/'Elements and ions'!$G$19,"")</f>
        <v/>
      </c>
      <c r="CM59" s="89">
        <f>IF($BO59&lt;&gt;"",$BO59/'Elements and ions'!$G$4,"")</f>
        <v>4.2739708360487294E-2</v>
      </c>
      <c r="CN59" s="89">
        <f>IF($BP59&lt;&gt;"",$BP59/'Elements and ions'!$B$10,"")</f>
        <v>4.4108970168608699E-3</v>
      </c>
      <c r="CO59" s="104">
        <f>IF($BQ59&lt;&gt;"",$BQ59/'Elements and ions'!$G$18,"")</f>
        <v>0</v>
      </c>
      <c r="CP59" s="242"/>
      <c r="CQ59" s="238">
        <f t="shared" si="689"/>
        <v>1.928596997211796E-4</v>
      </c>
      <c r="CR59" s="239">
        <f t="shared" si="690"/>
        <v>1.3292649552538088E-4</v>
      </c>
      <c r="CS59" s="239">
        <f t="shared" si="691"/>
        <v>2.0927990418683567E-3</v>
      </c>
      <c r="CT59" s="241">
        <f t="shared" si="692"/>
        <v>2.6178152643488992E-4</v>
      </c>
      <c r="CU59" s="238">
        <f t="shared" si="693"/>
        <v>4.2739708360487088E-3</v>
      </c>
      <c r="CV59" s="239">
        <f t="shared" si="694"/>
        <v>1.6271401573914759E-4</v>
      </c>
      <c r="CW59" s="239">
        <f t="shared" si="695"/>
        <v>2.3133978121083981E-4</v>
      </c>
      <c r="CX59" s="241">
        <f t="shared" si="696"/>
        <v>1.0351479139644355E-4</v>
      </c>
      <c r="CY59" s="258">
        <f t="shared" si="98"/>
        <v>5.0118723362727114E-9</v>
      </c>
      <c r="CZ59" s="259" t="str">
        <f t="shared" si="697"/>
        <v/>
      </c>
      <c r="DA59" s="260" t="str">
        <f t="shared" si="698"/>
        <v/>
      </c>
      <c r="DB59" s="261" t="str">
        <f t="shared" si="699"/>
        <v/>
      </c>
      <c r="DC59" s="262">
        <f t="shared" si="700"/>
        <v>0</v>
      </c>
      <c r="DD59" s="263" t="str">
        <f t="shared" si="701"/>
        <v/>
      </c>
      <c r="DE59" s="259" t="str">
        <f t="shared" si="702"/>
        <v/>
      </c>
      <c r="DF59" s="260">
        <f t="shared" si="703"/>
        <v>4.273970836048729E-5</v>
      </c>
      <c r="DG59" s="260" t="str">
        <f t="shared" si="704"/>
        <v/>
      </c>
      <c r="DH59" s="264" t="str">
        <f t="shared" si="705"/>
        <v/>
      </c>
      <c r="DI59" s="258">
        <f t="shared" si="108"/>
        <v>1.9952623149688817E-6</v>
      </c>
      <c r="DJ59" s="260" t="str">
        <f t="shared" si="706"/>
        <v/>
      </c>
      <c r="DK59" s="260">
        <f t="shared" si="707"/>
        <v>4.2739708360487297E-5</v>
      </c>
      <c r="DL59" s="260">
        <f t="shared" si="708"/>
        <v>4.4108970168608698E-6</v>
      </c>
      <c r="DM59" s="265">
        <f t="shared" si="709"/>
        <v>0</v>
      </c>
      <c r="DN59" s="242"/>
      <c r="DO59" s="238">
        <f t="shared" si="710"/>
        <v>0.19285969972117961</v>
      </c>
      <c r="DP59" s="239">
        <f t="shared" si="711"/>
        <v>0.13292649552538088</v>
      </c>
      <c r="DQ59" s="239">
        <f t="shared" si="712"/>
        <v>4.1855980837367133</v>
      </c>
      <c r="DR59" s="241">
        <f t="shared" si="713"/>
        <v>0.52356305286977989</v>
      </c>
      <c r="DS59" s="238">
        <f t="shared" si="714"/>
        <v>-4.2739708360487088</v>
      </c>
      <c r="DT59" s="239">
        <f t="shared" si="715"/>
        <v>-0.16271401573914759</v>
      </c>
      <c r="DU59" s="239">
        <f t="shared" si="716"/>
        <v>-0.23133978121083981</v>
      </c>
      <c r="DV59" s="241">
        <f t="shared" si="717"/>
        <v>-0.20702958279288711</v>
      </c>
      <c r="DW59" s="91">
        <f t="shared" si="113"/>
        <v>5.0118723362727114E-6</v>
      </c>
      <c r="DX59" s="89">
        <f t="shared" si="718"/>
        <v>0</v>
      </c>
      <c r="DY59" s="89">
        <f t="shared" si="719"/>
        <v>0</v>
      </c>
      <c r="DZ59" s="89">
        <f t="shared" si="720"/>
        <v>0</v>
      </c>
      <c r="EA59" s="90">
        <f t="shared" si="721"/>
        <v>0</v>
      </c>
      <c r="EB59" s="91">
        <f t="shared" si="118"/>
        <v>-1.9952623149688815E-3</v>
      </c>
      <c r="EC59" s="89">
        <f t="shared" si="722"/>
        <v>0</v>
      </c>
      <c r="ED59" s="89">
        <f t="shared" si="723"/>
        <v>-8.5479416720974588E-2</v>
      </c>
      <c r="EE59" s="89">
        <f t="shared" si="724"/>
        <v>-4.4108970168608699E-3</v>
      </c>
      <c r="EF59" s="90">
        <f t="shared" si="725"/>
        <v>0</v>
      </c>
      <c r="EG59" s="242"/>
      <c r="EH59" s="245">
        <f t="shared" si="726"/>
        <v>5.03495234372539</v>
      </c>
      <c r="EI59" s="246">
        <f t="shared" si="727"/>
        <v>-4.9669397918443883</v>
      </c>
      <c r="EJ59" s="198">
        <f t="shared" si="728"/>
        <v>0.67999685418650302</v>
      </c>
      <c r="EK59" s="198">
        <f t="shared" si="729"/>
        <v>1.2331492301429818E-2</v>
      </c>
      <c r="EL59" s="101">
        <f>IF(AND(CS59&lt;&gt;"",DK59&lt;&gt;""),LOG(CS59*DK59/Minerals!$C$6),"")</f>
        <v>1.431731088416287</v>
      </c>
      <c r="EM59" s="94">
        <f>IF(AND(CS59&lt;&gt;"",DK59&lt;&gt;""),LOG(CS59*DK59/Minerals!$C$5),"")</f>
        <v>1.3012515590600693</v>
      </c>
      <c r="EN59" s="94">
        <f>IF(AND(CS59&lt;&gt;"",DL59&lt;&gt;""),LOG(CS59*DL59^2/Minerals!$C$2),"")</f>
        <v>-2.8202936912700971</v>
      </c>
      <c r="EO59" s="94">
        <f>IF(AND(CS59&lt;&gt;"",CX59&lt;&gt;""),LOG($CS59*$CX59/Minerals!$C$3),"")</f>
        <v>-2.0642896959809454</v>
      </c>
      <c r="EP59" s="95">
        <f>IF(AND(CS59&lt;&gt;"",CX59&lt;&gt;""),LOG($CS59*$CX59/Minerals!$C$4),"")</f>
        <v>-2.3042742074468481</v>
      </c>
      <c r="EQ59" s="199"/>
      <c r="ER59" s="101">
        <f t="shared" si="752"/>
        <v>0.89130401773554024</v>
      </c>
      <c r="ES59" s="94">
        <f t="shared" si="752"/>
        <v>0.89130401773554024</v>
      </c>
      <c r="ET59" s="94">
        <f t="shared" si="753"/>
        <v>0.63110766782988836</v>
      </c>
      <c r="EU59" s="94">
        <f t="shared" si="753"/>
        <v>0.63110766782988836</v>
      </c>
      <c r="EV59" s="95">
        <f t="shared" si="753"/>
        <v>0.63110766782988836</v>
      </c>
      <c r="EW59" s="101">
        <f t="shared" si="754"/>
        <v>0.89130401773554024</v>
      </c>
      <c r="EX59" s="94">
        <f t="shared" si="31"/>
        <v>0.63110766782988836</v>
      </c>
      <c r="EY59" s="94">
        <f t="shared" si="754"/>
        <v>0.89130401773554024</v>
      </c>
      <c r="EZ59" s="94">
        <f t="shared" si="754"/>
        <v>0.89130401773554024</v>
      </c>
      <c r="FA59" s="94">
        <f t="shared" si="165"/>
        <v>0.89130401773554024</v>
      </c>
      <c r="FB59" s="95">
        <f t="shared" si="32"/>
        <v>0.63110766782988836</v>
      </c>
      <c r="FC59" s="199"/>
      <c r="FD59" s="101">
        <f t="shared" si="730"/>
        <v>1.7189662522075724E-4</v>
      </c>
      <c r="FE59" s="94">
        <f t="shared" si="731"/>
        <v>1.1847791952527729E-4</v>
      </c>
      <c r="FF59" s="94">
        <f t="shared" si="732"/>
        <v>1.3207815225501636E-3</v>
      </c>
      <c r="FG59" s="94">
        <f t="shared" si="733"/>
        <v>1.6521232862927164E-4</v>
      </c>
      <c r="FH59" s="95" t="str">
        <f t="shared" si="734"/>
        <v/>
      </c>
      <c r="FI59" s="101">
        <f t="shared" si="735"/>
        <v>3.80940737785474E-3</v>
      </c>
      <c r="FJ59" s="94">
        <f t="shared" si="736"/>
        <v>2.6973357667116719E-5</v>
      </c>
      <c r="FK59" s="94">
        <f t="shared" si="737"/>
        <v>1.4502765597018618E-4</v>
      </c>
      <c r="FL59" s="94">
        <f t="shared" si="738"/>
        <v>2.0619407645528236E-4</v>
      </c>
      <c r="FM59" s="94">
        <f t="shared" si="739"/>
        <v>3.9314502329458023E-6</v>
      </c>
      <c r="FN59" s="95">
        <f t="shared" si="740"/>
        <v>6.5328978584106877E-5</v>
      </c>
      <c r="FO59" s="199"/>
      <c r="FP59" s="101">
        <f>IF(EL59&lt;&gt;"",LOG(FF59*FJ59/Minerals!$C$6),"")</f>
        <v>1.0319380020093136</v>
      </c>
      <c r="FQ59" s="94">
        <f>IF(EL59&lt;&gt;"",LOG(FF59*FJ59/Minerals!$C$5),"")</f>
        <v>0.90145847265309575</v>
      </c>
      <c r="FR59" s="94">
        <f>IF(EN59&lt;&gt;"",LOG(FF59*FM59^2/Minerals!$C$2),"")</f>
        <v>-3.1201385060753273</v>
      </c>
      <c r="FS59" s="94">
        <f>IF(EO59&lt;&gt;"",LOG($FF59*$FN59/Minerals!$C$3),"")</f>
        <v>-2.4640827823879188</v>
      </c>
      <c r="FT59" s="95">
        <f>IF(EP59&lt;&gt;"",LOG($FF59*$FN59/Minerals!$C$4),"")</f>
        <v>-2.7040672938538215</v>
      </c>
      <c r="FU59" s="96"/>
      <c r="FV59" s="101">
        <f>IF(FP59&lt;&gt;"",LOG(FF59*FJ59/(EXP(-1*Minerals!$E$6/'Other Constants'!$B$2*(1/(273.15+'ppm-mgL-1'!$D59)-1/298.15)+LN(Minerals!$C$6)))),"")</f>
        <v>-0.18978836738601226</v>
      </c>
      <c r="FW59" s="94">
        <f>IF(FP59&lt;&gt;"",LOG(FF59*FJ59/(EXP(-1*Minerals!$E$5/'Other Constants'!$B$2*(1/(273.15+'ppm-mgL-1'!$D59)-1/298.15)+LN(Minerals!$C$5)))),"")</f>
        <v>-0.32037834447434616</v>
      </c>
      <c r="FX59" s="94">
        <f>IF(FR59&lt;&gt;"",LOG(FF59*FM59^2/(EXP(-1*Minerals!$E$2/'Other Constants'!$B$2*(1/(273.15+'ppm-mgL-1'!$D59)-1/298.15)+LN(Minerals!$C$2)))),"")</f>
        <v>-3.0684857833557655</v>
      </c>
      <c r="FY59" s="94">
        <f>IF(FS59&lt;&gt;"",LOG($FF59*$FN59/(EXP(-1*Minerals!$E$3/'Other Constants'!$B$2*(1/(273.15+'ppm-mgL-1'!$D59)-1/298.15)+LN(Minerals!$C$3)))),"")</f>
        <v>-1.4109121143873127</v>
      </c>
      <c r="FZ59" s="95">
        <f>IF(FT59&lt;&gt;"",LOG($FF59*$FN59/(EXP(-1*Minerals!$E$4/'Other Constants'!$B$2*(1/(273.15+'ppm-mgL-1'!$D59)-1/298.15)+LN(Minerals!$C$4)))),"")</f>
        <v>-2.7342379326768294</v>
      </c>
      <c r="GA59" s="96"/>
      <c r="GB59" s="96"/>
      <c r="GC59" s="101">
        <f>10^(-1825000*(79.755*EXP(-0.0046*($D59-20))*($D59+273.15))^-1.5*$EK59^0.5/(1+'Elements and ions'!$D$12*$EK59^0.5/(2*(79.755*EXP(-0.0046*($D59-20))*($D59+273.15))^0.5)))</f>
        <v>0.89194556262114688</v>
      </c>
      <c r="GD59" s="94">
        <f>10^(-1825000*(79.755*EXP(-0.0046*($D59-20))*($D59+273.15))^-1.5*$EK59^0.5/(1+'Elements and ions'!$D$20*$EK59^0.5/(2*(79.755*EXP(-0.0046*($D59-20))*($D59+273.15))^0.5)))</f>
        <v>0.88860857238502777</v>
      </c>
      <c r="GE59" s="94">
        <f>10^(-1825000*(79.755*EXP(-0.0046*($D59-20))*($D59+273.15))^-1.5*4*$EK59^0.5/(1+'Elements and ions'!$D$21*$EK59^0.5/(2*(79.755*EXP(-0.0046*($D59-20))*($D59+273.15))^0.5)))</f>
        <v>0.65044449452344966</v>
      </c>
      <c r="GF59" s="94">
        <f>10^(-1825000*(79.755*EXP(-0.0046*($D59-20))*($D59+273.15))^-1.5*4*$EK59^0.5/(1+'Elements and ions'!$D$13*$EK59^0.5/(2*(79.755*EXP(-0.0046*($D59-20))*($D59+273.15))^0.5)))</f>
        <v>0.66639447349121661</v>
      </c>
      <c r="GG59" s="95">
        <f>10^(-1825000*(79.755*EXP(-0.0046*($D59-20))*($D59+273.15))^-1.5*4*$EK59^0.5/(1+'Elements and ions'!$D$27*$EK59^0.5/(2*(79.755*EXP(-0.0046*($D59-20))*($D59+273.15))^0.5)))</f>
        <v>0.65044449452344966</v>
      </c>
      <c r="GH59" s="101">
        <f>10^(-1825000*(79.755*EXP(-0.0046*($D59-20))*($D59+273.15))^-1.5*$EK59^0.5/(1+'Elements and ions'!$G$3*$EK59^0.5/(2*(79.755*EXP(-0.0046*($D59-20))*($D59+273.15))^0.5)))</f>
        <v>0.87973364364526052</v>
      </c>
      <c r="GI59" s="94">
        <f>10^(-1825000*(79.755*EXP(-0.0046*($D59-20))*($D59+273.15))^-1.5*4*$EK59^0.5/(1+'Elements and ions'!$G$4*$EK59^0.5/(2*(79.755*EXP(-0.0046*($D59-20))*($D59+273.15))^0.5)))</f>
        <v>0.59885955221895215</v>
      </c>
      <c r="GJ59" s="94">
        <f>10^(-1825000*(79.755*EXP(-0.0046*($D59-20))*($D59+273.15))^-1.5*$EK59^0.5/(1+'Elements and ions'!$D$18*$EK59^0.5/(2*(79.755*EXP(-0.0046*($D59-20))*($D59+273.15))^0.5)))</f>
        <v>0.88860857238502777</v>
      </c>
      <c r="GK59" s="94">
        <f>10^(-1825000*(79.755*EXP(-0.0046*($D59-20))*($D59+273.15))^-1.5*$EK59^0.5/(1+'Elements and ions'!$I$7*$EK59^0.5/(2*(79.755*EXP(-0.0046*($D59-20))*($D59+273.15))^0.5)))</f>
        <v>0.88860857238502777</v>
      </c>
      <c r="GL59" s="94">
        <f>10^(-1825000*(79.755*EXP(-0.0046*($D59-20))*($D59+273.15))^-1.5*$EK59^0.5/(1+'Elements and ions'!$D$10*$EK59^0.5/(2*(79.755*EXP(-0.0046*($D59-20))*($D59+273.15))^0.5)))</f>
        <v>0.89030240910865521</v>
      </c>
      <c r="GM59" s="95">
        <f>10^(-1825000*(79.755*EXP(-0.0046*($D59-20))*($D59+273.15))^-1.5*4*$EK59^0.5/(1+'Elements and ions'!$I$5*$EK59^0.5/(2*(79.755*EXP(-0.0046*($D59-20))*($D59+273.15))^0.5)))</f>
        <v>0.63292667118099877</v>
      </c>
      <c r="GN59" s="96"/>
      <c r="GO59" s="101">
        <f t="shared" si="741"/>
        <v>1.7202035337475299E-4</v>
      </c>
      <c r="GP59" s="94">
        <f t="shared" si="742"/>
        <v>1.1811962342095349E-4</v>
      </c>
      <c r="GQ59" s="94">
        <f t="shared" si="743"/>
        <v>1.361249614927223E-3</v>
      </c>
      <c r="GR59" s="94">
        <f t="shared" si="744"/>
        <v>1.7444976247830548E-4</v>
      </c>
      <c r="GS59" s="95" t="str">
        <f t="shared" si="745"/>
        <v/>
      </c>
      <c r="GT59" s="101">
        <f t="shared" si="746"/>
        <v>3.7599559364307109E-3</v>
      </c>
      <c r="GU59" s="94">
        <f t="shared" si="747"/>
        <v>2.5595082610730029E-5</v>
      </c>
      <c r="GV59" s="94">
        <f t="shared" si="748"/>
        <v>1.4458906923299887E-4</v>
      </c>
      <c r="GW59" s="94">
        <f t="shared" si="749"/>
        <v>2.0557051271762904E-4</v>
      </c>
      <c r="GX59" s="94">
        <f t="shared" si="750"/>
        <v>3.9270322404414133E-6</v>
      </c>
      <c r="GY59" s="102">
        <f t="shared" si="751"/>
        <v>6.5517272336546506E-5</v>
      </c>
      <c r="GZ59" s="199"/>
      <c r="HA59" s="92">
        <f>IF(AND(GQ59&lt;&gt;"",GU59&lt;&gt;""),LOG(GQ59*GU59/Minerals!$C$6),"")</f>
        <v>1.0222663117522124</v>
      </c>
      <c r="HB59" s="94">
        <f>IF(AND(GQ59&lt;&gt;"",GU59&lt;&gt;""),LOG(GQ59*GU59/Minerals!$C$5),"")</f>
        <v>0.89178678239599463</v>
      </c>
      <c r="HC59" s="94">
        <f>IF(AND(GQ59&lt;&gt;"",GX59&lt;&gt;""),LOG(GQ59*GX59^2/Minerals!$C$2),"")</f>
        <v>-3.1080083520657098</v>
      </c>
      <c r="HD59" s="94">
        <f>IF(AND(GQ59&lt;&gt;"",GY59&lt;&gt;""),LOG($GQ59*$GY59/Minerals!$C$3),"")</f>
        <v>-2.4497260568951078</v>
      </c>
      <c r="HE59" s="102">
        <f>IF(AND(GQ59&lt;&gt;"",GY59&lt;&gt;""),LOG($GQ59*$GY59/Minerals!$C$3),"")</f>
        <v>-2.4497260568951078</v>
      </c>
      <c r="HF59" s="199"/>
      <c r="HG59" s="92">
        <f>IF(HA59&lt;&gt;"",LOG(GQ59*GU59/(EXP(-1*Minerals!$E$6/'Other Constants'!$B$2*(1/(273.15+'ppm-mgL-1'!$D59)-1/298.15)+LN(Minerals!$C$6)))),"")</f>
        <v>-0.19946005764311339</v>
      </c>
      <c r="HH59" s="94">
        <f>IF(HA59&lt;&gt;"",LOG(GQ59*GU59/(EXP(-1*Minerals!$E$5/'Other Constants'!$B$2*(1/(273.15+'ppm-mgL-1'!$D59)-1/298.15)+LN(Minerals!$C$5)))),"")</f>
        <v>-0.33005003473144734</v>
      </c>
      <c r="HI59" s="94">
        <f>IF(HC59&lt;&gt;"",LOG(GQ59*GX59^2/(EXP(-1*Minerals!$E$2/'Other Constants'!$B$2*(1/(273.15+'ppm-mgL-1'!$D59)-1/298.15)+LN(Minerals!$C$2)))),"")</f>
        <v>-3.056355629346148</v>
      </c>
      <c r="HJ59" s="94">
        <f>IF(HD59&lt;&gt;"",LOG($FF59*$FN59/(EXP(-1*Minerals!$E$3/'Other Constants'!$B$2*(1/(273.15+'ppm-mgL-1'!$D59)-1/298.15)+LN(Minerals!$C$3)))),"")</f>
        <v>-1.4109121143873127</v>
      </c>
      <c r="HK59" s="95">
        <f>IF(HE59&lt;&gt;"",LOG($FF59*$FN59/(EXP(-1*Minerals!$E$4/'Other Constants'!$B$2*(1/(273.15+'ppm-mgL-1'!$D59)-1/298.15)+LN(Minerals!$C$4)))),"")</f>
        <v>-2.7342379326768294</v>
      </c>
      <c r="HL59" s="199"/>
      <c r="HM59" s="199"/>
    </row>
    <row r="60" spans="1:221" x14ac:dyDescent="0.25">
      <c r="A60" s="267" t="str">
        <f>'WC samples'!B31</f>
        <v>ISLM</v>
      </c>
      <c r="C60" s="266">
        <f>'WC samples'!A31</f>
        <v>41727</v>
      </c>
      <c r="D60" s="4">
        <f>'WC samples'!I31</f>
        <v>21.8</v>
      </c>
      <c r="E60" s="4">
        <f>'WC samples'!F31</f>
        <v>8.3699999999999992</v>
      </c>
      <c r="AD60" s="83">
        <f>IF(E60&lt;&gt;"",10^(-2*$E60)/(10^(-2*$E60)+10^(-$E60-pKa!$B$2)+(10^(-pKa!$B$2-pKa!$C$2))),"")</f>
        <v>8.3423611753036496E-3</v>
      </c>
      <c r="AE60" s="84">
        <f>IF(E60&lt;&gt;"",10^(-$E60-pKa!$B$2)/(10^(-2*$E60)+10^(-$E60-pKa!$B$2)+10^(-pKa!$B$2-pKa!$C$2)),"")</f>
        <v>0.98014197472867326</v>
      </c>
      <c r="AF60" s="212">
        <f>IF(E60&lt;&gt;"",10^(-pKa!$B$2-pKa!$C$2)/(10^(-2*$E60)+10^(-$E60-pKa!$B$2)+10^(-pKa!$B$2-pKa!$C$2)),"")</f>
        <v>1.151566409602317E-2</v>
      </c>
      <c r="AG60" s="152"/>
      <c r="AH60" s="222">
        <f>IF($AK60&lt;&gt;"",$AK60/'Elements and ions'!$G$3,IF($E60="","",""))</f>
        <v>4.3386383168974341</v>
      </c>
      <c r="AI60" s="85">
        <f t="shared" si="688"/>
        <v>4.3249117219353421E-3</v>
      </c>
      <c r="AJ60" s="84">
        <f>IF(AI60&lt;&gt;"",AI60*1000*'Elements and ions'!$B$7,"")</f>
        <v>51.945217218648814</v>
      </c>
      <c r="AK60" s="99">
        <f>'WC samples'!H31</f>
        <v>264.73</v>
      </c>
      <c r="AL60" s="88">
        <f>IF($AK60&lt;&gt;"",$AK60/'Elements and ions'!$G$3*Minerals!$B$6/2,IF($E60="","","Enter Alk(HCO3-)"))</f>
        <v>217.12042967974091</v>
      </c>
      <c r="AM60" s="199"/>
      <c r="AN60" s="101">
        <f t="shared" si="491"/>
        <v>3.607997563568905E-5</v>
      </c>
      <c r="AO60" s="94">
        <f t="shared" si="492"/>
        <v>4.239027515664893E-3</v>
      </c>
      <c r="AP60" s="95">
        <f t="shared" si="493"/>
        <v>4.9804230634760564E-5</v>
      </c>
      <c r="AQ60" s="199"/>
      <c r="AR60" s="199"/>
      <c r="AS60" s="83">
        <f t="shared" si="66"/>
        <v>0.10611757539908542</v>
      </c>
      <c r="AT60" s="83">
        <f>IF(AN60&lt;&gt;"",AN60/'Henrys law constants'!$B$7*1000000,"")</f>
        <v>1061.1757539908542</v>
      </c>
      <c r="AU60" s="268">
        <f>'WC samples'!K31</f>
        <v>4.4356</v>
      </c>
      <c r="AV60" s="269">
        <f>'WC samples'!M31</f>
        <v>5.0960000000000001</v>
      </c>
      <c r="AW60" s="269">
        <f>'WC samples'!O31</f>
        <v>83.042199999999994</v>
      </c>
      <c r="AX60" s="269">
        <f>'WC samples'!N31</f>
        <v>6.4435000000000002</v>
      </c>
      <c r="AY60" s="226">
        <f>AO60*'Elements and ions'!$G$3*1000</f>
        <v>258.65206367892222</v>
      </c>
      <c r="AZ60" s="269">
        <f>'WC samples'!Q31</f>
        <v>5.9713000000000003</v>
      </c>
      <c r="BA60" s="269">
        <f>'WC samples'!T31</f>
        <v>14.5389</v>
      </c>
      <c r="BB60" s="270">
        <f>'WC samples'!V31</f>
        <v>10.0238</v>
      </c>
      <c r="BC60" s="222">
        <f>IF($E60&lt;&gt;"",10^-$E60*'Elements and ions'!B61*1000,"")</f>
        <v>0</v>
      </c>
      <c r="BE60" s="6"/>
      <c r="BF60" s="6"/>
      <c r="BG60" s="270">
        <f>'WC samples'!L31</f>
        <v>1E-4</v>
      </c>
      <c r="BH60" s="3"/>
      <c r="BJ60" s="92">
        <f>IF($AN60&lt;&gt;"",$AN60*'Elements and ions'!$G$2*1000,"")</f>
        <v>2.2378525512089733</v>
      </c>
      <c r="BK60" s="229"/>
      <c r="BL60" s="230"/>
      <c r="BM60" s="101">
        <f>IF($E60&lt;&gt;"",(10^-14+$E60)*'Elements and ions'!$G$8,"")</f>
        <v>142.35143580000016</v>
      </c>
      <c r="BO60" s="102">
        <f>IF($AP60&lt;&gt;"",$AP60*'Elements and ions'!$G$4*1000,"")</f>
        <v>2.9886970957382828</v>
      </c>
      <c r="BP60" s="269">
        <f>'WC samples'!P31</f>
        <v>8.4500000000000006E-2</v>
      </c>
      <c r="BQ60" s="270">
        <f>'WC samples'!R31</f>
        <v>0</v>
      </c>
      <c r="BR60" s="195"/>
      <c r="BS60" s="238">
        <f>IF($AU60&lt;&gt;"",$AU60/'Elements and ions'!$B$12,"")</f>
        <v>0.19293799541776002</v>
      </c>
      <c r="BT60" s="239">
        <f>IF($AV60&lt;&gt;"",$AV60/'Elements and ions'!$B$20,"")</f>
        <v>0.13033814769440102</v>
      </c>
      <c r="BU60" s="239">
        <f>IF($AW60&lt;&gt;"",$AW60/'Elements and ions'!$B$21, "")</f>
        <v>2.0720145715854081</v>
      </c>
      <c r="BV60" s="240">
        <f>IF($AX60&lt;&gt;"",$AX60/'Elements and ions'!$B$13, "")</f>
        <v>0.26511005965850648</v>
      </c>
      <c r="BW60" s="238">
        <f>IF($AY60&lt;&gt;"",$AY60/'Elements and ions'!$G$3,"")</f>
        <v>4.2390275156648922</v>
      </c>
      <c r="BX60" s="239">
        <f>IF($AZ60&lt;&gt;"",$AZ60/'Elements and ions'!$B$18,"")</f>
        <v>0.16842862381180718</v>
      </c>
      <c r="BY60" s="239">
        <f>IF($BA60&lt;&gt;"",$BA60/'Elements and ions'!$G$7,"")</f>
        <v>0.23447985562431356</v>
      </c>
      <c r="BZ60" s="241">
        <f>IF($BB60&lt;&gt;"",$BB60/'Elements and ions'!$G$5,"")</f>
        <v>0.10434654069325626</v>
      </c>
      <c r="CA60" s="91">
        <f t="shared" si="67"/>
        <v>4.2657951880159189E-6</v>
      </c>
      <c r="CB60" s="163" t="str">
        <f>IF($BD60&lt;&gt;"",$BD60/'Elements and ions'!$B$14,"")</f>
        <v/>
      </c>
      <c r="CC60" s="89" t="str">
        <f>IF($BE60&lt;&gt;"",$BE60/'Elements and ions'!$B$27, "")</f>
        <v/>
      </c>
      <c r="CD60" s="249" t="str">
        <f>IF($BF60&lt;&gt;"",$BF60/'Elements and ions'!$B$26,"")</f>
        <v/>
      </c>
      <c r="CE60" s="250">
        <f>IF($BG60&lt;&gt;"",$BG60/'Elements and ions'!$G$6,"")</f>
        <v>5.543710494133091E-6</v>
      </c>
      <c r="CF60" s="91" t="str">
        <f>IF($BH60&lt;&gt;"",$BH60/'Elements and ions'!$G$15,"")</f>
        <v/>
      </c>
      <c r="CG60" s="89" t="str">
        <f>IF($BI60&lt;&gt;"",$BI60/'Elements and ions'!$G$16,"")</f>
        <v/>
      </c>
      <c r="CH60" s="90">
        <f>IF($BJ60&lt;&gt;"",$BJ60/'Elements and ions'!$G$2,"")</f>
        <v>3.607997563568905E-2</v>
      </c>
      <c r="CI60" s="91" t="str">
        <f>IF($BK60&lt;&gt;"",$BK60/'Elements and ions'!$B$15, "")</f>
        <v/>
      </c>
      <c r="CJ60" s="88" t="str">
        <f>IF($BL60&lt;&gt;"", $BL60/'Elements and ions'!$G$17,"")</f>
        <v/>
      </c>
      <c r="CK60" s="89">
        <f t="shared" si="68"/>
        <v>2.3442288153199152E-3</v>
      </c>
      <c r="CL60" s="163" t="str">
        <f>IF($BN60&lt;&gt;"", $BN60/'Elements and ions'!$G$19,"")</f>
        <v/>
      </c>
      <c r="CM60" s="89">
        <f>IF($BO60&lt;&gt;"",$BO60/'Elements and ions'!$G$4,"")</f>
        <v>4.9804230634760562E-2</v>
      </c>
      <c r="CN60" s="89">
        <f>IF($BP60&lt;&gt;"",$BP60/'Elements and ions'!$B$10,"")</f>
        <v>4.4477422186723573E-3</v>
      </c>
      <c r="CO60" s="104">
        <f>IF($BQ60&lt;&gt;"",$BQ60/'Elements and ions'!$G$18,"")</f>
        <v>0</v>
      </c>
      <c r="CP60" s="242"/>
      <c r="CQ60" s="238">
        <f t="shared" si="689"/>
        <v>1.9293799541776003E-4</v>
      </c>
      <c r="CR60" s="239">
        <f t="shared" si="690"/>
        <v>1.3033814769440103E-4</v>
      </c>
      <c r="CS60" s="239">
        <f t="shared" si="691"/>
        <v>2.072014571585408E-3</v>
      </c>
      <c r="CT60" s="241">
        <f t="shared" si="692"/>
        <v>2.6511005965850648E-4</v>
      </c>
      <c r="CU60" s="238">
        <f t="shared" si="693"/>
        <v>4.2390275156648921E-3</v>
      </c>
      <c r="CV60" s="239">
        <f t="shared" si="694"/>
        <v>1.6842862381180718E-4</v>
      </c>
      <c r="CW60" s="239">
        <f t="shared" si="695"/>
        <v>2.3447985562431356E-4</v>
      </c>
      <c r="CX60" s="241">
        <f t="shared" si="696"/>
        <v>1.0434654069325626E-4</v>
      </c>
      <c r="CY60" s="258">
        <f t="shared" si="98"/>
        <v>4.265795188015919E-9</v>
      </c>
      <c r="CZ60" s="259" t="str">
        <f t="shared" si="697"/>
        <v/>
      </c>
      <c r="DA60" s="260" t="str">
        <f t="shared" si="698"/>
        <v/>
      </c>
      <c r="DB60" s="261" t="str">
        <f t="shared" si="699"/>
        <v/>
      </c>
      <c r="DC60" s="262">
        <f t="shared" si="700"/>
        <v>5.5437104941330911E-9</v>
      </c>
      <c r="DD60" s="263" t="str">
        <f t="shared" si="701"/>
        <v/>
      </c>
      <c r="DE60" s="259" t="str">
        <f t="shared" si="702"/>
        <v/>
      </c>
      <c r="DF60" s="260">
        <f t="shared" si="703"/>
        <v>3.607997563568905E-5</v>
      </c>
      <c r="DG60" s="260" t="str">
        <f t="shared" si="704"/>
        <v/>
      </c>
      <c r="DH60" s="264" t="str">
        <f t="shared" si="705"/>
        <v/>
      </c>
      <c r="DI60" s="258">
        <f t="shared" si="108"/>
        <v>2.344228815319915E-6</v>
      </c>
      <c r="DJ60" s="260" t="str">
        <f t="shared" si="706"/>
        <v/>
      </c>
      <c r="DK60" s="260">
        <f t="shared" si="707"/>
        <v>4.9804230634760564E-5</v>
      </c>
      <c r="DL60" s="260">
        <f t="shared" si="708"/>
        <v>4.4477422186723572E-6</v>
      </c>
      <c r="DM60" s="265">
        <f t="shared" si="709"/>
        <v>0</v>
      </c>
      <c r="DN60" s="242"/>
      <c r="DO60" s="238">
        <f t="shared" si="710"/>
        <v>0.19293799541776002</v>
      </c>
      <c r="DP60" s="239">
        <f t="shared" si="711"/>
        <v>0.13033814769440102</v>
      </c>
      <c r="DQ60" s="239">
        <f t="shared" si="712"/>
        <v>4.1440291431708163</v>
      </c>
      <c r="DR60" s="241">
        <f t="shared" si="713"/>
        <v>0.53022011931701296</v>
      </c>
      <c r="DS60" s="238">
        <f t="shared" si="714"/>
        <v>-4.2390275156648922</v>
      </c>
      <c r="DT60" s="239">
        <f t="shared" si="715"/>
        <v>-0.16842862381180718</v>
      </c>
      <c r="DU60" s="239">
        <f t="shared" si="716"/>
        <v>-0.23447985562431356</v>
      </c>
      <c r="DV60" s="241">
        <f t="shared" si="717"/>
        <v>-0.20869308138651252</v>
      </c>
      <c r="DW60" s="91">
        <f t="shared" si="113"/>
        <v>4.2657951880159189E-6</v>
      </c>
      <c r="DX60" s="89">
        <f t="shared" si="718"/>
        <v>0</v>
      </c>
      <c r="DY60" s="89">
        <f t="shared" si="719"/>
        <v>0</v>
      </c>
      <c r="DZ60" s="89">
        <f t="shared" si="720"/>
        <v>0</v>
      </c>
      <c r="EA60" s="90">
        <f t="shared" si="721"/>
        <v>5.543710494133091E-6</v>
      </c>
      <c r="EB60" s="91">
        <f t="shared" si="118"/>
        <v>-2.3442288153199152E-3</v>
      </c>
      <c r="EC60" s="89">
        <f t="shared" si="722"/>
        <v>0</v>
      </c>
      <c r="ED60" s="89">
        <f t="shared" si="723"/>
        <v>-9.9608461269521123E-2</v>
      </c>
      <c r="EE60" s="89">
        <f t="shared" si="724"/>
        <v>-4.4477422186723573E-3</v>
      </c>
      <c r="EF60" s="90">
        <f t="shared" si="725"/>
        <v>0</v>
      </c>
      <c r="EG60" s="242"/>
      <c r="EH60" s="245">
        <f t="shared" si="726"/>
        <v>4.9975352151056729</v>
      </c>
      <c r="EI60" s="246">
        <f t="shared" si="727"/>
        <v>-4.957029508791039</v>
      </c>
      <c r="EJ60" s="198">
        <f t="shared" si="728"/>
        <v>0.4069058511156875</v>
      </c>
      <c r="EK60" s="198">
        <f t="shared" si="729"/>
        <v>1.2250714627964607E-2</v>
      </c>
      <c r="EL60" s="101">
        <f>IF(AND(CS60&lt;&gt;"",DK60&lt;&gt;""),LOG(CS60*DK60/Minerals!$C$6),"")</f>
        <v>1.4938310471110354</v>
      </c>
      <c r="EM60" s="94">
        <f>IF(AND(CS60&lt;&gt;"",DK60&lt;&gt;""),LOG(CS60*DK60/Minerals!$C$5),"")</f>
        <v>1.3633515177548177</v>
      </c>
      <c r="EN60" s="94">
        <f>IF(AND(CS60&lt;&gt;"",DL60&lt;&gt;""),LOG(CS60*DL60^2/Minerals!$C$2),"")</f>
        <v>-2.8174030331556215</v>
      </c>
      <c r="EO60" s="94">
        <f>IF(AND(CS60&lt;&gt;"",CX60&lt;&gt;""),LOG($CS60*$CX60/Minerals!$C$3),"")</f>
        <v>-2.0651487739084229</v>
      </c>
      <c r="EP60" s="95">
        <f>IF(AND(CS60&lt;&gt;"",CX60&lt;&gt;""),LOG($CS60*$CX60/Minerals!$C$4),"")</f>
        <v>-2.3051332853743252</v>
      </c>
      <c r="EQ60" s="199"/>
      <c r="ER60" s="101">
        <f t="shared" si="752"/>
        <v>0.89160700838385842</v>
      </c>
      <c r="ES60" s="94">
        <f t="shared" si="752"/>
        <v>0.89160700838385842</v>
      </c>
      <c r="ET60" s="94">
        <f t="shared" si="753"/>
        <v>0.63196626262950562</v>
      </c>
      <c r="EU60" s="94">
        <f t="shared" si="753"/>
        <v>0.63196626262950562</v>
      </c>
      <c r="EV60" s="95">
        <f t="shared" si="753"/>
        <v>0.63196626262950562</v>
      </c>
      <c r="EW60" s="101">
        <f t="shared" si="754"/>
        <v>0.89160700838385842</v>
      </c>
      <c r="EX60" s="94">
        <f t="shared" si="31"/>
        <v>0.63196626262950562</v>
      </c>
      <c r="EY60" s="94">
        <f t="shared" si="754"/>
        <v>0.89160700838385842</v>
      </c>
      <c r="EZ60" s="94">
        <f t="shared" si="754"/>
        <v>0.89160700838385842</v>
      </c>
      <c r="FA60" s="94">
        <f t="shared" si="165"/>
        <v>0.89160700838385842</v>
      </c>
      <c r="FB60" s="95">
        <f t="shared" si="32"/>
        <v>0.63196626262950562</v>
      </c>
      <c r="FC60" s="199"/>
      <c r="FD60" s="101">
        <f t="shared" si="730"/>
        <v>1.7202486889800761E-4</v>
      </c>
      <c r="FE60" s="94">
        <f t="shared" si="731"/>
        <v>1.162104059440984E-4</v>
      </c>
      <c r="FF60" s="94">
        <f t="shared" si="732"/>
        <v>1.3094433049187066E-3</v>
      </c>
      <c r="FG60" s="94">
        <f t="shared" si="733"/>
        <v>1.675406135878716E-4</v>
      </c>
      <c r="FH60" s="95" t="str">
        <f t="shared" si="734"/>
        <v/>
      </c>
      <c r="FI60" s="101">
        <f t="shared" si="735"/>
        <v>3.7795466416988342E-3</v>
      </c>
      <c r="FJ60" s="94">
        <f t="shared" si="736"/>
        <v>3.1474593497387565E-5</v>
      </c>
      <c r="FK60" s="94">
        <f t="shared" si="737"/>
        <v>1.501721414030557E-4</v>
      </c>
      <c r="FL60" s="94">
        <f t="shared" si="738"/>
        <v>2.0906388259947324E-4</v>
      </c>
      <c r="FM60" s="94">
        <f t="shared" si="739"/>
        <v>3.9656381336530454E-6</v>
      </c>
      <c r="FN60" s="95">
        <f t="shared" si="740"/>
        <v>6.5943493340234782E-5</v>
      </c>
      <c r="FO60" s="199"/>
      <c r="FP60" s="101">
        <f>IF(EL60&lt;&gt;"",LOG(FF60*FJ60/Minerals!$C$6),"")</f>
        <v>1.0952188354956529</v>
      </c>
      <c r="FQ60" s="94">
        <f>IF(EL60&lt;&gt;"",LOG(FF60*FJ60/Minerals!$C$5),"")</f>
        <v>0.96473930613943515</v>
      </c>
      <c r="FR60" s="94">
        <f>IF(EN60&lt;&gt;"",LOG(FF60*FM60^2/Minerals!$C$2),"")</f>
        <v>-3.1163621918671582</v>
      </c>
      <c r="FS60" s="94">
        <f>IF(EO60&lt;&gt;"",LOG($FF60*$FN60/Minerals!$C$3),"")</f>
        <v>-2.4637609855238054</v>
      </c>
      <c r="FT60" s="95">
        <f>IF(EP60&lt;&gt;"",LOG($FF60*$FN60/Minerals!$C$4),"")</f>
        <v>-2.7037454969897081</v>
      </c>
      <c r="FU60" s="96"/>
      <c r="FV60" s="101">
        <f>IF(FP60&lt;&gt;"",LOG(FF60*FJ60/(EXP(-1*Minerals!$E$6/'Other Constants'!$B$2*(1/(273.15+'ppm-mgL-1'!$D60)-1/298.15)+LN(Minerals!$C$6)))),"")</f>
        <v>-0.16634563844829317</v>
      </c>
      <c r="FW60" s="94">
        <f>IF(FP60&lt;&gt;"",LOG(FF60*FJ60/(EXP(-1*Minerals!$E$5/'Other Constants'!$B$2*(1/(273.15+'ppm-mgL-1'!$D60)-1/298.15)+LN(Minerals!$C$5)))),"")</f>
        <v>-0.29693921702089443</v>
      </c>
      <c r="FX60" s="94">
        <f>IF(FR60&lt;&gt;"",LOG(FF60*FM60^2/(EXP(-1*Minerals!$E$2/'Other Constants'!$B$2*(1/(273.15+'ppm-mgL-1'!$D60)-1/298.15)+LN(Minerals!$C$2)))),"")</f>
        <v>-3.0630251750049231</v>
      </c>
      <c r="FY60" s="94">
        <f>IF(FS60&lt;&gt;"",LOG($FF60*$FN60/(EXP(-1*Minerals!$E$3/'Other Constants'!$B$2*(1/(273.15+'ppm-mgL-1'!$D60)-1/298.15)+LN(Minerals!$C$3)))),"")</f>
        <v>-1.37624848433504</v>
      </c>
      <c r="FZ60" s="95">
        <f>IF(FT60&lt;&gt;"",LOG($FF60*$FN60/(EXP(-1*Minerals!$E$4/'Other Constants'!$B$2*(1/(273.15+'ppm-mgL-1'!$D60)-1/298.15)+LN(Minerals!$C$4)))),"")</f>
        <v>-2.7348999412652613</v>
      </c>
      <c r="GA60" s="96"/>
      <c r="GB60" s="96"/>
      <c r="GC60" s="101">
        <f>10^(-1825000*(79.755*EXP(-0.0046*($D60-20))*($D60+273.15))^-1.5*$EK60^0.5/(1+'Elements and ions'!$D$12*$EK60^0.5/(2*(79.755*EXP(-0.0046*($D60-20))*($D60+273.15))^0.5)))</f>
        <v>0.892255545693869</v>
      </c>
      <c r="GD60" s="94">
        <f>10^(-1825000*(79.755*EXP(-0.0046*($D60-20))*($D60+273.15))^-1.5*$EK60^0.5/(1+'Elements and ions'!$D$20*$EK60^0.5/(2*(79.755*EXP(-0.0046*($D60-20))*($D60+273.15))^0.5)))</f>
        <v>0.88893753042505019</v>
      </c>
      <c r="GE60" s="94">
        <f>10^(-1825000*(79.755*EXP(-0.0046*($D60-20))*($D60+273.15))^-1.5*4*$EK60^0.5/(1+'Elements and ions'!$D$21*$EK60^0.5/(2*(79.755*EXP(-0.0046*($D60-20))*($D60+273.15))^0.5)))</f>
        <v>0.65124649520839584</v>
      </c>
      <c r="GF60" s="94">
        <f>10^(-1825000*(79.755*EXP(-0.0046*($D60-20))*($D60+273.15))^-1.5*4*$EK60^0.5/(1+'Elements and ions'!$D$13*$EK60^0.5/(2*(79.755*EXP(-0.0046*($D60-20))*($D60+273.15))^0.5)))</f>
        <v>0.66712808935453904</v>
      </c>
      <c r="GG60" s="95">
        <f>10^(-1825000*(79.755*EXP(-0.0046*($D60-20))*($D60+273.15))^-1.5*4*$EK60^0.5/(1+'Elements and ions'!$D$27*$EK60^0.5/(2*(79.755*EXP(-0.0046*($D60-20))*($D60+273.15))^0.5)))</f>
        <v>0.65124649520839584</v>
      </c>
      <c r="GH60" s="101">
        <f>10^(-1825000*(79.755*EXP(-0.0046*($D60-20))*($D60+273.15))^-1.5*$EK60^0.5/(1+'Elements and ions'!$G$3*$EK60^0.5/(2*(79.755*EXP(-0.0046*($D60-20))*($D60+273.15))^0.5)))</f>
        <v>0.8801157875632224</v>
      </c>
      <c r="GI60" s="94">
        <f>10^(-1825000*(79.755*EXP(-0.0046*($D60-20))*($D60+273.15))^-1.5*4*$EK60^0.5/(1+'Elements and ions'!$G$4*$EK60^0.5/(2*(79.755*EXP(-0.0046*($D60-20))*($D60+273.15))^0.5)))</f>
        <v>0.59990150809269593</v>
      </c>
      <c r="GJ60" s="94">
        <f>10^(-1825000*(79.755*EXP(-0.0046*($D60-20))*($D60+273.15))^-1.5*$EK60^0.5/(1+'Elements and ions'!$D$18*$EK60^0.5/(2*(79.755*EXP(-0.0046*($D60-20))*($D60+273.15))^0.5)))</f>
        <v>0.88893753042505019</v>
      </c>
      <c r="GK60" s="94">
        <f>10^(-1825000*(79.755*EXP(-0.0046*($D60-20))*($D60+273.15))^-1.5*$EK60^0.5/(1+'Elements and ions'!$I$7*$EK60^0.5/(2*(79.755*EXP(-0.0046*($D60-20))*($D60+273.15))^0.5)))</f>
        <v>0.88893753042505019</v>
      </c>
      <c r="GL60" s="94">
        <f>10^(-1825000*(79.755*EXP(-0.0046*($D60-20))*($D60+273.15))^-1.5*$EK60^0.5/(1+'Elements and ions'!$D$10*$EK60^0.5/(2*(79.755*EXP(-0.0046*($D60-20))*($D60+273.15))^0.5)))</f>
        <v>0.89062166563841316</v>
      </c>
      <c r="GM60" s="95">
        <f>10^(-1825000*(79.755*EXP(-0.0046*($D60-20))*($D60+273.15))^-1.5*4*$EK60^0.5/(1+'Elements and ions'!$I$5*$EK60^0.5/(2*(79.755*EXP(-0.0046*($D60-20))*($D60+273.15))^0.5)))</f>
        <v>0.63380698883388953</v>
      </c>
      <c r="GN60" s="96"/>
      <c r="GO60" s="101">
        <f t="shared" si="741"/>
        <v>1.7214999638655467E-4</v>
      </c>
      <c r="GP60" s="94">
        <f t="shared" si="742"/>
        <v>1.158624711316363E-4</v>
      </c>
      <c r="GQ60" s="94">
        <f t="shared" si="743"/>
        <v>1.3493922277657228E-3</v>
      </c>
      <c r="GR60" s="94">
        <f t="shared" si="744"/>
        <v>1.7686236756864727E-4</v>
      </c>
      <c r="GS60" s="95" t="str">
        <f t="shared" si="745"/>
        <v/>
      </c>
      <c r="GT60" s="101">
        <f t="shared" si="746"/>
        <v>3.7308350404515766E-3</v>
      </c>
      <c r="GU60" s="94">
        <f t="shared" si="747"/>
        <v>2.987763306718931E-5</v>
      </c>
      <c r="GV60" s="94">
        <f t="shared" si="748"/>
        <v>1.4972252490415768E-4</v>
      </c>
      <c r="GW60" s="94">
        <f t="shared" si="749"/>
        <v>2.0843794379309962E-4</v>
      </c>
      <c r="GX60" s="94">
        <f t="shared" si="750"/>
        <v>3.9612555831242657E-6</v>
      </c>
      <c r="GY60" s="102">
        <f t="shared" si="751"/>
        <v>6.6135566752025671E-5</v>
      </c>
      <c r="GZ60" s="199"/>
      <c r="HA60" s="92">
        <f>IF(AND(GQ60&lt;&gt;"",GU60&lt;&gt;""),LOG(GQ60*GU60/Minerals!$C$6),"")</f>
        <v>1.0856563999086746</v>
      </c>
      <c r="HB60" s="94">
        <f>IF(AND(GQ60&lt;&gt;"",GU60&lt;&gt;""),LOG(GQ60*GU60/Minerals!$C$5),"")</f>
        <v>0.95517687055245692</v>
      </c>
      <c r="HC60" s="94">
        <f>IF(AND(GQ60&lt;&gt;"",GX60&lt;&gt;""),LOG(GQ60*GX60^2/Minerals!$C$2),"")</f>
        <v>-3.1042711225608919</v>
      </c>
      <c r="HD60" s="94">
        <f>IF(AND(GQ60&lt;&gt;"",GY60&lt;&gt;""),LOG($GQ60*$GY60/Minerals!$C$3),"")</f>
        <v>-2.4494463510835263</v>
      </c>
      <c r="HE60" s="102">
        <f>IF(AND(GQ60&lt;&gt;"",GY60&lt;&gt;""),LOG($GQ60*$GY60/Minerals!$C$3),"")</f>
        <v>-2.4494463510835263</v>
      </c>
      <c r="HF60" s="199"/>
      <c r="HG60" s="92">
        <f>IF(HA60&lt;&gt;"",LOG(GQ60*GU60/(EXP(-1*Minerals!$E$6/'Other Constants'!$B$2*(1/(273.15+'ppm-mgL-1'!$D60)-1/298.15)+LN(Minerals!$C$6)))),"")</f>
        <v>-0.17590807403527145</v>
      </c>
      <c r="HH60" s="94">
        <f>IF(HA60&lt;&gt;"",LOG(GQ60*GU60/(EXP(-1*Minerals!$E$5/'Other Constants'!$B$2*(1/(273.15+'ppm-mgL-1'!$D60)-1/298.15)+LN(Minerals!$C$5)))),"")</f>
        <v>-0.30650165260787265</v>
      </c>
      <c r="HI60" s="94">
        <f>IF(HC60&lt;&gt;"",LOG(GQ60*GX60^2/(EXP(-1*Minerals!$E$2/'Other Constants'!$B$2*(1/(273.15+'ppm-mgL-1'!$D60)-1/298.15)+LN(Minerals!$C$2)))),"")</f>
        <v>-3.0509341056986568</v>
      </c>
      <c r="HJ60" s="94">
        <f>IF(HD60&lt;&gt;"",LOG($FF60*$FN60/(EXP(-1*Minerals!$E$3/'Other Constants'!$B$2*(1/(273.15+'ppm-mgL-1'!$D60)-1/298.15)+LN(Minerals!$C$3)))),"")</f>
        <v>-1.37624848433504</v>
      </c>
      <c r="HK60" s="95">
        <f>IF(HE60&lt;&gt;"",LOG($FF60*$FN60/(EXP(-1*Minerals!$E$4/'Other Constants'!$B$2*(1/(273.15+'ppm-mgL-1'!$D60)-1/298.15)+LN(Minerals!$C$4)))),"")</f>
        <v>-2.7348999412652613</v>
      </c>
      <c r="HL60" s="199"/>
      <c r="HM60" s="199"/>
    </row>
    <row r="61" spans="1:221" x14ac:dyDescent="0.25">
      <c r="A61" s="267" t="str">
        <f>'WC samples'!B32</f>
        <v>ISSR 3</v>
      </c>
      <c r="C61" s="266">
        <f>'WC samples'!A32</f>
        <v>41448</v>
      </c>
      <c r="D61" s="4">
        <f>'WC samples'!I32</f>
        <v>21</v>
      </c>
      <c r="E61" s="4">
        <f>'WC samples'!F32</f>
        <v>7.99</v>
      </c>
      <c r="AD61" s="83">
        <f>IF(E61&lt;&gt;"",10^(-2*$E61)/(10^(-2*$E61)+10^(-$E61-pKa!$B$2)+(10^(-pKa!$B$2-pKa!$C$2))),"")</f>
        <v>1.99132716369377E-2</v>
      </c>
      <c r="AE61" s="84">
        <f>IF(E61&lt;&gt;"",10^(-$E61-pKa!$B$2)/(10^(-2*$E61)+10^(-$E61-pKa!$B$2)+10^(-pKa!$B$2-pKa!$C$2)),"")</f>
        <v>0.97530986721025603</v>
      </c>
      <c r="AF61" s="212">
        <f>IF(E61&lt;&gt;"",10^(-pKa!$B$2-pKa!$C$2)/(10^(-2*$E61)+10^(-$E61-pKa!$B$2)+10^(-pKa!$B$2-pKa!$C$2)),"")</f>
        <v>4.7768611528063226E-3</v>
      </c>
      <c r="AG61" s="152"/>
      <c r="AH61" s="222">
        <f>IF($AK61&lt;&gt;"",$AK61/'Elements and ions'!$G$3,IF($E61="","",""))</f>
        <v>3.9497292878490597</v>
      </c>
      <c r="AI61" s="85">
        <f t="shared" si="688"/>
        <v>4.0104318637531767E-3</v>
      </c>
      <c r="AJ61" s="84">
        <f>IF(AI61&lt;&gt;"",AI61*1000*'Elements and ions'!$B$7,"")</f>
        <v>48.168093985980285</v>
      </c>
      <c r="AK61" s="99">
        <f>'WC samples'!H32</f>
        <v>241</v>
      </c>
      <c r="AL61" s="88">
        <f>IF($AK61&lt;&gt;"",$AK61/'Elements and ions'!$G$3*Minerals!$B$6/2,IF($E61="","","Enter Alk(HCO3-)"))</f>
        <v>197.65808013001003</v>
      </c>
      <c r="AM61" s="199"/>
      <c r="AN61" s="101">
        <f t="shared" si="491"/>
        <v>7.9860819084347329E-5</v>
      </c>
      <c r="AO61" s="94">
        <f t="shared" si="492"/>
        <v>3.9114137684928907E-3</v>
      </c>
      <c r="AP61" s="95">
        <f t="shared" si="493"/>
        <v>1.9157276175939207E-5</v>
      </c>
      <c r="AQ61" s="199"/>
      <c r="AR61" s="199"/>
      <c r="AS61" s="83">
        <f t="shared" si="66"/>
        <v>0.23488476201278627</v>
      </c>
      <c r="AT61" s="83">
        <f>IF(AN61&lt;&gt;"",AN61/'Henrys law constants'!$B$7*1000000,"")</f>
        <v>2348.8476201278627</v>
      </c>
      <c r="AU61" s="268">
        <f>'WC samples'!K32</f>
        <v>3.2065999999999999</v>
      </c>
      <c r="AV61" s="269">
        <f>'WC samples'!M32</f>
        <v>1.0750999999999999</v>
      </c>
      <c r="AW61" s="269">
        <f>'WC samples'!O32</f>
        <v>69.308000000000007</v>
      </c>
      <c r="AX61" s="269">
        <f>'WC samples'!N32</f>
        <v>4.468</v>
      </c>
      <c r="AY61" s="226">
        <f>AO61*'Elements and ions'!$G$3*1000</f>
        <v>238.66210808592771</v>
      </c>
      <c r="AZ61" s="269">
        <f>'WC samples'!Q32</f>
        <v>4.7199</v>
      </c>
      <c r="BA61" s="269">
        <f>'WC samples'!T32</f>
        <v>16.633800000000001</v>
      </c>
      <c r="BB61" s="270">
        <f>'WC samples'!V32</f>
        <v>8.3904999999999994</v>
      </c>
      <c r="BC61" s="222">
        <f>IF($E61&lt;&gt;"",10^-$E61*'Elements and ions'!B62*1000,"")</f>
        <v>0</v>
      </c>
      <c r="BE61" s="6"/>
      <c r="BF61" s="6"/>
      <c r="BG61" s="270">
        <f>'WC samples'!L32</f>
        <v>-0.1386</v>
      </c>
      <c r="BH61" s="3"/>
      <c r="BJ61" s="92">
        <f>IF($AN61&lt;&gt;"",$AN61*'Elements and ions'!$G$2*1000,"")</f>
        <v>4.9533497343264434</v>
      </c>
      <c r="BK61" s="229"/>
      <c r="BL61" s="230"/>
      <c r="BM61" s="101">
        <f>IF($E61&lt;&gt;"",(10^-14+$E61)*'Elements and ions'!$G$8,"")</f>
        <v>135.88864660000016</v>
      </c>
      <c r="BO61" s="102">
        <f>IF($AP61&lt;&gt;"",$AP61*'Elements and ions'!$G$4*1000,"")</f>
        <v>1.1496070703143182</v>
      </c>
      <c r="BP61" s="269">
        <f>'WC samples'!P32</f>
        <v>0.1082</v>
      </c>
      <c r="BQ61" s="270">
        <f>'WC samples'!R32</f>
        <v>0</v>
      </c>
      <c r="BR61" s="195"/>
      <c r="BS61" s="238">
        <f>IF($AU61&lt;&gt;"",$AU61/'Elements and ions'!$B$12,"")</f>
        <v>0.13947943369703969</v>
      </c>
      <c r="BT61" s="239">
        <f>IF($AV61&lt;&gt;"",$AV61/'Elements and ions'!$B$20,"")</f>
        <v>2.7497359220221847E-2</v>
      </c>
      <c r="BU61" s="239">
        <f>IF($AW61&lt;&gt;"",$AW61/'Elements and ions'!$B$21, "")</f>
        <v>1.7293278107690004</v>
      </c>
      <c r="BV61" s="240">
        <f>IF($AX61&lt;&gt;"",$AX61/'Elements and ions'!$B$13, "")</f>
        <v>0.18383048755400125</v>
      </c>
      <c r="BW61" s="238">
        <f>IF($AY61&lt;&gt;"",$AY61/'Elements and ions'!$G$3,"")</f>
        <v>3.9114137684928902</v>
      </c>
      <c r="BX61" s="239">
        <f>IF($AZ61&lt;&gt;"",$AZ61/'Elements and ions'!$B$18,"")</f>
        <v>0.1331311877697233</v>
      </c>
      <c r="BY61" s="239">
        <f>IF($BA61&lt;&gt;"",$BA61/'Elements and ions'!$G$7,"")</f>
        <v>0.26826589511474097</v>
      </c>
      <c r="BZ61" s="241">
        <f>IF($BB61&lt;&gt;"",$BB61/'Elements and ions'!$G$5,"")</f>
        <v>8.7344086043892197E-2</v>
      </c>
      <c r="CA61" s="91">
        <f t="shared" si="67"/>
        <v>1.0232929922807523E-5</v>
      </c>
      <c r="CB61" s="163" t="str">
        <f>IF($BD61&lt;&gt;"",$BD61/'Elements and ions'!$B$14,"")</f>
        <v/>
      </c>
      <c r="CC61" s="89" t="str">
        <f>IF($BE61&lt;&gt;"",$BE61/'Elements and ions'!$B$27, "")</f>
        <v/>
      </c>
      <c r="CD61" s="249" t="str">
        <f>IF($BF61&lt;&gt;"",$BF61/'Elements and ions'!$B$26,"")</f>
        <v/>
      </c>
      <c r="CE61" s="250">
        <f>IF($BG61&lt;&gt;"",$BG61/'Elements and ions'!$G$6,"")</f>
        <v>-7.6835827448684642E-3</v>
      </c>
      <c r="CF61" s="91" t="str">
        <f>IF($BH61&lt;&gt;"",$BH61/'Elements and ions'!$G$15,"")</f>
        <v/>
      </c>
      <c r="CG61" s="89" t="str">
        <f>IF($BI61&lt;&gt;"",$BI61/'Elements and ions'!$G$16,"")</f>
        <v/>
      </c>
      <c r="CH61" s="90">
        <f>IF($BJ61&lt;&gt;"",$BJ61/'Elements and ions'!$G$2,"")</f>
        <v>7.986081908434732E-2</v>
      </c>
      <c r="CI61" s="91" t="str">
        <f>IF($BK61&lt;&gt;"",$BK61/'Elements and ions'!$B$15, "")</f>
        <v/>
      </c>
      <c r="CJ61" s="88" t="str">
        <f>IF($BL61&lt;&gt;"", $BL61/'Elements and ions'!$G$17,"")</f>
        <v/>
      </c>
      <c r="CK61" s="89">
        <f t="shared" si="68"/>
        <v>9.7723722095580958E-4</v>
      </c>
      <c r="CL61" s="163" t="str">
        <f>IF($BN61&lt;&gt;"", $BN61/'Elements and ions'!$G$19,"")</f>
        <v/>
      </c>
      <c r="CM61" s="89">
        <f>IF($BO61&lt;&gt;"",$BO61/'Elements and ions'!$G$4,"")</f>
        <v>1.9157276175939205E-2</v>
      </c>
      <c r="CN61" s="89">
        <f>IF($BP61&lt;&gt;"",$BP61/'Elements and ions'!$B$10,"")</f>
        <v>5.6952154800041311E-3</v>
      </c>
      <c r="CO61" s="104">
        <f>IF($BQ61&lt;&gt;"",$BQ61/'Elements and ions'!$G$18,"")</f>
        <v>0</v>
      </c>
      <c r="CP61" s="242"/>
      <c r="CQ61" s="238">
        <f t="shared" si="689"/>
        <v>1.3947943369703968E-4</v>
      </c>
      <c r="CR61" s="239">
        <f t="shared" si="690"/>
        <v>2.7497359220221847E-5</v>
      </c>
      <c r="CS61" s="239">
        <f t="shared" si="691"/>
        <v>1.7293278107690005E-3</v>
      </c>
      <c r="CT61" s="241">
        <f t="shared" si="692"/>
        <v>1.8383048755400125E-4</v>
      </c>
      <c r="CU61" s="238">
        <f t="shared" si="693"/>
        <v>3.9114137684928899E-3</v>
      </c>
      <c r="CV61" s="239">
        <f t="shared" si="694"/>
        <v>1.3313118776972331E-4</v>
      </c>
      <c r="CW61" s="239">
        <f t="shared" si="695"/>
        <v>2.6826589511474096E-4</v>
      </c>
      <c r="CX61" s="241">
        <f t="shared" si="696"/>
        <v>8.7344086043892195E-5</v>
      </c>
      <c r="CY61" s="258">
        <f t="shared" si="98"/>
        <v>1.0232929922807522E-8</v>
      </c>
      <c r="CZ61" s="259" t="str">
        <f t="shared" si="697"/>
        <v/>
      </c>
      <c r="DA61" s="260" t="str">
        <f t="shared" si="698"/>
        <v/>
      </c>
      <c r="DB61" s="261" t="str">
        <f t="shared" si="699"/>
        <v/>
      </c>
      <c r="DC61" s="262">
        <f t="shared" si="700"/>
        <v>-7.6835827448684642E-6</v>
      </c>
      <c r="DD61" s="263" t="str">
        <f t="shared" si="701"/>
        <v/>
      </c>
      <c r="DE61" s="259" t="str">
        <f t="shared" si="702"/>
        <v/>
      </c>
      <c r="DF61" s="260">
        <f t="shared" si="703"/>
        <v>7.9860819084347315E-5</v>
      </c>
      <c r="DG61" s="260" t="str">
        <f t="shared" si="704"/>
        <v/>
      </c>
      <c r="DH61" s="264" t="str">
        <f t="shared" si="705"/>
        <v/>
      </c>
      <c r="DI61" s="258">
        <f t="shared" si="108"/>
        <v>9.7723722095580961E-7</v>
      </c>
      <c r="DJ61" s="260" t="str">
        <f t="shared" si="706"/>
        <v/>
      </c>
      <c r="DK61" s="260">
        <f t="shared" si="707"/>
        <v>1.9157276175939204E-5</v>
      </c>
      <c r="DL61" s="260">
        <f t="shared" si="708"/>
        <v>5.6952154800041314E-6</v>
      </c>
      <c r="DM61" s="265">
        <f t="shared" si="709"/>
        <v>0</v>
      </c>
      <c r="DN61" s="242"/>
      <c r="DO61" s="238">
        <f t="shared" si="710"/>
        <v>0.13947943369703969</v>
      </c>
      <c r="DP61" s="239">
        <f t="shared" si="711"/>
        <v>2.7497359220221847E-2</v>
      </c>
      <c r="DQ61" s="239">
        <f t="shared" si="712"/>
        <v>3.4586556215380009</v>
      </c>
      <c r="DR61" s="241">
        <f t="shared" si="713"/>
        <v>0.3676609751080025</v>
      </c>
      <c r="DS61" s="238">
        <f t="shared" si="714"/>
        <v>-3.9114137684928902</v>
      </c>
      <c r="DT61" s="239">
        <f t="shared" si="715"/>
        <v>-0.1331311877697233</v>
      </c>
      <c r="DU61" s="239">
        <f t="shared" si="716"/>
        <v>-0.26826589511474097</v>
      </c>
      <c r="DV61" s="241">
        <f t="shared" si="717"/>
        <v>-0.17468817208778439</v>
      </c>
      <c r="DW61" s="91">
        <f t="shared" si="113"/>
        <v>1.0232929922807523E-5</v>
      </c>
      <c r="DX61" s="89">
        <f t="shared" si="718"/>
        <v>0</v>
      </c>
      <c r="DY61" s="89">
        <f t="shared" si="719"/>
        <v>0</v>
      </c>
      <c r="DZ61" s="89">
        <f t="shared" si="720"/>
        <v>0</v>
      </c>
      <c r="EA61" s="90">
        <f t="shared" si="721"/>
        <v>-7.6835827448684642E-3</v>
      </c>
      <c r="EB61" s="91">
        <f t="shared" si="118"/>
        <v>-9.7723722095580958E-4</v>
      </c>
      <c r="EC61" s="89">
        <f t="shared" si="722"/>
        <v>0</v>
      </c>
      <c r="ED61" s="89">
        <f t="shared" si="723"/>
        <v>-3.831455235187841E-2</v>
      </c>
      <c r="EE61" s="89">
        <f t="shared" si="724"/>
        <v>-5.6952154800041311E-3</v>
      </c>
      <c r="EF61" s="90">
        <f t="shared" si="725"/>
        <v>0</v>
      </c>
      <c r="EG61" s="242"/>
      <c r="EH61" s="245">
        <f t="shared" si="726"/>
        <v>3.9856200397483197</v>
      </c>
      <c r="EI61" s="246">
        <f t="shared" si="727"/>
        <v>-4.5324860285179769</v>
      </c>
      <c r="EJ61" s="198">
        <f t="shared" si="728"/>
        <v>-6.4200420185770435</v>
      </c>
      <c r="EK61" s="198">
        <f t="shared" si="729"/>
        <v>1.0244750967354886E-2</v>
      </c>
      <c r="EL61" s="101">
        <f>IF(AND(CS61&lt;&gt;"",DK61&lt;&gt;""),LOG(CS61*DK61/Minerals!$C$6),"")</f>
        <v>1.0003830921887338</v>
      </c>
      <c r="EM61" s="94">
        <f>IF(AND(CS61&lt;&gt;"",DK61&lt;&gt;""),LOG(CS61*DK61/Minerals!$C$5),"")</f>
        <v>0.86990356283251613</v>
      </c>
      <c r="EN61" s="94">
        <f>IF(AND(CS61&lt;&gt;"",DL61&lt;&gt;""),LOG(CS61*DL61^2/Minerals!$C$2),"")</f>
        <v>-2.681177409017518</v>
      </c>
      <c r="EO61" s="94">
        <f>IF(AND(CS61&lt;&gt;"",CX61&lt;&gt;""),LOG($CS61*$CX61/Minerals!$C$3),"")</f>
        <v>-2.2209088044872125</v>
      </c>
      <c r="EP61" s="95">
        <f>IF(AND(CS61&lt;&gt;"",CX61&lt;&gt;""),LOG($CS61*$CX61/Minerals!$C$4),"")</f>
        <v>-2.4608933159531148</v>
      </c>
      <c r="EQ61" s="199"/>
      <c r="ER61" s="101">
        <f t="shared" si="752"/>
        <v>0.89958743911578487</v>
      </c>
      <c r="ES61" s="94">
        <f t="shared" si="752"/>
        <v>0.89958743911578487</v>
      </c>
      <c r="ET61" s="94">
        <f t="shared" si="753"/>
        <v>0.65489779941237225</v>
      </c>
      <c r="EU61" s="94">
        <f t="shared" si="753"/>
        <v>0.65489779941237225</v>
      </c>
      <c r="EV61" s="95">
        <f t="shared" si="753"/>
        <v>0.65489779941237225</v>
      </c>
      <c r="EW61" s="101">
        <f t="shared" si="754"/>
        <v>0.89958743911578487</v>
      </c>
      <c r="EX61" s="94">
        <f t="shared" si="31"/>
        <v>0.65489779941237225</v>
      </c>
      <c r="EY61" s="94">
        <f t="shared" si="754"/>
        <v>0.89958743911578487</v>
      </c>
      <c r="EZ61" s="94">
        <f t="shared" si="754"/>
        <v>0.89958743911578487</v>
      </c>
      <c r="FA61" s="94">
        <f t="shared" si="165"/>
        <v>0.89958743911578487</v>
      </c>
      <c r="FB61" s="95">
        <f t="shared" si="32"/>
        <v>0.65489779941237225</v>
      </c>
      <c r="FC61" s="199"/>
      <c r="FD61" s="101">
        <f t="shared" si="730"/>
        <v>1.2547394656883983E-4</v>
      </c>
      <c r="FE61" s="94">
        <f t="shared" si="731"/>
        <v>2.4736278963366186E-5</v>
      </c>
      <c r="FF61" s="94">
        <f t="shared" si="732"/>
        <v>1.1325329777352336E-3</v>
      </c>
      <c r="FG61" s="94">
        <f t="shared" si="733"/>
        <v>1.2039018176401891E-4</v>
      </c>
      <c r="FH61" s="95" t="str">
        <f t="shared" si="734"/>
        <v/>
      </c>
      <c r="FI61" s="101">
        <f t="shared" si="735"/>
        <v>3.5186586953207402E-3</v>
      </c>
      <c r="FJ61" s="94">
        <f t="shared" si="736"/>
        <v>1.2546058010357651E-5</v>
      </c>
      <c r="FK61" s="94">
        <f t="shared" si="737"/>
        <v>1.197631442722081E-4</v>
      </c>
      <c r="FL61" s="94">
        <f t="shared" si="738"/>
        <v>2.4132862958837356E-4</v>
      </c>
      <c r="FM61" s="94">
        <f t="shared" si="739"/>
        <v>5.123344308869492E-6</v>
      </c>
      <c r="FN61" s="95">
        <f t="shared" si="740"/>
        <v>5.7201449741829895E-5</v>
      </c>
      <c r="FO61" s="199"/>
      <c r="FP61" s="101">
        <f>IF(EL61&lt;&gt;"",LOG(FF61*FJ61/Minerals!$C$6),"")</f>
        <v>0.63273015441854852</v>
      </c>
      <c r="FQ61" s="94">
        <f>IF(EL61&lt;&gt;"",LOG(FF61*FJ61/Minerals!$C$5),"")</f>
        <v>0.50225062506233087</v>
      </c>
      <c r="FR61" s="94">
        <f>IF(EN61&lt;&gt;"",LOG(FF61*FM61^2/Minerals!$C$2),"")</f>
        <v>-2.9569171123451574</v>
      </c>
      <c r="FS61" s="94">
        <f>IF(EO61&lt;&gt;"",LOG($FF61*$FN61/Minerals!$C$3),"")</f>
        <v>-2.5885617422573977</v>
      </c>
      <c r="FT61" s="95">
        <f>IF(EP61&lt;&gt;"",LOG($FF61*$FN61/Minerals!$C$4),"")</f>
        <v>-2.8285462537232999</v>
      </c>
      <c r="FU61" s="96"/>
      <c r="FV61" s="101">
        <f>IF(FP61&lt;&gt;"",LOG(FF61*FJ61/(EXP(-1*Minerals!$E$6/'Other Constants'!$B$2*(1/(273.15+'ppm-mgL-1'!$D61)-1/298.15)+LN(Minerals!$C$6)))),"")</f>
        <v>-0.94851428544958116</v>
      </c>
      <c r="FW61" s="94">
        <f>IF(FP61&lt;&gt;"",LOG(FF61*FJ61/(EXP(-1*Minerals!$E$5/'Other Constants'!$B$2*(1/(273.15+'ppm-mgL-1'!$D61)-1/298.15)+LN(Minerals!$C$5)))),"")</f>
        <v>-1.0791367640509653</v>
      </c>
      <c r="FX61" s="94">
        <f>IF(FR61&lt;&gt;"",LOG(FF61*FM61^2/(EXP(-1*Minerals!$E$2/'Other Constants'!$B$2*(1/(273.15+'ppm-mgL-1'!$D61)-1/298.15)+LN(Minerals!$C$2)))),"")</f>
        <v>-2.8900645153558817</v>
      </c>
      <c r="FY61" s="94">
        <f>IF(FS61&lt;&gt;"",LOG($FF61*$FN61/(EXP(-1*Minerals!$E$3/'Other Constants'!$B$2*(1/(273.15+'ppm-mgL-1'!$D61)-1/298.15)+LN(Minerals!$C$3)))),"")</f>
        <v>-1.225473979952334</v>
      </c>
      <c r="FZ61" s="95">
        <f>IF(FT61&lt;&gt;"",LOG($FF61*$FN61/(EXP(-1*Minerals!$E$4/'Other Constants'!$B$2*(1/(273.15+'ppm-mgL-1'!$D61)-1/298.15)+LN(Minerals!$C$4)))),"")</f>
        <v>-2.8675952225277981</v>
      </c>
      <c r="GA61" s="96"/>
      <c r="GB61" s="96"/>
      <c r="GC61" s="101">
        <f>10^(-1825000*(79.755*EXP(-0.0046*($D61-20))*($D61+273.15))^-1.5*$EK61^0.5/(1+'Elements and ions'!$D$12*$EK61^0.5/(2*(79.755*EXP(-0.0046*($D61-20))*($D61+273.15))^0.5)))</f>
        <v>0.90010228761810784</v>
      </c>
      <c r="GD61" s="94">
        <f>10^(-1825000*(79.755*EXP(-0.0046*($D61-20))*($D61+273.15))^-1.5*$EK61^0.5/(1+'Elements and ions'!$D$20*$EK61^0.5/(2*(79.755*EXP(-0.0046*($D61-20))*($D61+273.15))^0.5)))</f>
        <v>0.89725302737429757</v>
      </c>
      <c r="GE61" s="94">
        <f>10^(-1825000*(79.755*EXP(-0.0046*($D61-20))*($D61+273.15))^-1.5*4*$EK61^0.5/(1+'Elements and ions'!$D$21*$EK61^0.5/(2*(79.755*EXP(-0.0046*($D61-20))*($D61+273.15))^0.5)))</f>
        <v>0.67184630396041645</v>
      </c>
      <c r="GF61" s="94">
        <f>10^(-1825000*(79.755*EXP(-0.0046*($D61-20))*($D61+273.15))^-1.5*4*$EK61^0.5/(1+'Elements and ions'!$D$13*$EK61^0.5/(2*(79.755*EXP(-0.0046*($D61-20))*($D61+273.15))^0.5)))</f>
        <v>0.68598470224865493</v>
      </c>
      <c r="GG61" s="95">
        <f>10^(-1825000*(79.755*EXP(-0.0046*($D61-20))*($D61+273.15))^-1.5*4*$EK61^0.5/(1+'Elements and ions'!$D$27*$EK61^0.5/(2*(79.755*EXP(-0.0046*($D61-20))*($D61+273.15))^0.5)))</f>
        <v>0.67184630396041645</v>
      </c>
      <c r="GH61" s="101">
        <f>10^(-1825000*(79.755*EXP(-0.0046*($D61-20))*($D61+273.15))^-1.5*$EK61^0.5/(1+'Elements and ions'!$G$3*$EK61^0.5/(2*(79.755*EXP(-0.0046*($D61-20))*($D61+273.15))^0.5)))</f>
        <v>0.8897381162263186</v>
      </c>
      <c r="GI61" s="94">
        <f>10^(-1825000*(79.755*EXP(-0.0046*($D61-20))*($D61+273.15))^-1.5*4*$EK61^0.5/(1+'Elements and ions'!$G$4*$EK61^0.5/(2*(79.755*EXP(-0.0046*($D61-20))*($D61+273.15))^0.5)))</f>
        <v>0.62658841154051592</v>
      </c>
      <c r="GJ61" s="94">
        <f>10^(-1825000*(79.755*EXP(-0.0046*($D61-20))*($D61+273.15))^-1.5*$EK61^0.5/(1+'Elements and ions'!$D$18*$EK61^0.5/(2*(79.755*EXP(-0.0046*($D61-20))*($D61+273.15))^0.5)))</f>
        <v>0.89725302737429757</v>
      </c>
      <c r="GK61" s="94">
        <f>10^(-1825000*(79.755*EXP(-0.0046*($D61-20))*($D61+273.15))^-1.5*$EK61^0.5/(1+'Elements and ions'!$I$7*$EK61^0.5/(2*(79.755*EXP(-0.0046*($D61-20))*($D61+273.15))^0.5)))</f>
        <v>0.89725302737429757</v>
      </c>
      <c r="GL61" s="94">
        <f>10^(-1825000*(79.755*EXP(-0.0046*($D61-20))*($D61+273.15))^-1.5*$EK61^0.5/(1+'Elements and ions'!$D$10*$EK61^0.5/(2*(79.755*EXP(-0.0046*($D61-20))*($D61+273.15))^0.5)))</f>
        <v>0.89869766823624286</v>
      </c>
      <c r="GM61" s="95">
        <f>10^(-1825000*(79.755*EXP(-0.0046*($D61-20))*($D61+273.15))^-1.5*4*$EK61^0.5/(1+'Elements and ions'!$I$5*$EK61^0.5/(2*(79.755*EXP(-0.0046*($D61-20))*($D61+273.15))^0.5)))</f>
        <v>0.65639832154725353</v>
      </c>
      <c r="GN61" s="96"/>
      <c r="GO61" s="101">
        <f t="shared" si="741"/>
        <v>1.2554575734638362E-4</v>
      </c>
      <c r="GP61" s="94">
        <f t="shared" si="742"/>
        <v>2.4672088805142609E-5</v>
      </c>
      <c r="GQ61" s="94">
        <f t="shared" si="743"/>
        <v>1.1618424980011114E-3</v>
      </c>
      <c r="GR61" s="94">
        <f t="shared" si="744"/>
        <v>1.2610490226895661E-4</v>
      </c>
      <c r="GS61" s="95" t="str">
        <f t="shared" si="745"/>
        <v/>
      </c>
      <c r="GT61" s="101">
        <f t="shared" si="746"/>
        <v>3.4801339181605496E-3</v>
      </c>
      <c r="GU61" s="94">
        <f t="shared" si="747"/>
        <v>1.2003727248524715E-5</v>
      </c>
      <c r="GV61" s="94">
        <f t="shared" si="748"/>
        <v>1.1945236126432031E-4</v>
      </c>
      <c r="GW61" s="94">
        <f t="shared" si="749"/>
        <v>2.4070238653297712E-4</v>
      </c>
      <c r="GX61" s="94">
        <f t="shared" si="750"/>
        <v>5.1182768719826677E-6</v>
      </c>
      <c r="GY61" s="102">
        <f t="shared" si="751"/>
        <v>5.7332511476289727E-5</v>
      </c>
      <c r="GZ61" s="199"/>
      <c r="HA61" s="92">
        <f>IF(AND(GQ61&lt;&gt;"",GU61&lt;&gt;""),LOG(GQ61*GU61/Minerals!$C$6),"")</f>
        <v>0.62463538305072852</v>
      </c>
      <c r="HB61" s="94">
        <f>IF(AND(GQ61&lt;&gt;"",GU61&lt;&gt;""),LOG(GQ61*GU61/Minerals!$C$5),"")</f>
        <v>0.49415585369451082</v>
      </c>
      <c r="HC61" s="94">
        <f>IF(AND(GQ61&lt;&gt;"",GX61&lt;&gt;""),LOG(GQ61*GX61^2/Minerals!$C$2),"")</f>
        <v>-2.9466802469616664</v>
      </c>
      <c r="HD61" s="94">
        <f>IF(AND(GQ61&lt;&gt;"",GY61&lt;&gt;""),LOG($GQ61*$GY61/Minerals!$C$3),"")</f>
        <v>-2.576471410308407</v>
      </c>
      <c r="HE61" s="102">
        <f>IF(AND(GQ61&lt;&gt;"",GY61&lt;&gt;""),LOG($GQ61*$GY61/Minerals!$C$3),"")</f>
        <v>-2.576471410308407</v>
      </c>
      <c r="HF61" s="199"/>
      <c r="HG61" s="92">
        <f>IF(HA61&lt;&gt;"",LOG(GQ61*GU61/(EXP(-1*Minerals!$E$6/'Other Constants'!$B$2*(1/(273.15+'ppm-mgL-1'!$D61)-1/298.15)+LN(Minerals!$C$6)))),"")</f>
        <v>-0.95660905681740127</v>
      </c>
      <c r="HH61" s="94">
        <f>IF(HA61&lt;&gt;"",LOG(GQ61*GU61/(EXP(-1*Minerals!$E$5/'Other Constants'!$B$2*(1/(273.15+'ppm-mgL-1'!$D61)-1/298.15)+LN(Minerals!$C$5)))),"")</f>
        <v>-1.0872315354187854</v>
      </c>
      <c r="HI61" s="94">
        <f>IF(HC61&lt;&gt;"",LOG(GQ61*GX61^2/(EXP(-1*Minerals!$E$2/'Other Constants'!$B$2*(1/(273.15+'ppm-mgL-1'!$D61)-1/298.15)+LN(Minerals!$C$2)))),"")</f>
        <v>-2.8798276499723912</v>
      </c>
      <c r="HJ61" s="94">
        <f>IF(HD61&lt;&gt;"",LOG($FF61*$FN61/(EXP(-1*Minerals!$E$3/'Other Constants'!$B$2*(1/(273.15+'ppm-mgL-1'!$D61)-1/298.15)+LN(Minerals!$C$3)))),"")</f>
        <v>-1.225473979952334</v>
      </c>
      <c r="HK61" s="95">
        <f>IF(HE61&lt;&gt;"",LOG($FF61*$FN61/(EXP(-1*Minerals!$E$4/'Other Constants'!$B$2*(1/(273.15+'ppm-mgL-1'!$D61)-1/298.15)+LN(Minerals!$C$4)))),"")</f>
        <v>-2.8675952225277981</v>
      </c>
      <c r="HL61" s="199"/>
      <c r="HM61" s="199"/>
    </row>
    <row r="62" spans="1:221" x14ac:dyDescent="0.25">
      <c r="A62" s="267" t="str">
        <f>'WC samples'!B33</f>
        <v>ISSR 3</v>
      </c>
      <c r="C62" s="266">
        <f>'WC samples'!A33</f>
        <v>41474</v>
      </c>
      <c r="D62" s="4">
        <f>'WC samples'!I33</f>
        <v>21.4</v>
      </c>
      <c r="E62" s="4">
        <f>'WC samples'!F33</f>
        <v>7.89</v>
      </c>
      <c r="AD62" s="83">
        <f>IF(E62&lt;&gt;"",10^(-2*$E62)/(10^(-2*$E62)+10^(-$E62-pKa!$B$2)+(10^(-pKa!$B$2-pKa!$C$2))),"")</f>
        <v>2.496512956565362E-2</v>
      </c>
      <c r="AE62" s="84">
        <f>IF(E62&lt;&gt;"",10^(-$E62-pKa!$B$2)/(10^(-2*$E62)+10^(-$E62-pKa!$B$2)+10^(-pKa!$B$2-pKa!$C$2)),"")</f>
        <v>0.97125624516707021</v>
      </c>
      <c r="AF62" s="212">
        <f>IF(E62&lt;&gt;"",10^(-pKa!$B$2-pKa!$C$2)/(10^(-2*$E62)+10^(-$E62-pKa!$B$2)+10^(-pKa!$B$2-pKa!$C$2)),"")</f>
        <v>3.7786252672762136E-3</v>
      </c>
      <c r="AG62" s="152"/>
      <c r="AH62" s="222">
        <f>IF($AK62&lt;&gt;"",$AK62/'Elements and ions'!$G$3,IF($E62="","",""))</f>
        <v>3.9333403696422171</v>
      </c>
      <c r="AI62" s="85">
        <f t="shared" si="688"/>
        <v>4.0184770883835647E-3</v>
      </c>
      <c r="AJ62" s="84">
        <f>IF(AI62&lt;&gt;"",AI62*1000*'Elements and ions'!$B$7,"")</f>
        <v>48.264722765448475</v>
      </c>
      <c r="AK62" s="99">
        <f>'WC samples'!H33</f>
        <v>240</v>
      </c>
      <c r="AL62" s="88">
        <f>IF($AK62&lt;&gt;"",$AK62/'Elements and ions'!$G$3*Minerals!$B$6/2,IF($E62="","","Enter Alk(HCO3-)"))</f>
        <v>196.8379221211718</v>
      </c>
      <c r="AM62" s="199"/>
      <c r="AN62" s="101">
        <f t="shared" si="491"/>
        <v>1.0032180116810621E-4</v>
      </c>
      <c r="AO62" s="94">
        <f t="shared" si="492"/>
        <v>3.9029709681533218E-3</v>
      </c>
      <c r="AP62" s="95">
        <f t="shared" si="493"/>
        <v>1.5184319062136689E-5</v>
      </c>
      <c r="AQ62" s="199"/>
      <c r="AR62" s="199"/>
      <c r="AS62" s="83">
        <f t="shared" si="66"/>
        <v>0.29506412108266533</v>
      </c>
      <c r="AT62" s="83">
        <f>IF(AN62&lt;&gt;"",AN62/'Henrys law constants'!$B$7*1000000,"")</f>
        <v>2950.6412108266532</v>
      </c>
      <c r="AU62" s="268">
        <f>'WC samples'!K33</f>
        <v>3.2663000000000002</v>
      </c>
      <c r="AV62" s="269">
        <f>'WC samples'!M33</f>
        <v>1.0936999999999999</v>
      </c>
      <c r="AW62" s="269">
        <f>'WC samples'!O33</f>
        <v>84.378699999999995</v>
      </c>
      <c r="AX62" s="269">
        <f>'WC samples'!N33</f>
        <v>4.1532</v>
      </c>
      <c r="AY62" s="226">
        <f>AO62*'Elements and ions'!$G$3*1000</f>
        <v>238.14695508845631</v>
      </c>
      <c r="AZ62" s="269">
        <f>'WC samples'!Q33</f>
        <v>5.7546999999999997</v>
      </c>
      <c r="BA62" s="269">
        <f>'WC samples'!T33</f>
        <v>16.4846</v>
      </c>
      <c r="BB62" s="270">
        <f>'WC samples'!V33</f>
        <v>10.0618</v>
      </c>
      <c r="BC62" s="222">
        <f>IF($E62&lt;&gt;"",10^-$E62*'Elements and ions'!B63*1000,"")</f>
        <v>0</v>
      </c>
      <c r="BE62" s="6"/>
      <c r="BF62" s="6"/>
      <c r="BG62" s="270">
        <f>'WC samples'!L33</f>
        <v>0</v>
      </c>
      <c r="BH62" s="3"/>
      <c r="BJ62" s="92">
        <f>IF($AN62&lt;&gt;"",$AN62*'Elements and ions'!$G$2*1000,"")</f>
        <v>6.2224376466555302</v>
      </c>
      <c r="BK62" s="229"/>
      <c r="BL62" s="230"/>
      <c r="BM62" s="101">
        <f>IF($E62&lt;&gt;"",(10^-14+$E62)*'Elements and ions'!$G$8,"")</f>
        <v>134.18791260000015</v>
      </c>
      <c r="BO62" s="102">
        <f>IF($AP62&lt;&gt;"",$AP62*'Elements and ions'!$G$4*1000,"")</f>
        <v>0.91119428416785431</v>
      </c>
      <c r="BP62" s="269">
        <f>'WC samples'!P33</f>
        <v>0.121</v>
      </c>
      <c r="BQ62" s="270">
        <f>'WC samples'!R33</f>
        <v>0</v>
      </c>
      <c r="BR62" s="195"/>
      <c r="BS62" s="238">
        <f>IF($AU62&lt;&gt;"",$AU62/'Elements and ions'!$B$12,"")</f>
        <v>0.1420762409669559</v>
      </c>
      <c r="BT62" s="239">
        <f>IF($AV62&lt;&gt;"",$AV62/'Elements and ions'!$B$20,"")</f>
        <v>2.7973083228682572E-2</v>
      </c>
      <c r="BU62" s="239">
        <f>IF($AW62&lt;&gt;"",$AW62/'Elements and ions'!$B$21, "")</f>
        <v>2.1053620440141723</v>
      </c>
      <c r="BV62" s="240">
        <f>IF($AX62&lt;&gt;"",$AX62/'Elements and ions'!$B$13, "")</f>
        <v>0.17087842007817322</v>
      </c>
      <c r="BW62" s="238">
        <f>IF($AY62&lt;&gt;"",$AY62/'Elements and ions'!$G$3,"")</f>
        <v>3.9029709681533218</v>
      </c>
      <c r="BX62" s="239">
        <f>IF($AZ62&lt;&gt;"",$AZ62/'Elements and ions'!$B$18,"")</f>
        <v>0.16231912673116519</v>
      </c>
      <c r="BY62" s="239">
        <f>IF($BA62&lt;&gt;"",$BA62/'Elements and ions'!$G$7,"")</f>
        <v>0.26585963367411286</v>
      </c>
      <c r="BZ62" s="241">
        <f>IF($BB62&lt;&gt;"",$BB62/'Elements and ions'!$G$5,"")</f>
        <v>0.10474211607847382</v>
      </c>
      <c r="CA62" s="91">
        <f t="shared" si="67"/>
        <v>1.288249551693135E-5</v>
      </c>
      <c r="CB62" s="163" t="str">
        <f>IF($BD62&lt;&gt;"",$BD62/'Elements and ions'!$B$14,"")</f>
        <v/>
      </c>
      <c r="CC62" s="89" t="str">
        <f>IF($BE62&lt;&gt;"",$BE62/'Elements and ions'!$B$27, "")</f>
        <v/>
      </c>
      <c r="CD62" s="249" t="str">
        <f>IF($BF62&lt;&gt;"",$BF62/'Elements and ions'!$B$26,"")</f>
        <v/>
      </c>
      <c r="CE62" s="250">
        <f>IF($BG62&lt;&gt;"",$BG62/'Elements and ions'!$G$6,"")</f>
        <v>0</v>
      </c>
      <c r="CF62" s="91" t="str">
        <f>IF($BH62&lt;&gt;"",$BH62/'Elements and ions'!$G$15,"")</f>
        <v/>
      </c>
      <c r="CG62" s="89" t="str">
        <f>IF($BI62&lt;&gt;"",$BI62/'Elements and ions'!$G$16,"")</f>
        <v/>
      </c>
      <c r="CH62" s="90">
        <f>IF($BJ62&lt;&gt;"",$BJ62/'Elements and ions'!$G$2,"")</f>
        <v>0.10032180116810621</v>
      </c>
      <c r="CI62" s="91" t="str">
        <f>IF($BK62&lt;&gt;"",$BK62/'Elements and ions'!$B$15, "")</f>
        <v/>
      </c>
      <c r="CJ62" s="88" t="str">
        <f>IF($BL62&lt;&gt;"", $BL62/'Elements and ions'!$G$17,"")</f>
        <v/>
      </c>
      <c r="CK62" s="89">
        <f t="shared" si="68"/>
        <v>7.762471166286902E-4</v>
      </c>
      <c r="CL62" s="163" t="str">
        <f>IF($BN62&lt;&gt;"", $BN62/'Elements and ions'!$G$19,"")</f>
        <v/>
      </c>
      <c r="CM62" s="89">
        <f>IF($BO62&lt;&gt;"",$BO62/'Elements and ions'!$G$4,"")</f>
        <v>1.5184319062136688E-2</v>
      </c>
      <c r="CN62" s="89">
        <f>IF($BP62&lt;&gt;"",$BP62/'Elements and ions'!$B$10,"")</f>
        <v>6.3689563131284635E-3</v>
      </c>
      <c r="CO62" s="104">
        <f>IF($BQ62&lt;&gt;"",$BQ62/'Elements and ions'!$G$18,"")</f>
        <v>0</v>
      </c>
      <c r="CP62" s="242"/>
      <c r="CQ62" s="238">
        <f t="shared" si="689"/>
        <v>1.420762409669559E-4</v>
      </c>
      <c r="CR62" s="239">
        <f t="shared" si="690"/>
        <v>2.7973083228682573E-5</v>
      </c>
      <c r="CS62" s="239">
        <f t="shared" si="691"/>
        <v>2.1053620440141725E-3</v>
      </c>
      <c r="CT62" s="241">
        <f t="shared" si="692"/>
        <v>1.7087842007817321E-4</v>
      </c>
      <c r="CU62" s="238">
        <f t="shared" si="693"/>
        <v>3.9029709681533218E-3</v>
      </c>
      <c r="CV62" s="239">
        <f t="shared" si="694"/>
        <v>1.6231912673116518E-4</v>
      </c>
      <c r="CW62" s="239">
        <f t="shared" si="695"/>
        <v>2.6585963367411287E-4</v>
      </c>
      <c r="CX62" s="241">
        <f t="shared" si="696"/>
        <v>1.0474211607847383E-4</v>
      </c>
      <c r="CY62" s="258">
        <f t="shared" si="98"/>
        <v>1.288249551693135E-8</v>
      </c>
      <c r="CZ62" s="259" t="str">
        <f t="shared" si="697"/>
        <v/>
      </c>
      <c r="DA62" s="260" t="str">
        <f t="shared" si="698"/>
        <v/>
      </c>
      <c r="DB62" s="261" t="str">
        <f t="shared" si="699"/>
        <v/>
      </c>
      <c r="DC62" s="262">
        <f t="shared" si="700"/>
        <v>0</v>
      </c>
      <c r="DD62" s="263" t="str">
        <f t="shared" si="701"/>
        <v/>
      </c>
      <c r="DE62" s="259" t="str">
        <f t="shared" si="702"/>
        <v/>
      </c>
      <c r="DF62" s="260">
        <f t="shared" si="703"/>
        <v>1.0032180116810621E-4</v>
      </c>
      <c r="DG62" s="260" t="str">
        <f t="shared" si="704"/>
        <v/>
      </c>
      <c r="DH62" s="264" t="str">
        <f t="shared" si="705"/>
        <v/>
      </c>
      <c r="DI62" s="258">
        <f t="shared" si="108"/>
        <v>7.7624711662869019E-7</v>
      </c>
      <c r="DJ62" s="260" t="str">
        <f t="shared" si="706"/>
        <v/>
      </c>
      <c r="DK62" s="260">
        <f t="shared" si="707"/>
        <v>1.5184319062136689E-5</v>
      </c>
      <c r="DL62" s="260">
        <f t="shared" si="708"/>
        <v>6.3689563131284633E-6</v>
      </c>
      <c r="DM62" s="265">
        <f t="shared" si="709"/>
        <v>0</v>
      </c>
      <c r="DN62" s="242"/>
      <c r="DO62" s="238">
        <f t="shared" si="710"/>
        <v>0.1420762409669559</v>
      </c>
      <c r="DP62" s="239">
        <f t="shared" si="711"/>
        <v>2.7973083228682572E-2</v>
      </c>
      <c r="DQ62" s="239">
        <f t="shared" si="712"/>
        <v>4.2107240880283445</v>
      </c>
      <c r="DR62" s="241">
        <f t="shared" si="713"/>
        <v>0.34175684015634644</v>
      </c>
      <c r="DS62" s="238">
        <f t="shared" si="714"/>
        <v>-3.9029709681533218</v>
      </c>
      <c r="DT62" s="239">
        <f t="shared" si="715"/>
        <v>-0.16231912673116519</v>
      </c>
      <c r="DU62" s="239">
        <f t="shared" si="716"/>
        <v>-0.26585963367411286</v>
      </c>
      <c r="DV62" s="241">
        <f t="shared" si="717"/>
        <v>-0.20948423215694764</v>
      </c>
      <c r="DW62" s="91">
        <f t="shared" si="113"/>
        <v>1.288249551693135E-5</v>
      </c>
      <c r="DX62" s="89">
        <f t="shared" si="718"/>
        <v>0</v>
      </c>
      <c r="DY62" s="89">
        <f t="shared" si="719"/>
        <v>0</v>
      </c>
      <c r="DZ62" s="89">
        <f t="shared" si="720"/>
        <v>0</v>
      </c>
      <c r="EA62" s="90">
        <f t="shared" si="721"/>
        <v>0</v>
      </c>
      <c r="EB62" s="91">
        <f t="shared" si="118"/>
        <v>-7.762471166286902E-4</v>
      </c>
      <c r="EC62" s="89">
        <f t="shared" si="722"/>
        <v>0</v>
      </c>
      <c r="ED62" s="89">
        <f t="shared" si="723"/>
        <v>-3.0368638124273376E-2</v>
      </c>
      <c r="EE62" s="89">
        <f t="shared" si="724"/>
        <v>-6.3689563131284635E-3</v>
      </c>
      <c r="EF62" s="90">
        <f t="shared" si="725"/>
        <v>0</v>
      </c>
      <c r="EG62" s="242"/>
      <c r="EH62" s="245">
        <f t="shared" si="726"/>
        <v>4.7225431348758464</v>
      </c>
      <c r="EI62" s="246">
        <f t="shared" si="727"/>
        <v>-4.5781478022695783</v>
      </c>
      <c r="EJ62" s="198">
        <f t="shared" si="728"/>
        <v>1.5525226414048121</v>
      </c>
      <c r="EK62" s="198">
        <f t="shared" si="729"/>
        <v>1.1777714325216961E-2</v>
      </c>
      <c r="EL62" s="101">
        <f>IF(AND(CS62&lt;&gt;"",DK62&lt;&gt;""),LOG(CS62*DK62/Minerals!$C$6),"")</f>
        <v>0.98489411616453448</v>
      </c>
      <c r="EM62" s="94">
        <f>IF(AND(CS62&lt;&gt;"",DK62&lt;&gt;""),LOG(CS62*DK62/Minerals!$C$5),"")</f>
        <v>0.85441458680831672</v>
      </c>
      <c r="EN62" s="94">
        <f>IF(AND(CS62&lt;&gt;"",DL62&lt;&gt;""),LOG(CS62*DL62^2/Minerals!$C$2),"")</f>
        <v>-2.4986117266102763</v>
      </c>
      <c r="EO62" s="94">
        <f>IF(AND(CS62&lt;&gt;"",CX62&lt;&gt;""),LOG($CS62*$CX62/Minerals!$C$3),"")</f>
        <v>-2.0565715023678424</v>
      </c>
      <c r="EP62" s="95">
        <f>IF(AND(CS62&lt;&gt;"",CX62&lt;&gt;""),LOG($CS62*$CX62/Minerals!$C$4),"")</f>
        <v>-2.2965560138337446</v>
      </c>
      <c r="EQ62" s="199"/>
      <c r="ER62" s="101">
        <f t="shared" si="752"/>
        <v>0.89340781253379964</v>
      </c>
      <c r="ES62" s="94">
        <f t="shared" si="752"/>
        <v>0.89340781253379964</v>
      </c>
      <c r="ET62" s="94">
        <f t="shared" si="753"/>
        <v>0.63708735262947214</v>
      </c>
      <c r="EU62" s="94">
        <f t="shared" si="753"/>
        <v>0.63708735262947214</v>
      </c>
      <c r="EV62" s="95">
        <f t="shared" si="753"/>
        <v>0.63708735262947214</v>
      </c>
      <c r="EW62" s="101">
        <f t="shared" si="754"/>
        <v>0.89340781253379964</v>
      </c>
      <c r="EX62" s="94">
        <f t="shared" si="31"/>
        <v>0.63708735262947214</v>
      </c>
      <c r="EY62" s="94">
        <f t="shared" si="754"/>
        <v>0.89340781253379964</v>
      </c>
      <c r="EZ62" s="94">
        <f t="shared" si="754"/>
        <v>0.89340781253379964</v>
      </c>
      <c r="FA62" s="94">
        <f t="shared" si="165"/>
        <v>0.89340781253379964</v>
      </c>
      <c r="FB62" s="95">
        <f t="shared" si="32"/>
        <v>0.63708735262947214</v>
      </c>
      <c r="FC62" s="199"/>
      <c r="FD62" s="101">
        <f t="shared" si="730"/>
        <v>1.2693202365531307E-4</v>
      </c>
      <c r="FE62" s="94">
        <f t="shared" si="731"/>
        <v>2.4991371097163214E-5</v>
      </c>
      <c r="FF62" s="94">
        <f t="shared" si="732"/>
        <v>1.3412995309475633E-3</v>
      </c>
      <c r="FG62" s="94">
        <f t="shared" si="733"/>
        <v>1.0886448026911021E-4</v>
      </c>
      <c r="FH62" s="95" t="str">
        <f t="shared" si="734"/>
        <v/>
      </c>
      <c r="FI62" s="101">
        <f t="shared" si="735"/>
        <v>3.4869447550407856E-3</v>
      </c>
      <c r="FJ62" s="94">
        <f t="shared" si="736"/>
        <v>9.6737376327778926E-6</v>
      </c>
      <c r="FK62" s="94">
        <f t="shared" si="737"/>
        <v>1.450171759452869E-4</v>
      </c>
      <c r="FL62" s="94">
        <f t="shared" si="738"/>
        <v>2.3752107376182649E-4</v>
      </c>
      <c r="FM62" s="94">
        <f t="shared" si="739"/>
        <v>5.6900753278354336E-6</v>
      </c>
      <c r="FN62" s="95">
        <f t="shared" si="740"/>
        <v>6.6729877441243758E-5</v>
      </c>
      <c r="FO62" s="199"/>
      <c r="FP62" s="101">
        <f>IF(EL62&lt;&gt;"",LOG(FF62*FJ62/Minerals!$C$6),"")</f>
        <v>0.59329208339108641</v>
      </c>
      <c r="FQ62" s="94">
        <f>IF(EL62&lt;&gt;"",LOG(FF62*FJ62/Minerals!$C$5),"")</f>
        <v>0.46281255403486876</v>
      </c>
      <c r="FR62" s="94">
        <f>IF(EN62&lt;&gt;"",LOG(FF62*FM62^2/Minerals!$C$2),"")</f>
        <v>-2.7923132511903623</v>
      </c>
      <c r="FS62" s="94">
        <f>IF(EO62&lt;&gt;"",LOG($FF62*$FN62/Minerals!$C$3),"")</f>
        <v>-2.4481735351412905</v>
      </c>
      <c r="FT62" s="95">
        <f>IF(EP62&lt;&gt;"",LOG($FF62*$FN62/Minerals!$C$4),"")</f>
        <v>-2.6881580466071928</v>
      </c>
      <c r="FU62" s="96"/>
      <c r="FV62" s="101">
        <f>IF(FP62&lt;&gt;"",LOG(FF62*FJ62/(EXP(-1*Minerals!$E$6/'Other Constants'!$B$2*(1/(273.15+'ppm-mgL-1'!$D62)-1/298.15)+LN(Minerals!$C$6)))),"")</f>
        <v>-0.82789531022117502</v>
      </c>
      <c r="FW62" s="94">
        <f>IF(FP62&lt;&gt;"",LOG(FF62*FJ62/(EXP(-1*Minerals!$E$5/'Other Constants'!$B$2*(1/(273.15+'ppm-mgL-1'!$D62)-1/298.15)+LN(Minerals!$C$5)))),"")</f>
        <v>-0.95850331918499432</v>
      </c>
      <c r="FX62" s="94">
        <f>IF(FR62&lt;&gt;"",LOG(FF62*FM62^2/(EXP(-1*Minerals!$E$2/'Other Constants'!$B$2*(1/(273.15+'ppm-mgL-1'!$D62)-1/298.15)+LN(Minerals!$C$2)))),"")</f>
        <v>-2.7322276213687506</v>
      </c>
      <c r="FY62" s="94">
        <f>IF(FS62&lt;&gt;"",LOG($FF62*$FN62/(EXP(-1*Minerals!$E$3/'Other Constants'!$B$2*(1/(273.15+'ppm-mgL-1'!$D62)-1/298.15)+LN(Minerals!$C$3)))),"")</f>
        <v>-1.2230605195112345</v>
      </c>
      <c r="FZ62" s="95">
        <f>IF(FT62&lt;&gt;"",LOG($FF62*$FN62/(EXP(-1*Minerals!$E$4/'Other Constants'!$B$2*(1/(273.15+'ppm-mgL-1'!$D62)-1/298.15)+LN(Minerals!$C$4)))),"")</f>
        <v>-2.7232543927503228</v>
      </c>
      <c r="GA62" s="96"/>
      <c r="GB62" s="96"/>
      <c r="GC62" s="101">
        <f>10^(-1825000*(79.755*EXP(-0.0046*($D62-20))*($D62+273.15))^-1.5*$EK62^0.5/(1+'Elements and ions'!$D$12*$EK62^0.5/(2*(79.755*EXP(-0.0046*($D62-20))*($D62+273.15))^0.5)))</f>
        <v>0.89406306462377294</v>
      </c>
      <c r="GD62" s="94">
        <f>10^(-1825000*(79.755*EXP(-0.0046*($D62-20))*($D62+273.15))^-1.5*$EK62^0.5/(1+'Elements and ions'!$D$20*$EK62^0.5/(2*(79.755*EXP(-0.0046*($D62-20))*($D62+273.15))^0.5)))</f>
        <v>0.89085537021925709</v>
      </c>
      <c r="GE62" s="94">
        <f>10^(-1825000*(79.755*EXP(-0.0046*($D62-20))*($D62+273.15))^-1.5*4*$EK62^0.5/(1+'Elements and ions'!$D$21*$EK62^0.5/(2*(79.755*EXP(-0.0046*($D62-20))*($D62+273.15))^0.5)))</f>
        <v>0.65593889962452079</v>
      </c>
      <c r="GF62" s="94">
        <f>10^(-1825000*(79.755*EXP(-0.0046*($D62-20))*($D62+273.15))^-1.5*4*$EK62^0.5/(1+'Elements and ions'!$D$13*$EK62^0.5/(2*(79.755*EXP(-0.0046*($D62-20))*($D62+273.15))^0.5)))</f>
        <v>0.67141950346327428</v>
      </c>
      <c r="GG62" s="95">
        <f>10^(-1825000*(79.755*EXP(-0.0046*($D62-20))*($D62+273.15))^-1.5*4*$EK62^0.5/(1+'Elements and ions'!$D$27*$EK62^0.5/(2*(79.755*EXP(-0.0046*($D62-20))*($D62+273.15))^0.5)))</f>
        <v>0.65593889962452079</v>
      </c>
      <c r="GH62" s="101">
        <f>10^(-1825000*(79.755*EXP(-0.0046*($D62-20))*($D62+273.15))^-1.5*$EK62^0.5/(1+'Elements and ions'!$G$3*$EK62^0.5/(2*(79.755*EXP(-0.0046*($D62-20))*($D62+273.15))^0.5)))</f>
        <v>0.88234247248348174</v>
      </c>
      <c r="GI62" s="94">
        <f>10^(-1825000*(79.755*EXP(-0.0046*($D62-20))*($D62+273.15))^-1.5*4*$EK62^0.5/(1+'Elements and ions'!$G$4*$EK62^0.5/(2*(79.755*EXP(-0.0046*($D62-20))*($D62+273.15))^0.5)))</f>
        <v>0.60599985216928309</v>
      </c>
      <c r="GJ62" s="94">
        <f>10^(-1825000*(79.755*EXP(-0.0046*($D62-20))*($D62+273.15))^-1.5*$EK62^0.5/(1+'Elements and ions'!$D$18*$EK62^0.5/(2*(79.755*EXP(-0.0046*($D62-20))*($D62+273.15))^0.5)))</f>
        <v>0.89085537021925709</v>
      </c>
      <c r="GK62" s="94">
        <f>10^(-1825000*(79.755*EXP(-0.0046*($D62-20))*($D62+273.15))^-1.5*$EK62^0.5/(1+'Elements and ions'!$I$7*$EK62^0.5/(2*(79.755*EXP(-0.0046*($D62-20))*($D62+273.15))^0.5)))</f>
        <v>0.89085537021925709</v>
      </c>
      <c r="GL62" s="94">
        <f>10^(-1825000*(79.755*EXP(-0.0046*($D62-20))*($D62+273.15))^-1.5*$EK62^0.5/(1+'Elements and ions'!$D$10*$EK62^0.5/(2*(79.755*EXP(-0.0046*($D62-20))*($D62+273.15))^0.5)))</f>
        <v>0.89248310965042055</v>
      </c>
      <c r="GM62" s="95">
        <f>10^(-1825000*(79.755*EXP(-0.0046*($D62-20))*($D62+273.15))^-1.5*4*$EK62^0.5/(1+'Elements and ions'!$I$5*$EK62^0.5/(2*(79.755*EXP(-0.0046*($D62-20))*($D62+273.15))^0.5)))</f>
        <v>0.63895844574807159</v>
      </c>
      <c r="GN62" s="96"/>
      <c r="GO62" s="101">
        <f t="shared" si="741"/>
        <v>1.2702511940914223E-4</v>
      </c>
      <c r="GP62" s="94">
        <f t="shared" si="742"/>
        <v>2.4919971415862107E-5</v>
      </c>
      <c r="GQ62" s="94">
        <f t="shared" si="743"/>
        <v>1.3809888624618882E-3</v>
      </c>
      <c r="GR62" s="94">
        <f t="shared" si="744"/>
        <v>1.1473110396147586E-4</v>
      </c>
      <c r="GS62" s="95" t="str">
        <f t="shared" si="745"/>
        <v/>
      </c>
      <c r="GT62" s="101">
        <f t="shared" si="746"/>
        <v>3.4437570540716504E-3</v>
      </c>
      <c r="GU62" s="94">
        <f t="shared" si="747"/>
        <v>9.2016951069460614E-6</v>
      </c>
      <c r="GV62" s="94">
        <f t="shared" si="748"/>
        <v>1.4460286573775866E-4</v>
      </c>
      <c r="GW62" s="94">
        <f t="shared" si="749"/>
        <v>2.368424823831079E-4</v>
      </c>
      <c r="GX62" s="94">
        <f t="shared" si="750"/>
        <v>5.6841859355685684E-6</v>
      </c>
      <c r="GY62" s="102">
        <f t="shared" si="751"/>
        <v>6.6925859693865738E-5</v>
      </c>
      <c r="GZ62" s="199"/>
      <c r="HA62" s="92">
        <f>IF(AND(GQ62&lt;&gt;"",GU62&lt;&gt;""),LOG(GQ62*GU62/Minerals!$C$6),"")</f>
        <v>0.58423002133600177</v>
      </c>
      <c r="HB62" s="94">
        <f>IF(AND(GQ62&lt;&gt;"",GU62&lt;&gt;""),LOG(GQ62*GU62/Minerals!$C$5),"")</f>
        <v>0.45375049197978407</v>
      </c>
      <c r="HC62" s="94">
        <f>IF(AND(GQ62&lt;&gt;"",GX62&lt;&gt;""),LOG(GQ62*GX62^2/Minerals!$C$2),"")</f>
        <v>-2.7805483280870864</v>
      </c>
      <c r="HD62" s="94">
        <f>IF(AND(GQ62&lt;&gt;"",GY62&lt;&gt;""),LOG($GQ62*$GY62/Minerals!$C$3),"")</f>
        <v>-2.4342355004044252</v>
      </c>
      <c r="HE62" s="102">
        <f>IF(AND(GQ62&lt;&gt;"",GY62&lt;&gt;""),LOG($GQ62*$GY62/Minerals!$C$3),"")</f>
        <v>-2.4342355004044252</v>
      </c>
      <c r="HF62" s="199"/>
      <c r="HG62" s="92">
        <f>IF(HA62&lt;&gt;"",LOG(GQ62*GU62/(EXP(-1*Minerals!$E$6/'Other Constants'!$B$2*(1/(273.15+'ppm-mgL-1'!$D62)-1/298.15)+LN(Minerals!$C$6)))),"")</f>
        <v>-0.83695737227625977</v>
      </c>
      <c r="HH62" s="94">
        <f>IF(HA62&lt;&gt;"",LOG(GQ62*GU62/(EXP(-1*Minerals!$E$5/'Other Constants'!$B$2*(1/(273.15+'ppm-mgL-1'!$D62)-1/298.15)+LN(Minerals!$C$5)))),"")</f>
        <v>-0.96756538124007907</v>
      </c>
      <c r="HI62" s="94">
        <f>IF(HC62&lt;&gt;"",LOG(GQ62*GX62^2/(EXP(-1*Minerals!$E$2/'Other Constants'!$B$2*(1/(273.15+'ppm-mgL-1'!$D62)-1/298.15)+LN(Minerals!$C$2)))),"")</f>
        <v>-2.7204626982654752</v>
      </c>
      <c r="HJ62" s="94">
        <f>IF(HD62&lt;&gt;"",LOG($FF62*$FN62/(EXP(-1*Minerals!$E$3/'Other Constants'!$B$2*(1/(273.15+'ppm-mgL-1'!$D62)-1/298.15)+LN(Minerals!$C$3)))),"")</f>
        <v>-1.2230605195112345</v>
      </c>
      <c r="HK62" s="95">
        <f>IF(HE62&lt;&gt;"",LOG($FF62*$FN62/(EXP(-1*Minerals!$E$4/'Other Constants'!$B$2*(1/(273.15+'ppm-mgL-1'!$D62)-1/298.15)+LN(Minerals!$C$4)))),"")</f>
        <v>-2.7232543927503228</v>
      </c>
      <c r="HL62" s="199"/>
      <c r="HM62" s="199"/>
    </row>
    <row r="63" spans="1:221" x14ac:dyDescent="0.25">
      <c r="A63" s="267" t="str">
        <f>'WC samples'!B34</f>
        <v>ISSR 3</v>
      </c>
      <c r="C63" s="266">
        <f>'WC samples'!A34</f>
        <v>41502</v>
      </c>
      <c r="D63" s="4">
        <f>'WC samples'!I34</f>
        <v>21.9</v>
      </c>
      <c r="E63" s="4">
        <f>'WC samples'!F34</f>
        <v>7.66</v>
      </c>
      <c r="AD63" s="83">
        <f>IF(E63&lt;&gt;"",10^(-2*$E63)/(10^(-2*$E63)+10^(-$E63-pKa!$B$2)+(10^(-pKa!$B$2-pKa!$C$2))),"")</f>
        <v>4.1734211272737465E-2</v>
      </c>
      <c r="AE63" s="84">
        <f>IF(E63&lt;&gt;"",10^(-$E63-pKa!$B$2)/(10^(-2*$E63)+10^(-$E63-pKa!$B$2)+10^(-pKa!$B$2-pKa!$C$2)),"")</f>
        <v>0.95607554618490531</v>
      </c>
      <c r="AF63" s="212">
        <f>IF(E63&lt;&gt;"",10^(-pKa!$B$2-pKa!$C$2)/(10^(-2*$E63)+10^(-$E63-pKa!$B$2)+10^(-pKa!$B$2-pKa!$C$2)),"")</f>
        <v>2.1902425423572735E-3</v>
      </c>
      <c r="AG63" s="152"/>
      <c r="AH63" s="222">
        <f>IF($AK63&lt;&gt;"",$AK63/'Elements and ions'!$G$3,IF($E63="","",""))</f>
        <v>4.0480627970901155</v>
      </c>
      <c r="AI63" s="85">
        <f t="shared" si="688"/>
        <v>4.214729493164239E-3</v>
      </c>
      <c r="AJ63" s="84">
        <f>IF(AI63&lt;&gt;"",AI63*1000*'Elements and ions'!$B$7,"")</f>
        <v>50.621851523547733</v>
      </c>
      <c r="AK63" s="99">
        <f>'WC samples'!H34</f>
        <v>247</v>
      </c>
      <c r="AL63" s="88">
        <f>IF($AK63&lt;&gt;"",$AK63/'Elements and ions'!$G$3*Minerals!$B$6/2,IF($E63="","","Enter Alk(HCO3-)"))</f>
        <v>202.57902818303936</v>
      </c>
      <c r="AM63" s="199"/>
      <c r="AN63" s="101">
        <f t="shared" ref="AN63:AN94" si="755">IF(AND($E63&lt;&gt;"",AI63&lt;&gt;""),AI63*AD63,"")</f>
        <v>1.7589841112515404E-4</v>
      </c>
      <c r="AO63" s="94">
        <f t="shared" ref="AO63:AO94" si="756">IF(AND($E63&lt;&gt;"",AI63&lt;&gt;""),AI63*AE63,"")</f>
        <v>4.0295998021986287E-3</v>
      </c>
      <c r="AP63" s="95">
        <f t="shared" ref="AP63:AP94" si="757">IF(AND($E63&lt;&gt;"",AI63&lt;&gt;""),AI63*AF63,"")</f>
        <v>9.2312798404562261E-6</v>
      </c>
      <c r="AQ63" s="199"/>
      <c r="AR63" s="199"/>
      <c r="AS63" s="83">
        <f t="shared" si="66"/>
        <v>0.51734826801515887</v>
      </c>
      <c r="AT63" s="83">
        <f>IF(AN63&lt;&gt;"",AN63/'Henrys law constants'!$B$7*1000000,"")</f>
        <v>5173.4826801515892</v>
      </c>
      <c r="AU63" s="268">
        <f>'WC samples'!K34</f>
        <v>3.2384454886546363</v>
      </c>
      <c r="AV63" s="269">
        <f>'WC samples'!M34</f>
        <v>1.0313748972663925</v>
      </c>
      <c r="AW63" s="269">
        <f>'WC samples'!O34</f>
        <v>87.014309880293013</v>
      </c>
      <c r="AX63" s="269">
        <f>'WC samples'!N34</f>
        <v>4.0043833124888328</v>
      </c>
      <c r="AY63" s="226">
        <f>AO63*'Elements and ions'!$G$3*1000</f>
        <v>245.87344639478536</v>
      </c>
      <c r="AZ63" s="269">
        <f>'WC samples'!Q34</f>
        <v>5.6085136859031621</v>
      </c>
      <c r="BA63" s="269">
        <f>'WC samples'!T34</f>
        <v>16.260709076290873</v>
      </c>
      <c r="BB63" s="270">
        <f>'WC samples'!V34</f>
        <v>9.7436346614257623</v>
      </c>
      <c r="BC63" s="222">
        <f>IF($E63&lt;&gt;"",10^-$E63*'Elements and ions'!B64*1000,"")</f>
        <v>0</v>
      </c>
      <c r="BE63" s="6"/>
      <c r="BF63" s="6"/>
      <c r="BG63" s="270">
        <f>'WC samples'!L34</f>
        <v>0</v>
      </c>
      <c r="BH63" s="3"/>
      <c r="BJ63" s="92">
        <f>IF($AN63&lt;&gt;"",$AN63*'Elements and ions'!$G$2*1000,"")</f>
        <v>10.910060252387231</v>
      </c>
      <c r="BK63" s="229"/>
      <c r="BL63" s="230"/>
      <c r="BM63" s="101">
        <f>IF($E63&lt;&gt;"",(10^-14+$E63)*'Elements and ions'!$G$8,"")</f>
        <v>130.27622440000016</v>
      </c>
      <c r="BO63" s="102">
        <f>IF($AP63&lt;&gt;"",$AP63*'Elements and ions'!$G$4*1000,"")</f>
        <v>0.5539589488179536</v>
      </c>
      <c r="BP63" s="269">
        <f>'WC samples'!P34</f>
        <v>0.10772179739145971</v>
      </c>
      <c r="BQ63" s="270">
        <f>'WC samples'!R34</f>
        <v>0</v>
      </c>
      <c r="BR63" s="195"/>
      <c r="BS63" s="238">
        <f>IF($AU63&lt;&gt;"",$AU63/'Elements and ions'!$B$12,"")</f>
        <v>0.14086463631768278</v>
      </c>
      <c r="BT63" s="239">
        <f>IF($AV63&lt;&gt;"",$AV63/'Elements and ions'!$B$20,"")</f>
        <v>2.6379021524372988E-2</v>
      </c>
      <c r="BU63" s="239">
        <f>IF($AW63&lt;&gt;"",$AW63/'Elements and ions'!$B$21, "")</f>
        <v>2.1711240550998805</v>
      </c>
      <c r="BV63" s="240">
        <f>IF($AX63&lt;&gt;"",$AX63/'Elements and ions'!$B$13, "")</f>
        <v>0.16475553641180141</v>
      </c>
      <c r="BW63" s="238">
        <f>IF($AY63&lt;&gt;"",$AY63/'Elements and ions'!$G$3,"")</f>
        <v>4.0295998021986286</v>
      </c>
      <c r="BX63" s="239">
        <f>IF($AZ63&lt;&gt;"",$AZ63/'Elements and ions'!$B$18,"")</f>
        <v>0.15819574326300065</v>
      </c>
      <c r="BY63" s="239">
        <f>IF($BA63&lt;&gt;"",$BA63/'Elements and ions'!$G$7,"")</f>
        <v>0.26224877511762573</v>
      </c>
      <c r="BZ63" s="241">
        <f>IF($BB63&lt;&gt;"",$BB63/'Elements and ions'!$G$5,"")</f>
        <v>0.10143005354243756</v>
      </c>
      <c r="CA63" s="91">
        <f t="shared" si="67"/>
        <v>2.1877616239495495E-5</v>
      </c>
      <c r="CB63" s="163" t="str">
        <f>IF($BD63&lt;&gt;"",$BD63/'Elements and ions'!$B$14,"")</f>
        <v/>
      </c>
      <c r="CC63" s="89" t="str">
        <f>IF($BE63&lt;&gt;"",$BE63/'Elements and ions'!$B$27, "")</f>
        <v/>
      </c>
      <c r="CD63" s="249" t="str">
        <f>IF($BF63&lt;&gt;"",$BF63/'Elements and ions'!$B$26,"")</f>
        <v/>
      </c>
      <c r="CE63" s="250">
        <f>IF($BG63&lt;&gt;"",$BG63/'Elements and ions'!$G$6,"")</f>
        <v>0</v>
      </c>
      <c r="CF63" s="91" t="str">
        <f>IF($BH63&lt;&gt;"",$BH63/'Elements and ions'!$G$15,"")</f>
        <v/>
      </c>
      <c r="CG63" s="89" t="str">
        <f>IF($BI63&lt;&gt;"",$BI63/'Elements and ions'!$G$16,"")</f>
        <v/>
      </c>
      <c r="CH63" s="90">
        <f>IF($BJ63&lt;&gt;"",$BJ63/'Elements and ions'!$G$2,"")</f>
        <v>0.17589841112515403</v>
      </c>
      <c r="CI63" s="91" t="str">
        <f>IF($BK63&lt;&gt;"",$BK63/'Elements and ions'!$B$15, "")</f>
        <v/>
      </c>
      <c r="CJ63" s="88" t="str">
        <f>IF($BL63&lt;&gt;"", $BL63/'Elements and ions'!$G$17,"")</f>
        <v/>
      </c>
      <c r="CK63" s="89">
        <f t="shared" si="68"/>
        <v>4.5708818961487428E-4</v>
      </c>
      <c r="CL63" s="163" t="str">
        <f>IF($BN63&lt;&gt;"", $BN63/'Elements and ions'!$G$19,"")</f>
        <v/>
      </c>
      <c r="CM63" s="89">
        <f>IF($BO63&lt;&gt;"",$BO63/'Elements and ions'!$G$4,"")</f>
        <v>9.2312798404562257E-3</v>
      </c>
      <c r="CN63" s="89">
        <f>IF($BP63&lt;&gt;"",$BP63/'Elements and ions'!$B$10,"")</f>
        <v>5.6700448062634926E-3</v>
      </c>
      <c r="CO63" s="104">
        <f>IF($BQ63&lt;&gt;"",$BQ63/'Elements and ions'!$G$18,"")</f>
        <v>0</v>
      </c>
      <c r="CP63" s="242"/>
      <c r="CQ63" s="238">
        <f t="shared" si="689"/>
        <v>1.4086463631768277E-4</v>
      </c>
      <c r="CR63" s="239">
        <f t="shared" si="690"/>
        <v>2.6379021524372988E-5</v>
      </c>
      <c r="CS63" s="239">
        <f t="shared" si="691"/>
        <v>2.1711240550998804E-3</v>
      </c>
      <c r="CT63" s="241">
        <f t="shared" si="692"/>
        <v>1.6475553641180142E-4</v>
      </c>
      <c r="CU63" s="238">
        <f t="shared" si="693"/>
        <v>4.0295998021986287E-3</v>
      </c>
      <c r="CV63" s="239">
        <f t="shared" si="694"/>
        <v>1.5819574326300065E-4</v>
      </c>
      <c r="CW63" s="239">
        <f t="shared" si="695"/>
        <v>2.6224877511762571E-4</v>
      </c>
      <c r="CX63" s="241">
        <f t="shared" si="696"/>
        <v>1.0143005354243756E-4</v>
      </c>
      <c r="CY63" s="258">
        <f t="shared" si="98"/>
        <v>2.1877616239495494E-8</v>
      </c>
      <c r="CZ63" s="259" t="str">
        <f t="shared" si="697"/>
        <v/>
      </c>
      <c r="DA63" s="260" t="str">
        <f t="shared" si="698"/>
        <v/>
      </c>
      <c r="DB63" s="261" t="str">
        <f t="shared" si="699"/>
        <v/>
      </c>
      <c r="DC63" s="262">
        <f t="shared" si="700"/>
        <v>0</v>
      </c>
      <c r="DD63" s="263" t="str">
        <f t="shared" si="701"/>
        <v/>
      </c>
      <c r="DE63" s="259" t="str">
        <f t="shared" si="702"/>
        <v/>
      </c>
      <c r="DF63" s="260">
        <f t="shared" si="703"/>
        <v>1.7589841112515404E-4</v>
      </c>
      <c r="DG63" s="260" t="str">
        <f t="shared" si="704"/>
        <v/>
      </c>
      <c r="DH63" s="264" t="str">
        <f t="shared" si="705"/>
        <v/>
      </c>
      <c r="DI63" s="258">
        <f t="shared" si="108"/>
        <v>4.5708818961487426E-7</v>
      </c>
      <c r="DJ63" s="260" t="str">
        <f t="shared" si="706"/>
        <v/>
      </c>
      <c r="DK63" s="260">
        <f t="shared" si="707"/>
        <v>9.2312798404562261E-6</v>
      </c>
      <c r="DL63" s="260">
        <f t="shared" si="708"/>
        <v>5.6700448062634925E-6</v>
      </c>
      <c r="DM63" s="265">
        <f t="shared" si="709"/>
        <v>0</v>
      </c>
      <c r="DN63" s="242"/>
      <c r="DO63" s="238">
        <f t="shared" si="710"/>
        <v>0.14086463631768278</v>
      </c>
      <c r="DP63" s="239">
        <f t="shared" si="711"/>
        <v>2.6379021524372988E-2</v>
      </c>
      <c r="DQ63" s="239">
        <f t="shared" si="712"/>
        <v>4.342248110199761</v>
      </c>
      <c r="DR63" s="241">
        <f t="shared" si="713"/>
        <v>0.32951107282360281</v>
      </c>
      <c r="DS63" s="238">
        <f t="shared" si="714"/>
        <v>-4.0295998021986286</v>
      </c>
      <c r="DT63" s="239">
        <f t="shared" si="715"/>
        <v>-0.15819574326300065</v>
      </c>
      <c r="DU63" s="239">
        <f t="shared" si="716"/>
        <v>-0.26224877511762573</v>
      </c>
      <c r="DV63" s="241">
        <f t="shared" si="717"/>
        <v>-0.20286010708487512</v>
      </c>
      <c r="DW63" s="91">
        <f t="shared" si="113"/>
        <v>2.1877616239495495E-5</v>
      </c>
      <c r="DX63" s="89">
        <f t="shared" si="718"/>
        <v>0</v>
      </c>
      <c r="DY63" s="89">
        <f t="shared" si="719"/>
        <v>0</v>
      </c>
      <c r="DZ63" s="89">
        <f t="shared" si="720"/>
        <v>0</v>
      </c>
      <c r="EA63" s="90">
        <f t="shared" si="721"/>
        <v>0</v>
      </c>
      <c r="EB63" s="91">
        <f t="shared" si="118"/>
        <v>-4.5708818961487428E-4</v>
      </c>
      <c r="EC63" s="89">
        <f t="shared" si="722"/>
        <v>0</v>
      </c>
      <c r="ED63" s="89">
        <f t="shared" si="723"/>
        <v>-1.8462559680912451E-2</v>
      </c>
      <c r="EE63" s="89">
        <f t="shared" si="724"/>
        <v>-5.6700448062634926E-3</v>
      </c>
      <c r="EF63" s="90">
        <f t="shared" si="725"/>
        <v>0</v>
      </c>
      <c r="EG63" s="242"/>
      <c r="EH63" s="245">
        <f t="shared" si="726"/>
        <v>4.8390247184816584</v>
      </c>
      <c r="EI63" s="246">
        <f t="shared" si="727"/>
        <v>-4.6774941203409215</v>
      </c>
      <c r="EJ63" s="198">
        <f t="shared" si="728"/>
        <v>1.6973706549266083</v>
      </c>
      <c r="EK63" s="198">
        <f t="shared" si="729"/>
        <v>1.2060717591830266E-2</v>
      </c>
      <c r="EL63" s="101">
        <f>IF(AND(CS63&lt;&gt;"",DK63&lt;&gt;""),LOG(CS63*DK63/Minerals!$C$6),"")</f>
        <v>0.78211856191994955</v>
      </c>
      <c r="EM63" s="94">
        <f>IF(AND(CS63&lt;&gt;"",DK63&lt;&gt;""),LOG(CS63*DK63/Minerals!$C$5),"")</f>
        <v>0.65163903256373179</v>
      </c>
      <c r="EN63" s="94">
        <f>IF(AND(CS63&lt;&gt;"",DL63&lt;&gt;""),LOG(CS63*DL63^2/Minerals!$C$2),"")</f>
        <v>-2.5862174347443228</v>
      </c>
      <c r="EO63" s="94">
        <f>IF(AND(CS63&lt;&gt;"",CX63&lt;&gt;""),LOG($CS63*$CX63/Minerals!$C$3),"")</f>
        <v>-2.0571683411619901</v>
      </c>
      <c r="EP63" s="95">
        <f>IF(AND(CS63&lt;&gt;"",CX63&lt;&gt;""),LOG($CS63*$CX63/Minerals!$C$4),"")</f>
        <v>-2.2971528526278924</v>
      </c>
      <c r="EQ63" s="199"/>
      <c r="ER63" s="101">
        <f t="shared" si="752"/>
        <v>0.89232483679803698</v>
      </c>
      <c r="ES63" s="94">
        <f t="shared" si="752"/>
        <v>0.89232483679803698</v>
      </c>
      <c r="ET63" s="94">
        <f t="shared" si="753"/>
        <v>0.63400389341965602</v>
      </c>
      <c r="EU63" s="94">
        <f t="shared" si="753"/>
        <v>0.63400389341965602</v>
      </c>
      <c r="EV63" s="95">
        <f t="shared" si="753"/>
        <v>0.63400389341965602</v>
      </c>
      <c r="EW63" s="101">
        <f t="shared" si="754"/>
        <v>0.89232483679803698</v>
      </c>
      <c r="EX63" s="94">
        <f t="shared" si="31"/>
        <v>0.63400389341965602</v>
      </c>
      <c r="EY63" s="94">
        <f t="shared" si="754"/>
        <v>0.89232483679803698</v>
      </c>
      <c r="EZ63" s="94">
        <f t="shared" si="754"/>
        <v>0.89232483679803698</v>
      </c>
      <c r="FA63" s="94">
        <f t="shared" si="165"/>
        <v>0.89232483679803698</v>
      </c>
      <c r="FB63" s="95">
        <f t="shared" si="32"/>
        <v>0.63400389341965602</v>
      </c>
      <c r="FC63" s="199"/>
      <c r="FD63" s="101">
        <f t="shared" si="730"/>
        <v>1.2569701361279112E-4</v>
      </c>
      <c r="FE63" s="94">
        <f t="shared" si="731"/>
        <v>2.353865607662803E-5</v>
      </c>
      <c r="FF63" s="94">
        <f t="shared" si="732"/>
        <v>1.3765011040303959E-3</v>
      </c>
      <c r="FG63" s="94">
        <f t="shared" si="733"/>
        <v>1.04455651547526E-4</v>
      </c>
      <c r="FH63" s="95" t="str">
        <f t="shared" si="734"/>
        <v/>
      </c>
      <c r="FI63" s="101">
        <f t="shared" si="735"/>
        <v>3.5957119858582936E-3</v>
      </c>
      <c r="FJ63" s="94">
        <f t="shared" si="736"/>
        <v>5.8526673600956284E-6</v>
      </c>
      <c r="FK63" s="94">
        <f t="shared" si="737"/>
        <v>1.4116199078930122E-4</v>
      </c>
      <c r="FL63" s="94">
        <f t="shared" si="738"/>
        <v>2.3401109545732047E-4</v>
      </c>
      <c r="FM63" s="94">
        <f t="shared" si="739"/>
        <v>5.0595218063866283E-6</v>
      </c>
      <c r="FN63" s="95">
        <f t="shared" si="740"/>
        <v>6.4307048855669584E-5</v>
      </c>
      <c r="FO63" s="199"/>
      <c r="FP63" s="101">
        <f>IF(EL63&lt;&gt;"",LOG(FF63*FJ63/Minerals!$C$6),"")</f>
        <v>0.38630241170701252</v>
      </c>
      <c r="FQ63" s="94">
        <f>IF(EL63&lt;&gt;"",LOG(FF63*FJ63/Minerals!$C$5),"")</f>
        <v>0.25582288235079476</v>
      </c>
      <c r="FR63" s="94">
        <f>IF(EN63&lt;&gt;"",LOG(FF63*FM63^2/Minerals!$C$2),"")</f>
        <v>-2.8830795474040256</v>
      </c>
      <c r="FS63" s="94">
        <f>IF(EO63&lt;&gt;"",LOG($FF63*$FN63/Minerals!$C$3),"")</f>
        <v>-2.4529844913749268</v>
      </c>
      <c r="FT63" s="95">
        <f>IF(EP63&lt;&gt;"",LOG($FF63*$FN63/Minerals!$C$4),"")</f>
        <v>-2.6929690028408295</v>
      </c>
      <c r="FU63" s="96"/>
      <c r="FV63" s="101">
        <f>IF(FP63&lt;&gt;"",LOG(FF63*FJ63/(EXP(-1*Minerals!$E$6/'Other Constants'!$B$2*(1/(273.15+'ppm-mgL-1'!$D63)-1/298.15)+LN(Minerals!$C$6)))),"")</f>
        <v>-0.83542395768831335</v>
      </c>
      <c r="FW63" s="94">
        <f>IF(FP63&lt;&gt;"",LOG(FF63*FJ63/(EXP(-1*Minerals!$E$5/'Other Constants'!$B$2*(1/(273.15+'ppm-mgL-1'!$D63)-1/298.15)+LN(Minerals!$C$5)))),"")</f>
        <v>-0.96601393477664721</v>
      </c>
      <c r="FX63" s="94">
        <f>IF(FR63&lt;&gt;"",LOG(FF63*FM63^2/(EXP(-1*Minerals!$E$2/'Other Constants'!$B$2*(1/(273.15+'ppm-mgL-1'!$D63)-1/298.15)+LN(Minerals!$C$2)))),"")</f>
        <v>-2.8314268246844638</v>
      </c>
      <c r="FY63" s="94">
        <f>IF(FS63&lt;&gt;"",LOG($FF63*$FN63/(EXP(-1*Minerals!$E$3/'Other Constants'!$B$2*(1/(273.15+'ppm-mgL-1'!$D63)-1/298.15)+LN(Minerals!$C$3)))),"")</f>
        <v>-1.3998138233743207</v>
      </c>
      <c r="FZ63" s="95">
        <f>IF(FT63&lt;&gt;"",LOG($FF63*$FN63/(EXP(-1*Minerals!$E$4/'Other Constants'!$B$2*(1/(273.15+'ppm-mgL-1'!$D63)-1/298.15)+LN(Minerals!$C$4)))),"")</f>
        <v>-2.7231396416638374</v>
      </c>
      <c r="GA63" s="96"/>
      <c r="GB63" s="96"/>
      <c r="GC63" s="101">
        <f>10^(-1825000*(79.755*EXP(-0.0046*($D63-20))*($D63+273.15))^-1.5*$EK63^0.5/(1+'Elements and ions'!$D$12*$EK63^0.5/(2*(79.755*EXP(-0.0046*($D63-20))*($D63+273.15))^0.5)))</f>
        <v>0.89293054296498142</v>
      </c>
      <c r="GD63" s="94">
        <f>10^(-1825000*(79.755*EXP(-0.0046*($D63-20))*($D63+273.15))^-1.5*$EK63^0.5/(1+'Elements and ions'!$D$20*$EK63^0.5/(2*(79.755*EXP(-0.0046*($D63-20))*($D63+273.15))^0.5)))</f>
        <v>0.88965496069124839</v>
      </c>
      <c r="GE63" s="94">
        <f>10^(-1825000*(79.755*EXP(-0.0046*($D63-20))*($D63+273.15))^-1.5*4*$EK63^0.5/(1+'Elements and ions'!$D$21*$EK63^0.5/(2*(79.755*EXP(-0.0046*($D63-20))*($D63+273.15))^0.5)))</f>
        <v>0.65298993099479308</v>
      </c>
      <c r="GF63" s="94">
        <f>10^(-1825000*(79.755*EXP(-0.0046*($D63-20))*($D63+273.15))^-1.5*4*$EK63^0.5/(1+'Elements and ions'!$D$13*$EK63^0.5/(2*(79.755*EXP(-0.0046*($D63-20))*($D63+273.15))^0.5)))</f>
        <v>0.6687175148394815</v>
      </c>
      <c r="GG63" s="95">
        <f>10^(-1825000*(79.755*EXP(-0.0046*($D63-20))*($D63+273.15))^-1.5*4*$EK63^0.5/(1+'Elements and ions'!$D$27*$EK63^0.5/(2*(79.755*EXP(-0.0046*($D63-20))*($D63+273.15))^0.5)))</f>
        <v>0.65298993099479308</v>
      </c>
      <c r="GH63" s="101">
        <f>10^(-1825000*(79.755*EXP(-0.0046*($D63-20))*($D63+273.15))^-1.5*$EK63^0.5/(1+'Elements and ions'!$G$3*$EK63^0.5/(2*(79.755*EXP(-0.0046*($D63-20))*($D63+273.15))^0.5)))</f>
        <v>0.88095225600249749</v>
      </c>
      <c r="GI63" s="94">
        <f>10^(-1825000*(79.755*EXP(-0.0046*($D63-20))*($D63+273.15))^-1.5*4*$EK63^0.5/(1+'Elements and ions'!$G$4*$EK63^0.5/(2*(79.755*EXP(-0.0046*($D63-20))*($D63+273.15))^0.5)))</f>
        <v>0.60218700746484566</v>
      </c>
      <c r="GJ63" s="94">
        <f>10^(-1825000*(79.755*EXP(-0.0046*($D63-20))*($D63+273.15))^-1.5*$EK63^0.5/(1+'Elements and ions'!$D$18*$EK63^0.5/(2*(79.755*EXP(-0.0046*($D63-20))*($D63+273.15))^0.5)))</f>
        <v>0.88965496069124839</v>
      </c>
      <c r="GK63" s="94">
        <f>10^(-1825000*(79.755*EXP(-0.0046*($D63-20))*($D63+273.15))^-1.5*$EK63^0.5/(1+'Elements and ions'!$I$7*$EK63^0.5/(2*(79.755*EXP(-0.0046*($D63-20))*($D63+273.15))^0.5)))</f>
        <v>0.88965496069124839</v>
      </c>
      <c r="GL63" s="94">
        <f>10^(-1825000*(79.755*EXP(-0.0046*($D63-20))*($D63+273.15))^-1.5*$EK63^0.5/(1+'Elements and ions'!$D$10*$EK63^0.5/(2*(79.755*EXP(-0.0046*($D63-20))*($D63+273.15))^0.5)))</f>
        <v>0.89131739806390109</v>
      </c>
      <c r="GM63" s="95">
        <f>10^(-1825000*(79.755*EXP(-0.0046*($D63-20))*($D63+273.15))^-1.5*4*$EK63^0.5/(1+'Elements and ions'!$I$5*$EK63^0.5/(2*(79.755*EXP(-0.0046*($D63-20))*($D63+273.15))^0.5)))</f>
        <v>0.6357270831636862</v>
      </c>
      <c r="GN63" s="96"/>
      <c r="GO63" s="101">
        <f t="shared" si="741"/>
        <v>1.2578233619171312E-4</v>
      </c>
      <c r="GP63" s="94">
        <f t="shared" si="742"/>
        <v>2.3468227357339647E-5</v>
      </c>
      <c r="GQ63" s="94">
        <f t="shared" si="743"/>
        <v>1.4177221469208062E-3</v>
      </c>
      <c r="GR63" s="94">
        <f t="shared" si="744"/>
        <v>1.1017491286534555E-4</v>
      </c>
      <c r="GS63" s="95" t="str">
        <f t="shared" si="745"/>
        <v/>
      </c>
      <c r="GT63" s="101">
        <f t="shared" si="746"/>
        <v>3.5498850365340995E-3</v>
      </c>
      <c r="GU63" s="94">
        <f t="shared" si="747"/>
        <v>5.5589567821948927E-6</v>
      </c>
      <c r="GV63" s="94">
        <f t="shared" si="748"/>
        <v>1.4073962775416765E-4</v>
      </c>
      <c r="GW63" s="94">
        <f t="shared" si="749"/>
        <v>2.3331092371859933E-4</v>
      </c>
      <c r="GX63" s="94">
        <f t="shared" si="750"/>
        <v>5.0538095836245127E-6</v>
      </c>
      <c r="GY63" s="102">
        <f t="shared" si="751"/>
        <v>6.4481832083670339E-5</v>
      </c>
      <c r="GZ63" s="199"/>
      <c r="HA63" s="92">
        <f>IF(AND(GQ63&lt;&gt;"",GU63&lt;&gt;""),LOG(GQ63*GU63/Minerals!$C$6),"")</f>
        <v>0.37675642761355793</v>
      </c>
      <c r="HB63" s="94">
        <f>IF(AND(GQ63&lt;&gt;"",GU63&lt;&gt;""),LOG(GQ63*GU63/Minerals!$C$5),"")</f>
        <v>0.24627689825734025</v>
      </c>
      <c r="HC63" s="94">
        <f>IF(AND(GQ63&lt;&gt;"",GX63&lt;&gt;""),LOG(GQ63*GX63^2/Minerals!$C$2),"")</f>
        <v>-2.8712461825438247</v>
      </c>
      <c r="HD63" s="94">
        <f>IF(AND(GQ63&lt;&gt;"",GY63&lt;&gt;""),LOG($GQ63*$GY63/Minerals!$C$3),"")</f>
        <v>-2.4389911430075935</v>
      </c>
      <c r="HE63" s="102">
        <f>IF(AND(GQ63&lt;&gt;"",GY63&lt;&gt;""),LOG($GQ63*$GY63/Minerals!$C$3),"")</f>
        <v>-2.4389911430075935</v>
      </c>
      <c r="HF63" s="199"/>
      <c r="HG63" s="92">
        <f>IF(HA63&lt;&gt;"",LOG(GQ63*GU63/(EXP(-1*Minerals!$E$6/'Other Constants'!$B$2*(1/(273.15+'ppm-mgL-1'!$D63)-1/298.15)+LN(Minerals!$C$6)))),"")</f>
        <v>-0.84496994178176776</v>
      </c>
      <c r="HH63" s="94">
        <f>IF(HA63&lt;&gt;"",LOG(GQ63*GU63/(EXP(-1*Minerals!$E$5/'Other Constants'!$B$2*(1/(273.15+'ppm-mgL-1'!$D63)-1/298.15)+LN(Minerals!$C$5)))),"")</f>
        <v>-0.97555991887010174</v>
      </c>
      <c r="HI63" s="94">
        <f>IF(HC63&lt;&gt;"",LOG(GQ63*GX63^2/(EXP(-1*Minerals!$E$2/'Other Constants'!$B$2*(1/(273.15+'ppm-mgL-1'!$D63)-1/298.15)+LN(Minerals!$C$2)))),"")</f>
        <v>-2.8195934598242625</v>
      </c>
      <c r="HJ63" s="94">
        <f>IF(HD63&lt;&gt;"",LOG($FF63*$FN63/(EXP(-1*Minerals!$E$3/'Other Constants'!$B$2*(1/(273.15+'ppm-mgL-1'!$D63)-1/298.15)+LN(Minerals!$C$3)))),"")</f>
        <v>-1.3998138233743207</v>
      </c>
      <c r="HK63" s="95">
        <f>IF(HE63&lt;&gt;"",LOG($FF63*$FN63/(EXP(-1*Minerals!$E$4/'Other Constants'!$B$2*(1/(273.15+'ppm-mgL-1'!$D63)-1/298.15)+LN(Minerals!$C$4)))),"")</f>
        <v>-2.7231396416638374</v>
      </c>
      <c r="HL63" s="199"/>
      <c r="HM63" s="199"/>
    </row>
    <row r="64" spans="1:221" x14ac:dyDescent="0.25">
      <c r="A64" s="267" t="str">
        <f>'WC samples'!B35</f>
        <v>ISSR 3</v>
      </c>
      <c r="C64" s="266">
        <f>'WC samples'!A35</f>
        <v>41546</v>
      </c>
      <c r="D64" s="4">
        <f>'WC samples'!I35</f>
        <v>21.2</v>
      </c>
      <c r="E64" s="4">
        <f>'WC samples'!F35</f>
        <v>7.88</v>
      </c>
      <c r="AD64" s="83">
        <f>IF(E64&lt;&gt;"",10^(-2*$E64)/(10^(-2*$E64)+10^(-$E64-pKa!$B$2)+(10^(-pKa!$B$2-pKa!$C$2))),"")</f>
        <v>2.5533990029601213E-2</v>
      </c>
      <c r="AE64" s="84">
        <f>IF(E64&lt;&gt;"",10^(-$E64-pKa!$B$2)/(10^(-2*$E64)+10^(-$E64-pKa!$B$2)+10^(-pKa!$B$2-pKa!$C$2)),"")</f>
        <v>0.97077522550093731</v>
      </c>
      <c r="AF64" s="212">
        <f>IF(E64&lt;&gt;"",10^(-pKa!$B$2-pKa!$C$2)/(10^(-2*$E64)+10^(-$E64-pKa!$B$2)+10^(-pKa!$B$2-pKa!$C$2)),"")</f>
        <v>3.6907844694615602E-3</v>
      </c>
      <c r="AG64" s="152"/>
      <c r="AH64" s="222">
        <f>IF($AK64&lt;&gt;"",$AK64/'Elements and ions'!$G$3,IF($E64="","",""))</f>
        <v>3.9661182060559024</v>
      </c>
      <c r="AI64" s="85">
        <f t="shared" si="688"/>
        <v>4.0546847736533734E-3</v>
      </c>
      <c r="AJ64" s="84">
        <f>IF(AI64&lt;&gt;"",AI64*1000*'Elements and ions'!$B$7,"")</f>
        <v>48.699602410918573</v>
      </c>
      <c r="AK64" s="99">
        <f>'WC samples'!H35</f>
        <v>242</v>
      </c>
      <c r="AL64" s="88">
        <f>IF($AK64&lt;&gt;"",$AK64/'Elements and ions'!$G$3*Minerals!$B$6/2,IF($E64="","","Enter Alk(HCO3-)"))</f>
        <v>198.47823813884824</v>
      </c>
      <c r="AM64" s="199"/>
      <c r="AN64" s="101">
        <f t="shared" si="755"/>
        <v>1.0353228058364109E-4</v>
      </c>
      <c r="AO64" s="94">
        <f t="shared" si="756"/>
        <v>3.9361875254785702E-3</v>
      </c>
      <c r="AP64" s="95">
        <f t="shared" si="757"/>
        <v>1.4964967591162132E-5</v>
      </c>
      <c r="AQ64" s="199"/>
      <c r="AR64" s="199"/>
      <c r="AS64" s="83">
        <f t="shared" si="66"/>
        <v>0.30450670759894438</v>
      </c>
      <c r="AT64" s="83">
        <f>IF(AN64&lt;&gt;"",AN64/'Henrys law constants'!$B$7*1000000,"")</f>
        <v>3045.0670759894438</v>
      </c>
      <c r="AU64" s="268">
        <f>'WC samples'!K35</f>
        <v>3.194</v>
      </c>
      <c r="AV64" s="269">
        <f>'WC samples'!M35</f>
        <v>1.0927</v>
      </c>
      <c r="AW64" s="269">
        <f>'WC samples'!O35</f>
        <v>82.925700000000006</v>
      </c>
      <c r="AX64" s="269">
        <f>'WC samples'!N35</f>
        <v>4.4481999999999999</v>
      </c>
      <c r="AY64" s="226">
        <f>AO64*'Elements and ions'!$G$3*1000</f>
        <v>240.1737244521218</v>
      </c>
      <c r="AZ64" s="269">
        <f>'WC samples'!Q35</f>
        <v>5.4722999999999997</v>
      </c>
      <c r="BA64" s="269">
        <f>'WC samples'!T35</f>
        <v>16.633099999999999</v>
      </c>
      <c r="BB64" s="270">
        <f>'WC samples'!V35</f>
        <v>9.4178999999999995</v>
      </c>
      <c r="BC64" s="222">
        <f>IF($E64&lt;&gt;"",10^-$E64*'Elements and ions'!B65*1000,"")</f>
        <v>0</v>
      </c>
      <c r="BE64" s="6"/>
      <c r="BF64" s="6"/>
      <c r="BG64" s="270">
        <f>'WC samples'!L35</f>
        <v>0</v>
      </c>
      <c r="BH64" s="3"/>
      <c r="BJ64" s="92">
        <f>IF($AN64&lt;&gt;"",$AN64*'Elements and ions'!$G$2*1000,"")</f>
        <v>6.4215669260986097</v>
      </c>
      <c r="BK64" s="229"/>
      <c r="BL64" s="230"/>
      <c r="BM64" s="101">
        <f>IF($E64&lt;&gt;"",(10^-14+$E64)*'Elements and ions'!$G$8,"")</f>
        <v>134.01783920000017</v>
      </c>
      <c r="BO64" s="102">
        <f>IF($AP64&lt;&gt;"",$AP64*'Elements and ions'!$G$4*1000,"")</f>
        <v>0.89803124368128917</v>
      </c>
      <c r="BP64" s="269">
        <f>'WC samples'!P35</f>
        <v>0.1032</v>
      </c>
      <c r="BQ64" s="270">
        <f>'WC samples'!R35</f>
        <v>0</v>
      </c>
      <c r="BR64" s="195"/>
      <c r="BS64" s="238">
        <f>IF($AU64&lt;&gt;"",$AU64/'Elements and ions'!$B$12,"")</f>
        <v>0.13893136382097698</v>
      </c>
      <c r="BT64" s="239">
        <f>IF($AV64&lt;&gt;"",$AV64/'Elements and ions'!$B$20,"")</f>
        <v>2.7947506669087914E-2</v>
      </c>
      <c r="BU64" s="239">
        <f>IF($AW64&lt;&gt;"",$AW64/'Elements and ions'!$B$21, "")</f>
        <v>2.0691077399071811</v>
      </c>
      <c r="BV64" s="240">
        <f>IF($AX64&lt;&gt;"",$AX64/'Elements and ions'!$B$13, "")</f>
        <v>0.18301584036206542</v>
      </c>
      <c r="BW64" s="238">
        <f>IF($AY64&lt;&gt;"",$AY64/'Elements and ions'!$G$3,"")</f>
        <v>3.9361875254785699</v>
      </c>
      <c r="BX64" s="239">
        <f>IF($AZ64&lt;&gt;"",$AZ64/'Elements and ions'!$B$18,"")</f>
        <v>0.15435365131300594</v>
      </c>
      <c r="BY64" s="239">
        <f>IF($BA64&lt;&gt;"",$BA64/'Elements and ions'!$G$7,"")</f>
        <v>0.26825460568438947</v>
      </c>
      <c r="BZ64" s="241">
        <f>IF($BB64&lt;&gt;"",$BB64/'Elements and ions'!$G$5,"")</f>
        <v>9.8039195274747915E-2</v>
      </c>
      <c r="CA64" s="91">
        <f t="shared" si="67"/>
        <v>1.3182567385564032E-5</v>
      </c>
      <c r="CB64" s="163" t="str">
        <f>IF($BD64&lt;&gt;"",$BD64/'Elements and ions'!$B$14,"")</f>
        <v/>
      </c>
      <c r="CC64" s="89" t="str">
        <f>IF($BE64&lt;&gt;"",$BE64/'Elements and ions'!$B$27, "")</f>
        <v/>
      </c>
      <c r="CD64" s="249" t="str">
        <f>IF($BF64&lt;&gt;"",$BF64/'Elements and ions'!$B$26,"")</f>
        <v/>
      </c>
      <c r="CE64" s="250">
        <f>IF($BG64&lt;&gt;"",$BG64/'Elements and ions'!$G$6,"")</f>
        <v>0</v>
      </c>
      <c r="CF64" s="91" t="str">
        <f>IF($BH64&lt;&gt;"",$BH64/'Elements and ions'!$G$15,"")</f>
        <v/>
      </c>
      <c r="CG64" s="89" t="str">
        <f>IF($BI64&lt;&gt;"",$BI64/'Elements and ions'!$G$16,"")</f>
        <v/>
      </c>
      <c r="CH64" s="90">
        <f>IF($BJ64&lt;&gt;"",$BJ64/'Elements and ions'!$G$2,"")</f>
        <v>0.1035322805836411</v>
      </c>
      <c r="CI64" s="91" t="str">
        <f>IF($BK64&lt;&gt;"",$BK64/'Elements and ions'!$B$15, "")</f>
        <v/>
      </c>
      <c r="CJ64" s="88" t="str">
        <f>IF($BL64&lt;&gt;"", $BL64/'Elements and ions'!$G$17,"")</f>
        <v/>
      </c>
      <c r="CK64" s="89">
        <f t="shared" si="68"/>
        <v>7.5857757502918234E-4</v>
      </c>
      <c r="CL64" s="163" t="str">
        <f>IF($BN64&lt;&gt;"", $BN64/'Elements and ions'!$G$19,"")</f>
        <v/>
      </c>
      <c r="CM64" s="89">
        <f>IF($BO64&lt;&gt;"",$BO64/'Elements and ions'!$G$4,"")</f>
        <v>1.4964967591162131E-2</v>
      </c>
      <c r="CN64" s="89">
        <f>IF($BP64&lt;&gt;"",$BP64/'Elements and ions'!$B$10,"")</f>
        <v>5.4320354670649379E-3</v>
      </c>
      <c r="CO64" s="104">
        <f>IF($BQ64&lt;&gt;"",$BQ64/'Elements and ions'!$G$18,"")</f>
        <v>0</v>
      </c>
      <c r="CP64" s="242"/>
      <c r="CQ64" s="238">
        <f t="shared" si="689"/>
        <v>1.38931363820977E-4</v>
      </c>
      <c r="CR64" s="239">
        <f t="shared" si="690"/>
        <v>2.7947506669087913E-5</v>
      </c>
      <c r="CS64" s="239">
        <f t="shared" si="691"/>
        <v>2.0691077399071812E-3</v>
      </c>
      <c r="CT64" s="241">
        <f t="shared" si="692"/>
        <v>1.8301584036206541E-4</v>
      </c>
      <c r="CU64" s="238">
        <f t="shared" si="693"/>
        <v>3.9361875254785702E-3</v>
      </c>
      <c r="CV64" s="239">
        <f t="shared" si="694"/>
        <v>1.5435365131300595E-4</v>
      </c>
      <c r="CW64" s="239">
        <f t="shared" si="695"/>
        <v>2.6825460568438947E-4</v>
      </c>
      <c r="CX64" s="241">
        <f t="shared" si="696"/>
        <v>9.8039195274747911E-5</v>
      </c>
      <c r="CY64" s="258">
        <f t="shared" si="98"/>
        <v>1.3182567385564031E-8</v>
      </c>
      <c r="CZ64" s="259" t="str">
        <f t="shared" si="697"/>
        <v/>
      </c>
      <c r="DA64" s="260" t="str">
        <f t="shared" si="698"/>
        <v/>
      </c>
      <c r="DB64" s="261" t="str">
        <f t="shared" si="699"/>
        <v/>
      </c>
      <c r="DC64" s="262">
        <f t="shared" si="700"/>
        <v>0</v>
      </c>
      <c r="DD64" s="263" t="str">
        <f t="shared" si="701"/>
        <v/>
      </c>
      <c r="DE64" s="259" t="str">
        <f t="shared" si="702"/>
        <v/>
      </c>
      <c r="DF64" s="260">
        <f t="shared" si="703"/>
        <v>1.035322805836411E-4</v>
      </c>
      <c r="DG64" s="260" t="str">
        <f t="shared" si="704"/>
        <v/>
      </c>
      <c r="DH64" s="264" t="str">
        <f t="shared" si="705"/>
        <v/>
      </c>
      <c r="DI64" s="258">
        <f t="shared" si="108"/>
        <v>7.585775750291823E-7</v>
      </c>
      <c r="DJ64" s="260" t="str">
        <f t="shared" si="706"/>
        <v/>
      </c>
      <c r="DK64" s="260">
        <f t="shared" si="707"/>
        <v>1.496496759116213E-5</v>
      </c>
      <c r="DL64" s="260">
        <f t="shared" si="708"/>
        <v>5.4320354670649376E-6</v>
      </c>
      <c r="DM64" s="265">
        <f t="shared" si="709"/>
        <v>0</v>
      </c>
      <c r="DN64" s="242"/>
      <c r="DO64" s="238">
        <f t="shared" si="710"/>
        <v>0.13893136382097698</v>
      </c>
      <c r="DP64" s="239">
        <f t="shared" si="711"/>
        <v>2.7947506669087914E-2</v>
      </c>
      <c r="DQ64" s="239">
        <f t="shared" si="712"/>
        <v>4.1382154798143622</v>
      </c>
      <c r="DR64" s="241">
        <f t="shared" si="713"/>
        <v>0.36603168072413084</v>
      </c>
      <c r="DS64" s="238">
        <f t="shared" si="714"/>
        <v>-3.9361875254785699</v>
      </c>
      <c r="DT64" s="239">
        <f t="shared" si="715"/>
        <v>-0.15435365131300594</v>
      </c>
      <c r="DU64" s="239">
        <f t="shared" si="716"/>
        <v>-0.26825460568438947</v>
      </c>
      <c r="DV64" s="241">
        <f t="shared" si="717"/>
        <v>-0.19607839054949583</v>
      </c>
      <c r="DW64" s="91">
        <f t="shared" si="113"/>
        <v>1.3182567385564032E-5</v>
      </c>
      <c r="DX64" s="89">
        <f t="shared" si="718"/>
        <v>0</v>
      </c>
      <c r="DY64" s="89">
        <f t="shared" si="719"/>
        <v>0</v>
      </c>
      <c r="DZ64" s="89">
        <f t="shared" si="720"/>
        <v>0</v>
      </c>
      <c r="EA64" s="90">
        <f t="shared" si="721"/>
        <v>0</v>
      </c>
      <c r="EB64" s="91">
        <f t="shared" si="118"/>
        <v>-7.5857757502918234E-4</v>
      </c>
      <c r="EC64" s="89">
        <f t="shared" si="722"/>
        <v>0</v>
      </c>
      <c r="ED64" s="89">
        <f t="shared" si="723"/>
        <v>-2.9929935182324261E-2</v>
      </c>
      <c r="EE64" s="89">
        <f t="shared" si="724"/>
        <v>-5.4320354670649379E-3</v>
      </c>
      <c r="EF64" s="90">
        <f t="shared" si="725"/>
        <v>0</v>
      </c>
      <c r="EG64" s="242"/>
      <c r="EH64" s="245">
        <f t="shared" si="726"/>
        <v>4.6711392135959429</v>
      </c>
      <c r="EI64" s="246">
        <f t="shared" si="727"/>
        <v>-4.5909947212498796</v>
      </c>
      <c r="EJ64" s="198">
        <f t="shared" si="728"/>
        <v>0.86529187452737188</v>
      </c>
      <c r="EK64" s="198">
        <f t="shared" si="729"/>
        <v>1.1666204446392527E-2</v>
      </c>
      <c r="EL64" s="101">
        <f>IF(AND(CS64&lt;&gt;"",DK64&lt;&gt;""),LOG(CS64*DK64/Minerals!$C$6),"")</f>
        <v>0.97103089214908933</v>
      </c>
      <c r="EM64" s="94">
        <f>IF(AND(CS64&lt;&gt;"",DK64&lt;&gt;""),LOG(CS64*DK64/Minerals!$C$5),"")</f>
        <v>0.84055136279287157</v>
      </c>
      <c r="EN64" s="94">
        <f>IF(AND(CS64&lt;&gt;"",DL64&lt;&gt;""),LOG(CS64*DL64^2/Minerals!$C$2),"")</f>
        <v>-2.6443667564863169</v>
      </c>
      <c r="EO64" s="94">
        <f>IF(AND(CS64&lt;&gt;"",CX64&lt;&gt;""),LOG($CS64*$CX64/Minerals!$C$3),"")</f>
        <v>-2.0928367919700004</v>
      </c>
      <c r="EP64" s="95">
        <f>IF(AND(CS64&lt;&gt;"",CX64&lt;&gt;""),LOG($CS64*$CX64/Minerals!$C$4),"")</f>
        <v>-2.3328213034359027</v>
      </c>
      <c r="EQ64" s="199"/>
      <c r="ER64" s="101">
        <f t="shared" si="752"/>
        <v>0.89383916810237651</v>
      </c>
      <c r="ES64" s="94">
        <f t="shared" si="752"/>
        <v>0.89383916810237651</v>
      </c>
      <c r="ET64" s="94">
        <f t="shared" si="753"/>
        <v>0.6383186392339828</v>
      </c>
      <c r="EU64" s="94">
        <f t="shared" si="753"/>
        <v>0.6383186392339828</v>
      </c>
      <c r="EV64" s="95">
        <f t="shared" si="753"/>
        <v>0.6383186392339828</v>
      </c>
      <c r="EW64" s="101">
        <f t="shared" si="754"/>
        <v>0.89383916810237651</v>
      </c>
      <c r="EX64" s="94">
        <f t="shared" si="31"/>
        <v>0.6383186392339828</v>
      </c>
      <c r="EY64" s="94">
        <f t="shared" si="754"/>
        <v>0.89383916810237651</v>
      </c>
      <c r="EZ64" s="94">
        <f t="shared" si="754"/>
        <v>0.89383916810237651</v>
      </c>
      <c r="FA64" s="94">
        <f t="shared" si="165"/>
        <v>0.89383916810237651</v>
      </c>
      <c r="FB64" s="95">
        <f t="shared" si="32"/>
        <v>0.6383186392339828</v>
      </c>
      <c r="FC64" s="199"/>
      <c r="FD64" s="101">
        <f t="shared" si="730"/>
        <v>1.2418229466107069E-4</v>
      </c>
      <c r="FE64" s="94">
        <f t="shared" si="731"/>
        <v>2.4980576111633159E-5</v>
      </c>
      <c r="FF64" s="94">
        <f t="shared" si="732"/>
        <v>1.3207500369660536E-3</v>
      </c>
      <c r="FG64" s="94">
        <f t="shared" si="733"/>
        <v>1.1682242217817741E-4</v>
      </c>
      <c r="FH64" s="95" t="str">
        <f t="shared" si="734"/>
        <v/>
      </c>
      <c r="FI64" s="101">
        <f t="shared" si="735"/>
        <v>3.5183185832687171E-3</v>
      </c>
      <c r="FJ64" s="94">
        <f t="shared" si="736"/>
        <v>9.5524177489712637E-6</v>
      </c>
      <c r="FK64" s="94">
        <f t="shared" si="737"/>
        <v>1.3796733928318154E-4</v>
      </c>
      <c r="FL64" s="94">
        <f t="shared" si="738"/>
        <v>2.3977647358456572E-4</v>
      </c>
      <c r="FM64" s="94">
        <f t="shared" si="739"/>
        <v>4.8553660629839279E-6</v>
      </c>
      <c r="FN64" s="95">
        <f t="shared" si="740"/>
        <v>6.2580245719371798E-5</v>
      </c>
      <c r="FO64" s="199"/>
      <c r="FP64" s="101">
        <f>IF(EL64&lt;&gt;"",LOG(FF64*FJ64/Minerals!$C$6),"")</f>
        <v>0.58110594462542109</v>
      </c>
      <c r="FQ64" s="94">
        <f>IF(EL64&lt;&gt;"",LOG(FF64*FJ64/Minerals!$C$5),"")</f>
        <v>0.45062641526920338</v>
      </c>
      <c r="FR64" s="94">
        <f>IF(EN64&lt;&gt;"",LOG(FF64*FM64^2/Minerals!$C$2),"")</f>
        <v>-2.9368104671290682</v>
      </c>
      <c r="FS64" s="94">
        <f>IF(EO64&lt;&gt;"",LOG($FF64*$FN64/Minerals!$C$3),"")</f>
        <v>-2.4827617394936685</v>
      </c>
      <c r="FT64" s="95">
        <f>IF(EP64&lt;&gt;"",LOG($FF64*$FN64/Minerals!$C$4),"")</f>
        <v>-2.7227462509595708</v>
      </c>
      <c r="FU64" s="96"/>
      <c r="FV64" s="101">
        <f>IF(FP64&lt;&gt;"",LOG(FF64*FJ64/(EXP(-1*Minerals!$E$6/'Other Constants'!$B$2*(1/(273.15+'ppm-mgL-1'!$D64)-1/298.15)+LN(Minerals!$C$6)))),"")</f>
        <v>-0.92005559567643536</v>
      </c>
      <c r="FW64" s="94">
        <f>IF(FP64&lt;&gt;"",LOG(FF64*FJ64/(EXP(-1*Minerals!$E$5/'Other Constants'!$B$2*(1/(273.15+'ppm-mgL-1'!$D64)-1/298.15)+LN(Minerals!$C$5)))),"")</f>
        <v>-1.0506708345432438</v>
      </c>
      <c r="FX64" s="94">
        <f>IF(FR64&lt;&gt;"",LOG(FF64*FM64^2/(EXP(-1*Minerals!$E$2/'Other Constants'!$B$2*(1/(273.15+'ppm-mgL-1'!$D64)-1/298.15)+LN(Minerals!$C$2)))),"")</f>
        <v>-2.8733436526762883</v>
      </c>
      <c r="FY64" s="94">
        <f>IF(FS64&lt;&gt;"",LOG($FF64*$FN64/(EXP(-1*Minerals!$E$3/'Other Constants'!$B$2*(1/(273.15+'ppm-mgL-1'!$D64)-1/298.15)+LN(Minerals!$C$3)))),"")</f>
        <v>-1.1887082249092145</v>
      </c>
      <c r="FZ64" s="95">
        <f>IF(FT64&lt;&gt;"",LOG($FF64*$FN64/(EXP(-1*Minerals!$E$4/'Other Constants'!$B$2*(1/(273.15+'ppm-mgL-1'!$D64)-1/298.15)+LN(Minerals!$C$4)))),"")</f>
        <v>-2.7598175656025159</v>
      </c>
      <c r="GA64" s="96"/>
      <c r="GB64" s="96"/>
      <c r="GC64" s="101">
        <f>10^(-1825000*(79.755*EXP(-0.0046*($D64-20))*($D64+273.15))^-1.5*$EK64^0.5/(1+'Elements and ions'!$D$12*$EK64^0.5/(2*(79.755*EXP(-0.0046*($D64-20))*($D64+273.15))^0.5)))</f>
        <v>0.89451391190820662</v>
      </c>
      <c r="GD64" s="94">
        <f>10^(-1825000*(79.755*EXP(-0.0046*($D64-20))*($D64+273.15))^-1.5*$EK64^0.5/(1+'Elements and ions'!$D$20*$EK64^0.5/(2*(79.755*EXP(-0.0046*($D64-20))*($D64+273.15))^0.5)))</f>
        <v>0.89133305080647396</v>
      </c>
      <c r="GE64" s="94">
        <f>10^(-1825000*(79.755*EXP(-0.0046*($D64-20))*($D64+273.15))^-1.5*4*$EK64^0.5/(1+'Elements and ions'!$D$21*$EK64^0.5/(2*(79.755*EXP(-0.0046*($D64-20))*($D64+273.15))^0.5)))</f>
        <v>0.65711649992383769</v>
      </c>
      <c r="GF64" s="94">
        <f>10^(-1825000*(79.755*EXP(-0.0046*($D64-20))*($D64+273.15))^-1.5*4*$EK64^0.5/(1+'Elements and ions'!$D$13*$EK64^0.5/(2*(79.755*EXP(-0.0046*($D64-20))*($D64+273.15))^0.5)))</f>
        <v>0.6724989163263978</v>
      </c>
      <c r="GG64" s="95">
        <f>10^(-1825000*(79.755*EXP(-0.0046*($D64-20))*($D64+273.15))^-1.5*4*$EK64^0.5/(1+'Elements and ions'!$D$27*$EK64^0.5/(2*(79.755*EXP(-0.0046*($D64-20))*($D64+273.15))^0.5)))</f>
        <v>0.65711649992383769</v>
      </c>
      <c r="GH64" s="101">
        <f>10^(-1825000*(79.755*EXP(-0.0046*($D64-20))*($D64+273.15))^-1.5*$EK64^0.5/(1+'Elements and ions'!$G$3*$EK64^0.5/(2*(79.755*EXP(-0.0046*($D64-20))*($D64+273.15))^0.5)))</f>
        <v>0.88289509000520849</v>
      </c>
      <c r="GI64" s="94">
        <f>10^(-1825000*(79.755*EXP(-0.0046*($D64-20))*($D64+273.15))^-1.5*4*$EK64^0.5/(1+'Elements and ions'!$G$4*$EK64^0.5/(2*(79.755*EXP(-0.0046*($D64-20))*($D64+273.15))^0.5)))</f>
        <v>0.60752048625332444</v>
      </c>
      <c r="GJ64" s="94">
        <f>10^(-1825000*(79.755*EXP(-0.0046*($D64-20))*($D64+273.15))^-1.5*$EK64^0.5/(1+'Elements and ions'!$D$18*$EK64^0.5/(2*(79.755*EXP(-0.0046*($D64-20))*($D64+273.15))^0.5)))</f>
        <v>0.89133305080647396</v>
      </c>
      <c r="GK64" s="94">
        <f>10^(-1825000*(79.755*EXP(-0.0046*($D64-20))*($D64+273.15))^-1.5*$EK64^0.5/(1+'Elements and ions'!$I$7*$EK64^0.5/(2*(79.755*EXP(-0.0046*($D64-20))*($D64+273.15))^0.5)))</f>
        <v>0.89133305080647396</v>
      </c>
      <c r="GL64" s="94">
        <f>10^(-1825000*(79.755*EXP(-0.0046*($D64-20))*($D64+273.15))^-1.5*$EK64^0.5/(1+'Elements and ions'!$D$10*$EK64^0.5/(2*(79.755*EXP(-0.0046*($D64-20))*($D64+273.15))^0.5)))</f>
        <v>0.89294707764649917</v>
      </c>
      <c r="GM64" s="95">
        <f>10^(-1825000*(79.755*EXP(-0.0046*($D64-20))*($D64+273.15))^-1.5*4*$EK64^0.5/(1+'Elements and ions'!$I$5*$EK64^0.5/(2*(79.755*EXP(-0.0046*($D64-20))*($D64+273.15))^0.5)))</f>
        <v>0.64024824582370099</v>
      </c>
      <c r="GN64" s="96"/>
      <c r="GO64" s="101">
        <f t="shared" si="741"/>
        <v>1.2427603773824443E-4</v>
      </c>
      <c r="GP64" s="94">
        <f t="shared" si="742"/>
        <v>2.4910536381792406E-5</v>
      </c>
      <c r="GQ64" s="94">
        <f t="shared" si="743"/>
        <v>1.3596448360131293E-3</v>
      </c>
      <c r="GR64" s="94">
        <f t="shared" si="744"/>
        <v>1.23077954314054E-4</v>
      </c>
      <c r="GS64" s="95" t="str">
        <f t="shared" si="745"/>
        <v/>
      </c>
      <c r="GT64" s="101">
        <f t="shared" si="746"/>
        <v>3.4752406395847811E-3</v>
      </c>
      <c r="GU64" s="94">
        <f t="shared" si="747"/>
        <v>9.0915243877480594E-6</v>
      </c>
      <c r="GV64" s="94">
        <f t="shared" si="748"/>
        <v>1.375805109279403E-4</v>
      </c>
      <c r="GW64" s="94">
        <f t="shared" si="749"/>
        <v>2.3910419607755455E-4</v>
      </c>
      <c r="GX64" s="94">
        <f t="shared" si="750"/>
        <v>4.8505201959877726E-6</v>
      </c>
      <c r="GY64" s="102">
        <f t="shared" si="751"/>
        <v>6.2769422796624623E-5</v>
      </c>
      <c r="GZ64" s="199"/>
      <c r="HA64" s="92">
        <f>IF(AND(GQ64&lt;&gt;"",GU64&lt;&gt;""),LOG(GQ64*GU64/Minerals!$C$6),"")</f>
        <v>0.57223419183235968</v>
      </c>
      <c r="HB64" s="94">
        <f>IF(AND(GQ64&lt;&gt;"",GU64&lt;&gt;""),LOG(GQ64*GU64/Minerals!$C$5),"")</f>
        <v>0.44175466247614198</v>
      </c>
      <c r="HC64" s="94">
        <f>IF(AND(GQ64&lt;&gt;"",GX64&lt;&gt;""),LOG(GQ64*GX64^2/Minerals!$C$2),"")</f>
        <v>-2.925072943620898</v>
      </c>
      <c r="HD64" s="94">
        <f>IF(AND(GQ64&lt;&gt;"",GY64&lt;&gt;""),LOG($GQ64*$GY64/Minerals!$C$3),"")</f>
        <v>-2.4688460224418622</v>
      </c>
      <c r="HE64" s="102">
        <f>IF(AND(GQ64&lt;&gt;"",GY64&lt;&gt;""),LOG($GQ64*$GY64/Minerals!$C$3),"")</f>
        <v>-2.4688460224418622</v>
      </c>
      <c r="HF64" s="199"/>
      <c r="HG64" s="92">
        <f>IF(HA64&lt;&gt;"",LOG(GQ64*GU64/(EXP(-1*Minerals!$E$6/'Other Constants'!$B$2*(1/(273.15+'ppm-mgL-1'!$D64)-1/298.15)+LN(Minerals!$C$6)))),"")</f>
        <v>-0.92892734846949676</v>
      </c>
      <c r="HH64" s="94">
        <f>IF(HA64&lt;&gt;"",LOG(GQ64*GU64/(EXP(-1*Minerals!$E$5/'Other Constants'!$B$2*(1/(273.15+'ppm-mgL-1'!$D64)-1/298.15)+LN(Minerals!$C$5)))),"")</f>
        <v>-1.0595425873363054</v>
      </c>
      <c r="HI64" s="94">
        <f>IF(HC64&lt;&gt;"",LOG(GQ64*GX64^2/(EXP(-1*Minerals!$E$2/'Other Constants'!$B$2*(1/(273.15+'ppm-mgL-1'!$D64)-1/298.15)+LN(Minerals!$C$2)))),"")</f>
        <v>-2.8616061291681181</v>
      </c>
      <c r="HJ64" s="94">
        <f>IF(HD64&lt;&gt;"",LOG($FF64*$FN64/(EXP(-1*Minerals!$E$3/'Other Constants'!$B$2*(1/(273.15+'ppm-mgL-1'!$D64)-1/298.15)+LN(Minerals!$C$3)))),"")</f>
        <v>-1.1887082249092145</v>
      </c>
      <c r="HK64" s="95">
        <f>IF(HE64&lt;&gt;"",LOG($FF64*$FN64/(EXP(-1*Minerals!$E$4/'Other Constants'!$B$2*(1/(273.15+'ppm-mgL-1'!$D64)-1/298.15)+LN(Minerals!$C$4)))),"")</f>
        <v>-2.7598175656025159</v>
      </c>
      <c r="HL64" s="199"/>
      <c r="HM64" s="199"/>
    </row>
    <row r="65" spans="1:221" x14ac:dyDescent="0.25">
      <c r="A65" s="267" t="str">
        <f>'WC samples'!B36</f>
        <v>ISSR 3</v>
      </c>
      <c r="C65" s="266">
        <f>'WC samples'!A36</f>
        <v>41566</v>
      </c>
      <c r="D65" s="4">
        <f>'WC samples'!I36</f>
        <v>21.6</v>
      </c>
      <c r="E65" s="4">
        <f>'WC samples'!F36</f>
        <v>8.17</v>
      </c>
      <c r="AD65" s="83">
        <f>IF(E65&lt;&gt;"",10^(-2*$E65)/(10^(-2*$E65)+10^(-$E65-pKa!$B$2)+(10^(-pKa!$B$2-pKa!$C$2))),"")</f>
        <v>1.3213432007911393E-2</v>
      </c>
      <c r="AE65" s="84">
        <f>IF(E65&lt;&gt;"",10^(-$E65-pKa!$B$2)/(10^(-2*$E65)+10^(-$E65-pKa!$B$2)+10^(-pKa!$B$2-pKa!$C$2)),"")</f>
        <v>0.9795252470198027</v>
      </c>
      <c r="AF65" s="212">
        <f>IF(E65&lt;&gt;"",10^(-pKa!$B$2-pKa!$C$2)/(10^(-2*$E65)+10^(-$E65-pKa!$B$2)+10^(-pKa!$B$2-pKa!$C$2)),"")</f>
        <v>7.2613209722859002E-3</v>
      </c>
      <c r="AG65" s="152"/>
      <c r="AH65" s="222">
        <f>IF($AK65&lt;&gt;"",$AK65/'Elements and ions'!$G$3,IF($E65="","",""))</f>
        <v>4.3102854883995967</v>
      </c>
      <c r="AI65" s="85">
        <f t="shared" si="688"/>
        <v>4.3360929225880734E-3</v>
      </c>
      <c r="AJ65" s="84">
        <f>IF(AI65&lt;&gt;"",AI65*1000*'Elements and ions'!$B$7,"")</f>
        <v>52.07951126532857</v>
      </c>
      <c r="AK65" s="99">
        <f>'WC samples'!H36</f>
        <v>263</v>
      </c>
      <c r="AL65" s="88">
        <f>IF($AK65&lt;&gt;"",$AK65/'Elements and ions'!$G$3*Minerals!$B$6/2,IF($E65="","","Enter Alk(HCO3-)"))</f>
        <v>215.70155632445079</v>
      </c>
      <c r="AM65" s="199"/>
      <c r="AN65" s="101">
        <f t="shared" si="755"/>
        <v>5.7294669012603302E-5</v>
      </c>
      <c r="AO65" s="94">
        <f t="shared" si="756"/>
        <v>4.2473124910989007E-3</v>
      </c>
      <c r="AP65" s="95">
        <f t="shared" si="757"/>
        <v>3.1485762476569243E-5</v>
      </c>
      <c r="AQ65" s="199"/>
      <c r="AR65" s="199"/>
      <c r="AS65" s="83">
        <f t="shared" si="66"/>
        <v>0.16851373239000969</v>
      </c>
      <c r="AT65" s="83">
        <f>IF(AN65&lt;&gt;"",AN65/'Henrys law constants'!$B$7*1000000,"")</f>
        <v>1685.137323900097</v>
      </c>
      <c r="AU65" s="268">
        <f>'WC samples'!K36</f>
        <v>3.2928000000000002</v>
      </c>
      <c r="AV65" s="269">
        <f>'WC samples'!M36</f>
        <v>1.1343000000000001</v>
      </c>
      <c r="AW65" s="269">
        <f>'WC samples'!O36</f>
        <v>70.5398</v>
      </c>
      <c r="AX65" s="269">
        <f>'WC samples'!N36</f>
        <v>3.9565999999999999</v>
      </c>
      <c r="AY65" s="226">
        <f>AO65*'Elements and ions'!$G$3*1000</f>
        <v>259.15758669938305</v>
      </c>
      <c r="AZ65" s="269">
        <f>'WC samples'!Q36</f>
        <v>4.7115999999999998</v>
      </c>
      <c r="BA65" s="269">
        <f>'WC samples'!T36</f>
        <v>15.1395</v>
      </c>
      <c r="BB65" s="270">
        <f>'WC samples'!V36</f>
        <v>8.6590000000000007</v>
      </c>
      <c r="BC65" s="222">
        <f>IF($E65&lt;&gt;"",10^-$E65*'Elements and ions'!B66*1000,"")</f>
        <v>0</v>
      </c>
      <c r="BE65" s="6"/>
      <c r="BF65" s="6"/>
      <c r="BG65" s="270">
        <f>'WC samples'!L36</f>
        <v>0</v>
      </c>
      <c r="BH65" s="3"/>
      <c r="BJ65" s="92">
        <f>IF($AN65&lt;&gt;"",$AN65*'Elements and ions'!$G$2*1000,"")</f>
        <v>3.5536892406795366</v>
      </c>
      <c r="BK65" s="229"/>
      <c r="BL65" s="230"/>
      <c r="BM65" s="101">
        <f>IF($E65&lt;&gt;"",(10^-14+$E65)*'Elements and ions'!$G$8,"")</f>
        <v>138.94996780000017</v>
      </c>
      <c r="BO65" s="102">
        <f>IF($AP65&lt;&gt;"",$AP65*'Elements and ions'!$G$4*1000,"")</f>
        <v>1.889425971880196</v>
      </c>
      <c r="BP65" s="269">
        <f>'WC samples'!P36</f>
        <v>0.114</v>
      </c>
      <c r="BQ65" s="270">
        <f>'WC samples'!R36</f>
        <v>0</v>
      </c>
      <c r="BR65" s="195"/>
      <c r="BS65" s="238">
        <f>IF($AU65&lt;&gt;"",$AU65/'Elements and ions'!$B$12,"")</f>
        <v>0.14322892761105604</v>
      </c>
      <c r="BT65" s="239">
        <f>IF($AV65&lt;&gt;"",$AV65/'Elements and ions'!$B$20,"")</f>
        <v>2.9011491548225882E-2</v>
      </c>
      <c r="BU65" s="239">
        <f>IF($AW65&lt;&gt;"",$AW65/'Elements and ions'!$B$21, "")</f>
        <v>1.7600628773890912</v>
      </c>
      <c r="BV65" s="240">
        <f>IF($AX65&lt;&gt;"",$AX65/'Elements and ions'!$B$13, "")</f>
        <v>0.16278954947541657</v>
      </c>
      <c r="BW65" s="238">
        <f>IF($AY65&lt;&gt;"",$AY65/'Elements and ions'!$G$3,"")</f>
        <v>4.2473124910989011</v>
      </c>
      <c r="BX65" s="239">
        <f>IF($AZ65&lt;&gt;"",$AZ65/'Elements and ions'!$B$18,"")</f>
        <v>0.13289707500070513</v>
      </c>
      <c r="BY65" s="239">
        <f>IF($BA65&lt;&gt;"",$BA65/'Elements and ions'!$G$7,"")</f>
        <v>0.24416618686587674</v>
      </c>
      <c r="BZ65" s="241">
        <f>IF($BB65&lt;&gt;"",$BB65/'Elements and ions'!$G$5,"")</f>
        <v>9.0139138436810998E-2</v>
      </c>
      <c r="CA65" s="91">
        <f t="shared" si="67"/>
        <v>6.7608297539198163E-6</v>
      </c>
      <c r="CB65" s="163" t="str">
        <f>IF($BD65&lt;&gt;"",$BD65/'Elements and ions'!$B$14,"")</f>
        <v/>
      </c>
      <c r="CC65" s="89" t="str">
        <f>IF($BE65&lt;&gt;"",$BE65/'Elements and ions'!$B$27, "")</f>
        <v/>
      </c>
      <c r="CD65" s="249" t="str">
        <f>IF($BF65&lt;&gt;"",$BF65/'Elements and ions'!$B$26,"")</f>
        <v/>
      </c>
      <c r="CE65" s="250">
        <f>IF($BG65&lt;&gt;"",$BG65/'Elements and ions'!$G$6,"")</f>
        <v>0</v>
      </c>
      <c r="CF65" s="91" t="str">
        <f>IF($BH65&lt;&gt;"",$BH65/'Elements and ions'!$G$15,"")</f>
        <v/>
      </c>
      <c r="CG65" s="89" t="str">
        <f>IF($BI65&lt;&gt;"",$BI65/'Elements and ions'!$G$16,"")</f>
        <v/>
      </c>
      <c r="CH65" s="90">
        <f>IF($BJ65&lt;&gt;"",$BJ65/'Elements and ions'!$G$2,"")</f>
        <v>5.72946690126033E-2</v>
      </c>
      <c r="CI65" s="91" t="str">
        <f>IF($BK65&lt;&gt;"",$BK65/'Elements and ions'!$B$15, "")</f>
        <v/>
      </c>
      <c r="CJ65" s="88" t="str">
        <f>IF($BL65&lt;&gt;"", $BL65/'Elements and ions'!$G$17,"")</f>
        <v/>
      </c>
      <c r="CK65" s="89">
        <f t="shared" si="68"/>
        <v>1.4791083881682055E-3</v>
      </c>
      <c r="CL65" s="163" t="str">
        <f>IF($BN65&lt;&gt;"", $BN65/'Elements and ions'!$G$19,"")</f>
        <v/>
      </c>
      <c r="CM65" s="89">
        <f>IF($BO65&lt;&gt;"",$BO65/'Elements and ions'!$G$4,"")</f>
        <v>3.1485762476569243E-2</v>
      </c>
      <c r="CN65" s="89">
        <f>IF($BP65&lt;&gt;"",$BP65/'Elements and ions'!$B$10,"")</f>
        <v>6.0005042950135945E-3</v>
      </c>
      <c r="CO65" s="104">
        <f>IF($BQ65&lt;&gt;"",$BQ65/'Elements and ions'!$G$18,"")</f>
        <v>0</v>
      </c>
      <c r="CP65" s="242"/>
      <c r="CQ65" s="238">
        <f t="shared" si="689"/>
        <v>1.4322892761105605E-4</v>
      </c>
      <c r="CR65" s="239">
        <f t="shared" si="690"/>
        <v>2.901149154822588E-5</v>
      </c>
      <c r="CS65" s="239">
        <f t="shared" si="691"/>
        <v>1.7600628773890912E-3</v>
      </c>
      <c r="CT65" s="241">
        <f t="shared" si="692"/>
        <v>1.6278954947541657E-4</v>
      </c>
      <c r="CU65" s="238">
        <f t="shared" si="693"/>
        <v>4.2473124910989007E-3</v>
      </c>
      <c r="CV65" s="239">
        <f t="shared" si="694"/>
        <v>1.3289707500070512E-4</v>
      </c>
      <c r="CW65" s="239">
        <f t="shared" si="695"/>
        <v>2.4416618686587676E-4</v>
      </c>
      <c r="CX65" s="241">
        <f t="shared" si="696"/>
        <v>9.0139138436811004E-5</v>
      </c>
      <c r="CY65" s="258">
        <f t="shared" si="98"/>
        <v>6.7608297539198166E-9</v>
      </c>
      <c r="CZ65" s="259" t="str">
        <f t="shared" si="697"/>
        <v/>
      </c>
      <c r="DA65" s="260" t="str">
        <f t="shared" si="698"/>
        <v/>
      </c>
      <c r="DB65" s="261" t="str">
        <f t="shared" si="699"/>
        <v/>
      </c>
      <c r="DC65" s="262">
        <f t="shared" si="700"/>
        <v>0</v>
      </c>
      <c r="DD65" s="263" t="str">
        <f t="shared" si="701"/>
        <v/>
      </c>
      <c r="DE65" s="259" t="str">
        <f t="shared" si="702"/>
        <v/>
      </c>
      <c r="DF65" s="260">
        <f t="shared" si="703"/>
        <v>5.7294669012603302E-5</v>
      </c>
      <c r="DG65" s="260" t="str">
        <f t="shared" si="704"/>
        <v/>
      </c>
      <c r="DH65" s="264" t="str">
        <f t="shared" si="705"/>
        <v/>
      </c>
      <c r="DI65" s="258">
        <f t="shared" si="108"/>
        <v>1.4791083881682056E-6</v>
      </c>
      <c r="DJ65" s="260" t="str">
        <f t="shared" si="706"/>
        <v/>
      </c>
      <c r="DK65" s="260">
        <f t="shared" si="707"/>
        <v>3.1485762476569243E-5</v>
      </c>
      <c r="DL65" s="260">
        <f t="shared" si="708"/>
        <v>6.0005042950135944E-6</v>
      </c>
      <c r="DM65" s="265">
        <f t="shared" si="709"/>
        <v>0</v>
      </c>
      <c r="DN65" s="242"/>
      <c r="DO65" s="238">
        <f t="shared" si="710"/>
        <v>0.14322892761105604</v>
      </c>
      <c r="DP65" s="239">
        <f t="shared" si="711"/>
        <v>2.9011491548225882E-2</v>
      </c>
      <c r="DQ65" s="239">
        <f t="shared" si="712"/>
        <v>3.5201257547781823</v>
      </c>
      <c r="DR65" s="241">
        <f t="shared" si="713"/>
        <v>0.32557909895083315</v>
      </c>
      <c r="DS65" s="238">
        <f t="shared" si="714"/>
        <v>-4.2473124910989011</v>
      </c>
      <c r="DT65" s="239">
        <f t="shared" si="715"/>
        <v>-0.13289707500070513</v>
      </c>
      <c r="DU65" s="239">
        <f t="shared" si="716"/>
        <v>-0.24416618686587674</v>
      </c>
      <c r="DV65" s="241">
        <f t="shared" si="717"/>
        <v>-0.180278276873622</v>
      </c>
      <c r="DW65" s="91">
        <f t="shared" si="113"/>
        <v>6.7608297539198163E-6</v>
      </c>
      <c r="DX65" s="89">
        <f t="shared" si="718"/>
        <v>0</v>
      </c>
      <c r="DY65" s="89">
        <f t="shared" si="719"/>
        <v>0</v>
      </c>
      <c r="DZ65" s="89">
        <f t="shared" si="720"/>
        <v>0</v>
      </c>
      <c r="EA65" s="90">
        <f t="shared" si="721"/>
        <v>0</v>
      </c>
      <c r="EB65" s="91">
        <f t="shared" si="118"/>
        <v>-1.4791083881682055E-3</v>
      </c>
      <c r="EC65" s="89">
        <f t="shared" si="722"/>
        <v>0</v>
      </c>
      <c r="ED65" s="89">
        <f t="shared" si="723"/>
        <v>-6.2971524953138486E-2</v>
      </c>
      <c r="EE65" s="89">
        <f t="shared" si="724"/>
        <v>-6.0005042950135945E-3</v>
      </c>
      <c r="EF65" s="90">
        <f t="shared" si="725"/>
        <v>0</v>
      </c>
      <c r="EG65" s="242"/>
      <c r="EH65" s="245">
        <f t="shared" si="726"/>
        <v>4.0179520337180517</v>
      </c>
      <c r="EI65" s="246">
        <f t="shared" si="727"/>
        <v>-4.875105167475426</v>
      </c>
      <c r="EJ65" s="198">
        <f t="shared" si="728"/>
        <v>-9.6384529455443229</v>
      </c>
      <c r="EK65" s="198">
        <f t="shared" si="729"/>
        <v>1.0453274599415165E-2</v>
      </c>
      <c r="EL65" s="101">
        <f>IF(AND(CS65&lt;&gt;"",DK65&lt;&gt;""),LOG(CS65*DK65/Minerals!$C$6),"")</f>
        <v>1.2238144041542705</v>
      </c>
      <c r="EM65" s="94">
        <f>IF(AND(CS65&lt;&gt;"",DK65&lt;&gt;""),LOG(CS65*DK65/Minerals!$C$5),"")</f>
        <v>1.0933348747980527</v>
      </c>
      <c r="EN65" s="94">
        <f>IF(AND(CS65&lt;&gt;"",DL65&lt;&gt;""),LOG(CS65*DL65^2/Minerals!$C$2),"")</f>
        <v>-2.6281713706217587</v>
      </c>
      <c r="EO65" s="94">
        <f>IF(AND(CS65&lt;&gt;"",CX65&lt;&gt;""),LOG($CS65*$CX65/Minerals!$C$3),"")</f>
        <v>-2.1995780493109782</v>
      </c>
      <c r="EP65" s="95">
        <f>IF(AND(CS65&lt;&gt;"",CX65&lt;&gt;""),LOG($CS65*$CX65/Minerals!$C$4),"")</f>
        <v>-2.4395625607768805</v>
      </c>
      <c r="EQ65" s="199"/>
      <c r="ER65" s="101">
        <f t="shared" si="752"/>
        <v>0.89871336146057179</v>
      </c>
      <c r="ES65" s="94">
        <f t="shared" si="752"/>
        <v>0.89871336146057179</v>
      </c>
      <c r="ET65" s="94">
        <f t="shared" si="753"/>
        <v>0.65235619978617654</v>
      </c>
      <c r="EU65" s="94">
        <f t="shared" si="753"/>
        <v>0.65235619978617654</v>
      </c>
      <c r="EV65" s="95">
        <f t="shared" si="753"/>
        <v>0.65235619978617654</v>
      </c>
      <c r="EW65" s="101">
        <f t="shared" si="754"/>
        <v>0.89871336146057179</v>
      </c>
      <c r="EX65" s="94">
        <f t="shared" si="31"/>
        <v>0.65235619978617654</v>
      </c>
      <c r="EY65" s="94">
        <f t="shared" si="754"/>
        <v>0.89871336146057179</v>
      </c>
      <c r="EZ65" s="94">
        <f t="shared" si="754"/>
        <v>0.89871336146057179</v>
      </c>
      <c r="FA65" s="94">
        <f t="shared" si="165"/>
        <v>0.89871336146057179</v>
      </c>
      <c r="FB65" s="95">
        <f t="shared" si="32"/>
        <v>0.65235619978617654</v>
      </c>
      <c r="FC65" s="199"/>
      <c r="FD65" s="101">
        <f t="shared" si="730"/>
        <v>1.287217509917251E-4</v>
      </c>
      <c r="FE65" s="94">
        <f t="shared" si="731"/>
        <v>2.6073015090291049E-5</v>
      </c>
      <c r="FF65" s="94">
        <f t="shared" si="732"/>
        <v>1.1481879300782706E-3</v>
      </c>
      <c r="FG65" s="94">
        <f t="shared" si="733"/>
        <v>1.0619677186068653E-4</v>
      </c>
      <c r="FH65" s="95" t="str">
        <f t="shared" si="734"/>
        <v/>
      </c>
      <c r="FI65" s="101">
        <f t="shared" si="735"/>
        <v>3.8171164860489682E-3</v>
      </c>
      <c r="FJ65" s="94">
        <f t="shared" si="736"/>
        <v>2.0539932356584906E-5</v>
      </c>
      <c r="FK65" s="94">
        <f t="shared" si="737"/>
        <v>1.1943637700216142E-4</v>
      </c>
      <c r="FL65" s="94">
        <f t="shared" si="738"/>
        <v>2.1943541455324221E-4</v>
      </c>
      <c r="FM65" s="94">
        <f t="shared" si="739"/>
        <v>5.392733385430266E-6</v>
      </c>
      <c r="FN65" s="95">
        <f t="shared" si="740"/>
        <v>5.8802825802638101E-5</v>
      </c>
      <c r="FO65" s="199"/>
      <c r="FP65" s="101">
        <f>IF(EL65&lt;&gt;"",LOG(FF65*FJ65/Minerals!$C$6),"")</f>
        <v>0.85278399242923475</v>
      </c>
      <c r="FQ65" s="94">
        <f>IF(EL65&lt;&gt;"",LOG(FF65*FJ65/Minerals!$C$5),"")</f>
        <v>0.72230446307301699</v>
      </c>
      <c r="FR65" s="94">
        <f>IF(EN65&lt;&gt;"",LOG(FF65*FM65^2/Minerals!$C$2),"")</f>
        <v>-2.9064441794155353</v>
      </c>
      <c r="FS65" s="94">
        <f>IF(EO65&lt;&gt;"",LOG($FF65*$FN65/Minerals!$C$3),"")</f>
        <v>-2.5706084610360138</v>
      </c>
      <c r="FT65" s="95">
        <f>IF(EP65&lt;&gt;"",LOG($FF65*$FN65/Minerals!$C$4),"")</f>
        <v>-2.8105929725019161</v>
      </c>
      <c r="FU65" s="96"/>
      <c r="FV65" s="101">
        <f>IF(FP65&lt;&gt;"",LOG(FF65*FJ65/(EXP(-1*Minerals!$E$6/'Other Constants'!$B$2*(1/(273.15+'ppm-mgL-1'!$D65)-1/298.15)+LN(Minerals!$C$6)))),"")</f>
        <v>-0.48853778599018816</v>
      </c>
      <c r="FW65" s="94">
        <f>IF(FP65&lt;&gt;"",LOG(FF65*FJ65/(EXP(-1*Minerals!$E$5/'Other Constants'!$B$2*(1/(273.15+'ppm-mgL-1'!$D65)-1/298.15)+LN(Minerals!$C$5)))),"")</f>
        <v>-0.61913857486259194</v>
      </c>
      <c r="FX65" s="94">
        <f>IF(FR65&lt;&gt;"",LOG(FF65*FM65^2/(EXP(-1*Minerals!$E$2/'Other Constants'!$B$2*(1/(273.15+'ppm-mgL-1'!$D65)-1/298.15)+LN(Minerals!$C$2)))),"")</f>
        <v>-2.8497351456793658</v>
      </c>
      <c r="FY65" s="94">
        <f>IF(FS65&lt;&gt;"",LOG($FF65*$FN65/(EXP(-1*Minerals!$E$3/'Other Constants'!$B$2*(1/(273.15+'ppm-mgL-1'!$D65)-1/298.15)+LN(Minerals!$C$3)))),"")</f>
        <v>-1.414342386431346</v>
      </c>
      <c r="FZ65" s="95">
        <f>IF(FT65&lt;&gt;"",LOG($FF65*$FN65/(EXP(-1*Minerals!$E$4/'Other Constants'!$B$2*(1/(273.15+'ppm-mgL-1'!$D65)-1/298.15)+LN(Minerals!$C$4)))),"")</f>
        <v>-2.8437170303399704</v>
      </c>
      <c r="GA65" s="96"/>
      <c r="GB65" s="96"/>
      <c r="GC65" s="101">
        <f>10^(-1825000*(79.755*EXP(-0.0046*($D65-20))*($D65+273.15))^-1.5*$EK65^0.5/(1+'Elements and ions'!$D$12*$EK65^0.5/(2*(79.755*EXP(-0.0046*($D65-20))*($D65+273.15))^0.5)))</f>
        <v>0.89915721120535352</v>
      </c>
      <c r="GD65" s="94">
        <f>10^(-1825000*(79.755*EXP(-0.0046*($D65-20))*($D65+273.15))^-1.5*$EK65^0.5/(1+'Elements and ions'!$D$20*$EK65^0.5/(2*(79.755*EXP(-0.0046*($D65-20))*($D65+273.15))^0.5)))</f>
        <v>0.89625521685386533</v>
      </c>
      <c r="GE65" s="94">
        <f>10^(-1825000*(79.755*EXP(-0.0046*($D65-20))*($D65+273.15))^-1.5*4*$EK65^0.5/(1+'Elements and ions'!$D$21*$EK65^0.5/(2*(79.755*EXP(-0.0046*($D65-20))*($D65+273.15))^0.5)))</f>
        <v>0.66932180835393518</v>
      </c>
      <c r="GF65" s="94">
        <f>10^(-1825000*(79.755*EXP(-0.0046*($D65-20))*($D65+273.15))^-1.5*4*$EK65^0.5/(1+'Elements and ions'!$D$13*$EK65^0.5/(2*(79.755*EXP(-0.0046*($D65-20))*($D65+273.15))^0.5)))</f>
        <v>0.68366073565019081</v>
      </c>
      <c r="GG65" s="95">
        <f>10^(-1825000*(79.755*EXP(-0.0046*($D65-20))*($D65+273.15))^-1.5*4*$EK65^0.5/(1+'Elements and ions'!$D$27*$EK65^0.5/(2*(79.755*EXP(-0.0046*($D65-20))*($D65+273.15))^0.5)))</f>
        <v>0.66932180835393518</v>
      </c>
      <c r="GH65" s="101">
        <f>10^(-1825000*(79.755*EXP(-0.0046*($D65-20))*($D65+273.15))^-1.5*$EK65^0.5/(1+'Elements and ions'!$G$3*$EK65^0.5/(2*(79.755*EXP(-0.0046*($D65-20))*($D65+273.15))^0.5)))</f>
        <v>0.88859432188949716</v>
      </c>
      <c r="GI65" s="94">
        <f>10^(-1825000*(79.755*EXP(-0.0046*($D65-20))*($D65+273.15))^-1.5*4*$EK65^0.5/(1+'Elements and ions'!$G$4*$EK65^0.5/(2*(79.755*EXP(-0.0046*($D65-20))*($D65+273.15))^0.5)))</f>
        <v>0.62337055911285078</v>
      </c>
      <c r="GJ65" s="94">
        <f>10^(-1825000*(79.755*EXP(-0.0046*($D65-20))*($D65+273.15))^-1.5*$EK65^0.5/(1+'Elements and ions'!$D$18*$EK65^0.5/(2*(79.755*EXP(-0.0046*($D65-20))*($D65+273.15))^0.5)))</f>
        <v>0.89625521685386533</v>
      </c>
      <c r="GK65" s="94">
        <f>10^(-1825000*(79.755*EXP(-0.0046*($D65-20))*($D65+273.15))^-1.5*$EK65^0.5/(1+'Elements and ions'!$I$7*$EK65^0.5/(2*(79.755*EXP(-0.0046*($D65-20))*($D65+273.15))^0.5)))</f>
        <v>0.89625521685386533</v>
      </c>
      <c r="GL65" s="94">
        <f>10^(-1825000*(79.755*EXP(-0.0046*($D65-20))*($D65+273.15))^-1.5*$EK65^0.5/(1+'Elements and ions'!$D$10*$EK65^0.5/(2*(79.755*EXP(-0.0046*($D65-20))*($D65+273.15))^0.5)))</f>
        <v>0.89772677477681584</v>
      </c>
      <c r="GM65" s="95">
        <f>10^(-1825000*(79.755*EXP(-0.0046*($D65-20))*($D65+273.15))^-1.5*4*$EK65^0.5/(1+'Elements and ions'!$I$5*$EK65^0.5/(2*(79.755*EXP(-0.0046*($D65-20))*($D65+273.15))^0.5)))</f>
        <v>0.65364587774400729</v>
      </c>
      <c r="GN65" s="96"/>
      <c r="GO65" s="101">
        <f t="shared" si="741"/>
        <v>1.2878532311469062E-4</v>
      </c>
      <c r="GP65" s="94">
        <f t="shared" si="742"/>
        <v>2.6001700648809269E-5</v>
      </c>
      <c r="GQ65" s="94">
        <f t="shared" si="743"/>
        <v>1.1780484679106971E-3</v>
      </c>
      <c r="GR65" s="94">
        <f t="shared" si="744"/>
        <v>1.1129282315052642E-4</v>
      </c>
      <c r="GS65" s="95" t="str">
        <f t="shared" si="745"/>
        <v/>
      </c>
      <c r="GT65" s="101">
        <f t="shared" si="746"/>
        <v>3.7741377628808187E-3</v>
      </c>
      <c r="GU65" s="94">
        <f t="shared" si="747"/>
        <v>1.9627297359113387E-5</v>
      </c>
      <c r="GV65" s="94">
        <f t="shared" si="748"/>
        <v>1.1910969677400137E-4</v>
      </c>
      <c r="GW65" s="94">
        <f t="shared" si="749"/>
        <v>2.1883521875785779E-4</v>
      </c>
      <c r="GX65" s="94">
        <f t="shared" si="750"/>
        <v>5.3868133677969849E-6</v>
      </c>
      <c r="GY65" s="102">
        <f t="shared" si="751"/>
        <v>5.8919076262617914E-5</v>
      </c>
      <c r="GZ65" s="199"/>
      <c r="HA65" s="92">
        <f>IF(AND(GQ65&lt;&gt;"",GU65&lt;&gt;""),LOG(GQ65*GU65/Minerals!$C$6),"")</f>
        <v>0.84419566722937178</v>
      </c>
      <c r="HB65" s="94">
        <f>IF(AND(GQ65&lt;&gt;"",GU65&lt;&gt;""),LOG(GQ65*GU65/Minerals!$C$5),"")</f>
        <v>0.71371613787315413</v>
      </c>
      <c r="HC65" s="94">
        <f>IF(AND(GQ65&lt;&gt;"",GX65&lt;&gt;""),LOG(GQ65*GX65^2/Minerals!$C$2),"")</f>
        <v>-2.8962480383811293</v>
      </c>
      <c r="HD65" s="94">
        <f>IF(AND(GQ65&lt;&gt;"",GY65&lt;&gt;""),LOG($GQ65*$GY65/Minerals!$C$3),"")</f>
        <v>-2.5586005469419253</v>
      </c>
      <c r="HE65" s="102">
        <f>IF(AND(GQ65&lt;&gt;"",GY65&lt;&gt;""),LOG($GQ65*$GY65/Minerals!$C$3),"")</f>
        <v>-2.5586005469419253</v>
      </c>
      <c r="HF65" s="199"/>
      <c r="HG65" s="92">
        <f>IF(HA65&lt;&gt;"",LOG(GQ65*GU65/(EXP(-1*Minerals!$E$6/'Other Constants'!$B$2*(1/(273.15+'ppm-mgL-1'!$D65)-1/298.15)+LN(Minerals!$C$6)))),"")</f>
        <v>-0.49712611119005112</v>
      </c>
      <c r="HH65" s="94">
        <f>IF(HA65&lt;&gt;"",LOG(GQ65*GU65/(EXP(-1*Minerals!$E$5/'Other Constants'!$B$2*(1/(273.15+'ppm-mgL-1'!$D65)-1/298.15)+LN(Minerals!$C$5)))),"")</f>
        <v>-0.6277269000624548</v>
      </c>
      <c r="HI65" s="94">
        <f>IF(HC65&lt;&gt;"",LOG(GQ65*GX65^2/(EXP(-1*Minerals!$E$2/'Other Constants'!$B$2*(1/(273.15+'ppm-mgL-1'!$D65)-1/298.15)+LN(Minerals!$C$2)))),"")</f>
        <v>-2.8395390046449598</v>
      </c>
      <c r="HJ65" s="94">
        <f>IF(HD65&lt;&gt;"",LOG($FF65*$FN65/(EXP(-1*Minerals!$E$3/'Other Constants'!$B$2*(1/(273.15+'ppm-mgL-1'!$D65)-1/298.15)+LN(Minerals!$C$3)))),"")</f>
        <v>-1.414342386431346</v>
      </c>
      <c r="HK65" s="95">
        <f>IF(HE65&lt;&gt;"",LOG($FF65*$FN65/(EXP(-1*Minerals!$E$4/'Other Constants'!$B$2*(1/(273.15+'ppm-mgL-1'!$D65)-1/298.15)+LN(Minerals!$C$4)))),"")</f>
        <v>-2.8437170303399704</v>
      </c>
      <c r="HL65" s="199"/>
      <c r="HM65" s="199"/>
    </row>
    <row r="66" spans="1:221" x14ac:dyDescent="0.25">
      <c r="A66" s="267" t="str">
        <f>'WC samples'!B37</f>
        <v>ISSR 3</v>
      </c>
      <c r="C66" s="266">
        <f>'WC samples'!A37</f>
        <v>41594</v>
      </c>
      <c r="D66" s="4">
        <f>'WC samples'!I37</f>
        <v>21.3</v>
      </c>
      <c r="E66" s="4">
        <f>'WC samples'!F37</f>
        <v>8.42</v>
      </c>
      <c r="AD66" s="83">
        <f>IF(E66&lt;&gt;"",10^(-2*$E66)/(10^(-2*$E66)+10^(-$E66-pKa!$B$2)+(10^(-pKa!$B$2-pKa!$C$2))),"")</f>
        <v>7.4314371143093206E-3</v>
      </c>
      <c r="AE66" s="84">
        <f>IF(E66&lt;&gt;"",10^(-$E66-pKa!$B$2)/(10^(-2*$E66)+10^(-$E66-pKa!$B$2)+10^(-pKa!$B$2-pKa!$C$2)),"")</f>
        <v>0.9796542053096452</v>
      </c>
      <c r="AF66" s="212">
        <f>IF(E66&lt;&gt;"",10^(-pKa!$B$2-pKa!$C$2)/(10^(-2*$E66)+10^(-$E66-pKa!$B$2)+10^(-pKa!$B$2-pKa!$C$2)),"")</f>
        <v>1.2914357576045574E-2</v>
      </c>
      <c r="AG66" s="152"/>
      <c r="AH66" s="222">
        <f>IF($AK66&lt;&gt;"",$AK66/'Elements and ions'!$G$3,IF($E66="","",""))</f>
        <v>3.9497292878490597</v>
      </c>
      <c r="AI66" s="85">
        <f t="shared" si="688"/>
        <v>3.9281887150993816E-3</v>
      </c>
      <c r="AJ66" s="84">
        <f>IF(AI66&lt;&gt;"",AI66*1000*'Elements and ions'!$B$7,"")</f>
        <v>47.18029620044414</v>
      </c>
      <c r="AK66" s="99">
        <f>'WC samples'!H37</f>
        <v>241</v>
      </c>
      <c r="AL66" s="88">
        <f>IF($AK66&lt;&gt;"",$AK66/'Elements and ions'!$G$3*Minerals!$B$6/2,IF($E66="","","Enter Alk(HCO3-)"))</f>
        <v>197.65808013001003</v>
      </c>
      <c r="AM66" s="199"/>
      <c r="AN66" s="101">
        <f t="shared" si="755"/>
        <v>2.9192087409400587E-5</v>
      </c>
      <c r="AO66" s="94">
        <f t="shared" si="756"/>
        <v>3.8482665939970008E-3</v>
      </c>
      <c r="AP66" s="95">
        <f t="shared" si="757"/>
        <v>5.0730033692980423E-5</v>
      </c>
      <c r="AQ66" s="199"/>
      <c r="AR66" s="199"/>
      <c r="AS66" s="83">
        <f t="shared" si="66"/>
        <v>8.5859080615884084E-2</v>
      </c>
      <c r="AT66" s="83">
        <f>IF(AN66&lt;&gt;"",AN66/'Henrys law constants'!$B$7*1000000,"")</f>
        <v>858.59080615884079</v>
      </c>
      <c r="AU66" s="268">
        <f>'WC samples'!K37</f>
        <v>3.2641</v>
      </c>
      <c r="AV66" s="269">
        <f>'WC samples'!M37</f>
        <v>1.1204000000000001</v>
      </c>
      <c r="AW66" s="269">
        <f>'WC samples'!O37</f>
        <v>77.054299999999998</v>
      </c>
      <c r="AX66" s="269">
        <f>'WC samples'!N37</f>
        <v>4.3410000000000002</v>
      </c>
      <c r="AY66" s="226">
        <f>AO66*'Elements and ions'!$G$3*1000</f>
        <v>234.80906704325994</v>
      </c>
      <c r="AZ66" s="269">
        <f>'WC samples'!Q37</f>
        <v>4.9153000000000002</v>
      </c>
      <c r="BA66" s="269">
        <f>'WC samples'!T37</f>
        <v>17.148599999999998</v>
      </c>
      <c r="BB66" s="270">
        <f>'WC samples'!V37</f>
        <v>8.7296999999999993</v>
      </c>
      <c r="BC66" s="222">
        <f>IF($E66&lt;&gt;"",10^-$E66*'Elements and ions'!B67*1000,"")</f>
        <v>0</v>
      </c>
      <c r="BE66" s="6"/>
      <c r="BF66" s="6"/>
      <c r="BG66" s="270">
        <f>'WC samples'!L37</f>
        <v>0</v>
      </c>
      <c r="BH66" s="3"/>
      <c r="BJ66" s="92">
        <f>IF($AN66&lt;&gt;"",$AN66*'Elements and ions'!$G$2*1000,"")</f>
        <v>1.8106327993088411</v>
      </c>
      <c r="BK66" s="229"/>
      <c r="BL66" s="230"/>
      <c r="BM66" s="101">
        <f>IF($E66&lt;&gt;"",(10^-14+$E66)*'Elements and ions'!$G$8,"")</f>
        <v>143.20180280000017</v>
      </c>
      <c r="BO66" s="102">
        <f>IF($AP66&lt;&gt;"",$AP66*'Elements and ions'!$G$4*1000,"")</f>
        <v>3.0442535188786928</v>
      </c>
      <c r="BP66" s="269">
        <f>'WC samples'!P37</f>
        <v>0.1144</v>
      </c>
      <c r="BQ66" s="270">
        <f>'WC samples'!R37</f>
        <v>0</v>
      </c>
      <c r="BR66" s="195"/>
      <c r="BS66" s="238">
        <f>IF($AU66&lt;&gt;"",$AU66/'Elements and ions'!$B$12,"")</f>
        <v>0.14198054622669096</v>
      </c>
      <c r="BT66" s="239">
        <f>IF($AV66&lt;&gt;"",$AV66/'Elements and ions'!$B$20,"")</f>
        <v>2.8655977369860072E-2</v>
      </c>
      <c r="BU66" s="239">
        <f>IF($AW66&lt;&gt;"",$AW66/'Elements and ions'!$B$21, "")</f>
        <v>1.9226084135934924</v>
      </c>
      <c r="BV66" s="240">
        <f>IF($AX66&lt;&gt;"",$AX66/'Elements and ions'!$B$13, "")</f>
        <v>0.17860522526229172</v>
      </c>
      <c r="BW66" s="238">
        <f>IF($AY66&lt;&gt;"",$AY66/'Elements and ions'!$G$3,"")</f>
        <v>3.8482665939970011</v>
      </c>
      <c r="BX66" s="239">
        <f>IF($AZ66&lt;&gt;"",$AZ66/'Elements and ions'!$B$18,"")</f>
        <v>0.13864271006684906</v>
      </c>
      <c r="BY66" s="239">
        <f>IF($BA66&lt;&gt;"",$BA66/'Elements and ions'!$G$7,"")</f>
        <v>0.27656846475036651</v>
      </c>
      <c r="BZ66" s="241">
        <f>IF($BB66&lt;&gt;"",$BB66/'Elements and ions'!$G$5,"")</f>
        <v>9.0875116850886811E-2</v>
      </c>
      <c r="CA66" s="91">
        <f t="shared" si="67"/>
        <v>3.8018939632056069E-6</v>
      </c>
      <c r="CB66" s="163" t="str">
        <f>IF($BD66&lt;&gt;"",$BD66/'Elements and ions'!$B$14,"")</f>
        <v/>
      </c>
      <c r="CC66" s="89" t="str">
        <f>IF($BE66&lt;&gt;"",$BE66/'Elements and ions'!$B$27, "")</f>
        <v/>
      </c>
      <c r="CD66" s="249" t="str">
        <f>IF($BF66&lt;&gt;"",$BF66/'Elements and ions'!$B$26,"")</f>
        <v/>
      </c>
      <c r="CE66" s="250">
        <f>IF($BG66&lt;&gt;"",$BG66/'Elements and ions'!$G$6,"")</f>
        <v>0</v>
      </c>
      <c r="CF66" s="91" t="str">
        <f>IF($BH66&lt;&gt;"",$BH66/'Elements and ions'!$G$15,"")</f>
        <v/>
      </c>
      <c r="CG66" s="89" t="str">
        <f>IF($BI66&lt;&gt;"",$BI66/'Elements and ions'!$G$16,"")</f>
        <v/>
      </c>
      <c r="CH66" s="90">
        <f>IF($BJ66&lt;&gt;"",$BJ66/'Elements and ions'!$G$2,"")</f>
        <v>2.9192087409400588E-2</v>
      </c>
      <c r="CI66" s="91" t="str">
        <f>IF($BK66&lt;&gt;"",$BK66/'Elements and ions'!$B$15, "")</f>
        <v/>
      </c>
      <c r="CJ66" s="88" t="str">
        <f>IF($BL66&lt;&gt;"", $BL66/'Elements and ions'!$G$17,"")</f>
        <v/>
      </c>
      <c r="CK66" s="89">
        <f t="shared" si="68"/>
        <v>2.630267991895377E-3</v>
      </c>
      <c r="CL66" s="163" t="str">
        <f>IF($BN66&lt;&gt;"", $BN66/'Elements and ions'!$G$19,"")</f>
        <v/>
      </c>
      <c r="CM66" s="89">
        <f>IF($BO66&lt;&gt;"",$BO66/'Elements and ions'!$G$4,"")</f>
        <v>5.0730033692980424E-2</v>
      </c>
      <c r="CN66" s="89">
        <f>IF($BP66&lt;&gt;"",$BP66/'Elements and ions'!$B$10,"")</f>
        <v>6.0215586960487297E-3</v>
      </c>
      <c r="CO66" s="104">
        <f>IF($BQ66&lt;&gt;"",$BQ66/'Elements and ions'!$G$18,"")</f>
        <v>0</v>
      </c>
      <c r="CP66" s="242"/>
      <c r="CQ66" s="238">
        <f t="shared" si="689"/>
        <v>1.4198054622669096E-4</v>
      </c>
      <c r="CR66" s="239">
        <f t="shared" si="690"/>
        <v>2.8655977369860072E-5</v>
      </c>
      <c r="CS66" s="239">
        <f t="shared" si="691"/>
        <v>1.9226084135934925E-3</v>
      </c>
      <c r="CT66" s="241">
        <f t="shared" si="692"/>
        <v>1.7860522526229173E-4</v>
      </c>
      <c r="CU66" s="238">
        <f t="shared" si="693"/>
        <v>3.8482665939970013E-3</v>
      </c>
      <c r="CV66" s="239">
        <f t="shared" si="694"/>
        <v>1.3864271006684906E-4</v>
      </c>
      <c r="CW66" s="239">
        <f t="shared" si="695"/>
        <v>2.7656846475036649E-4</v>
      </c>
      <c r="CX66" s="241">
        <f t="shared" si="696"/>
        <v>9.0875116850886809E-5</v>
      </c>
      <c r="CY66" s="258">
        <f t="shared" si="98"/>
        <v>3.8018939632056068E-9</v>
      </c>
      <c r="CZ66" s="259" t="str">
        <f t="shared" si="697"/>
        <v/>
      </c>
      <c r="DA66" s="260" t="str">
        <f t="shared" si="698"/>
        <v/>
      </c>
      <c r="DB66" s="261" t="str">
        <f t="shared" si="699"/>
        <v/>
      </c>
      <c r="DC66" s="262">
        <f t="shared" si="700"/>
        <v>0</v>
      </c>
      <c r="DD66" s="263" t="str">
        <f t="shared" si="701"/>
        <v/>
      </c>
      <c r="DE66" s="259" t="str">
        <f t="shared" si="702"/>
        <v/>
      </c>
      <c r="DF66" s="260">
        <f t="shared" si="703"/>
        <v>2.9192087409400587E-5</v>
      </c>
      <c r="DG66" s="260" t="str">
        <f t="shared" si="704"/>
        <v/>
      </c>
      <c r="DH66" s="264" t="str">
        <f t="shared" si="705"/>
        <v/>
      </c>
      <c r="DI66" s="258">
        <f t="shared" si="108"/>
        <v>2.630267991895377E-6</v>
      </c>
      <c r="DJ66" s="260" t="str">
        <f t="shared" si="706"/>
        <v/>
      </c>
      <c r="DK66" s="260">
        <f t="shared" si="707"/>
        <v>5.0730033692980423E-5</v>
      </c>
      <c r="DL66" s="260">
        <f t="shared" si="708"/>
        <v>6.02155869604873E-6</v>
      </c>
      <c r="DM66" s="265">
        <f t="shared" si="709"/>
        <v>0</v>
      </c>
      <c r="DN66" s="242"/>
      <c r="DO66" s="238">
        <f t="shared" si="710"/>
        <v>0.14198054622669096</v>
      </c>
      <c r="DP66" s="239">
        <f t="shared" si="711"/>
        <v>2.8655977369860072E-2</v>
      </c>
      <c r="DQ66" s="239">
        <f t="shared" si="712"/>
        <v>3.8452168271869849</v>
      </c>
      <c r="DR66" s="241">
        <f t="shared" si="713"/>
        <v>0.35721045052458344</v>
      </c>
      <c r="DS66" s="238">
        <f t="shared" si="714"/>
        <v>-3.8482665939970011</v>
      </c>
      <c r="DT66" s="239">
        <f t="shared" si="715"/>
        <v>-0.13864271006684906</v>
      </c>
      <c r="DU66" s="239">
        <f t="shared" si="716"/>
        <v>-0.27656846475036651</v>
      </c>
      <c r="DV66" s="241">
        <f t="shared" si="717"/>
        <v>-0.18175023370177362</v>
      </c>
      <c r="DW66" s="91">
        <f t="shared" si="113"/>
        <v>3.8018939632056069E-6</v>
      </c>
      <c r="DX66" s="89">
        <f t="shared" si="718"/>
        <v>0</v>
      </c>
      <c r="DY66" s="89">
        <f t="shared" si="719"/>
        <v>0</v>
      </c>
      <c r="DZ66" s="89">
        <f t="shared" si="720"/>
        <v>0</v>
      </c>
      <c r="EA66" s="90">
        <f t="shared" si="721"/>
        <v>0</v>
      </c>
      <c r="EB66" s="91">
        <f t="shared" si="118"/>
        <v>-2.630267991895377E-3</v>
      </c>
      <c r="EC66" s="89">
        <f t="shared" si="722"/>
        <v>0</v>
      </c>
      <c r="ED66" s="89">
        <f t="shared" si="723"/>
        <v>-0.10146006738596085</v>
      </c>
      <c r="EE66" s="89">
        <f t="shared" si="724"/>
        <v>-6.0215586960487297E-3</v>
      </c>
      <c r="EF66" s="90">
        <f t="shared" si="725"/>
        <v>0</v>
      </c>
      <c r="EG66" s="242"/>
      <c r="EH66" s="245">
        <f t="shared" si="726"/>
        <v>4.3730676032020819</v>
      </c>
      <c r="EI66" s="246">
        <f t="shared" si="727"/>
        <v>-4.5553398965898957</v>
      </c>
      <c r="EJ66" s="198">
        <f t="shared" si="728"/>
        <v>-2.0414871676954776</v>
      </c>
      <c r="EK66" s="198">
        <f t="shared" si="729"/>
        <v>1.0988422948380091E-2</v>
      </c>
      <c r="EL66" s="101">
        <f>IF(AND(CS66&lt;&gt;"",DK66&lt;&gt;""),LOG(CS66*DK66/Minerals!$C$6),"")</f>
        <v>1.4693279954952319</v>
      </c>
      <c r="EM66" s="94">
        <f>IF(AND(CS66&lt;&gt;"",DK66&lt;&gt;""),LOG(CS66*DK66/Minerals!$C$5),"")</f>
        <v>1.3388484661390143</v>
      </c>
      <c r="EN66" s="94">
        <f>IF(AND(CS66&lt;&gt;"",DL66&lt;&gt;""),LOG(CS66*DL66^2/Minerals!$C$2),"")</f>
        <v>-2.5867663689194433</v>
      </c>
      <c r="EO66" s="94">
        <f>IF(AND(CS66&lt;&gt;"",CX66&lt;&gt;""),LOG($CS66*$CX66/Minerals!$C$3),"")</f>
        <v>-2.1576838142529722</v>
      </c>
      <c r="EP66" s="95">
        <f>IF(AND(CS66&lt;&gt;"",CX66&lt;&gt;""),LOG($CS66*$CX66/Minerals!$C$4),"")</f>
        <v>-2.3976683257188744</v>
      </c>
      <c r="EQ66" s="199"/>
      <c r="ER66" s="101">
        <f t="shared" si="752"/>
        <v>0.89652020582402014</v>
      </c>
      <c r="ES66" s="94">
        <f t="shared" si="752"/>
        <v>0.89652020582402014</v>
      </c>
      <c r="ET66" s="94">
        <f t="shared" si="753"/>
        <v>0.64601161821938191</v>
      </c>
      <c r="EU66" s="94">
        <f t="shared" si="753"/>
        <v>0.64601161821938191</v>
      </c>
      <c r="EV66" s="95">
        <f t="shared" si="753"/>
        <v>0.64601161821938191</v>
      </c>
      <c r="EW66" s="101">
        <f t="shared" si="754"/>
        <v>0.89652020582402014</v>
      </c>
      <c r="EX66" s="94">
        <f t="shared" si="31"/>
        <v>0.64601161821938191</v>
      </c>
      <c r="EY66" s="94">
        <f t="shared" si="754"/>
        <v>0.89652020582402014</v>
      </c>
      <c r="EZ66" s="94">
        <f t="shared" si="754"/>
        <v>0.89652020582402014</v>
      </c>
      <c r="FA66" s="94">
        <f t="shared" si="165"/>
        <v>0.89652020582402014</v>
      </c>
      <c r="FB66" s="95">
        <f t="shared" si="32"/>
        <v>0.64601161821938191</v>
      </c>
      <c r="FC66" s="199"/>
      <c r="FD66" s="101">
        <f t="shared" si="730"/>
        <v>1.2728842852615979E-4</v>
      </c>
      <c r="FE66" s="94">
        <f t="shared" si="731"/>
        <v>2.5690662729715415E-5</v>
      </c>
      <c r="FF66" s="94">
        <f t="shared" si="732"/>
        <v>1.2420273724677309E-3</v>
      </c>
      <c r="FG66" s="94">
        <f t="shared" si="733"/>
        <v>1.1538105059413031E-4</v>
      </c>
      <c r="FH66" s="95" t="str">
        <f t="shared" si="734"/>
        <v/>
      </c>
      <c r="FI66" s="101">
        <f t="shared" si="735"/>
        <v>3.4500487589158926E-3</v>
      </c>
      <c r="FJ66" s="94">
        <f t="shared" si="736"/>
        <v>3.277219115832605E-5</v>
      </c>
      <c r="FK66" s="94">
        <f t="shared" si="737"/>
        <v>1.2429599096513147E-4</v>
      </c>
      <c r="FL66" s="94">
        <f t="shared" si="738"/>
        <v>2.4794921694243181E-4</v>
      </c>
      <c r="FM66" s="94">
        <f t="shared" si="739"/>
        <v>5.3984490415630255E-6</v>
      </c>
      <c r="FN66" s="95">
        <f t="shared" si="740"/>
        <v>5.8706381292716811E-5</v>
      </c>
      <c r="FO66" s="199"/>
      <c r="FP66" s="101">
        <f>IF(EL66&lt;&gt;"",LOG(FF66*FJ66/Minerals!$C$6),"")</f>
        <v>1.0898086527955992</v>
      </c>
      <c r="FQ66" s="94">
        <f>IF(EL66&lt;&gt;"",LOG(FF66*FJ66/Minerals!$C$5),"")</f>
        <v>0.95932912343938148</v>
      </c>
      <c r="FR66" s="94">
        <f>IF(EN66&lt;&gt;"",LOG(FF66*FM66^2/Minerals!$C$2),"")</f>
        <v>-2.8714058759441681</v>
      </c>
      <c r="FS66" s="94">
        <f>IF(EO66&lt;&gt;"",LOG($FF66*$FN66/Minerals!$C$3),"")</f>
        <v>-2.537203156952605</v>
      </c>
      <c r="FT66" s="95">
        <f>IF(EP66&lt;&gt;"",LOG($FF66*$FN66/Minerals!$C$4),"")</f>
        <v>-2.7771876684185073</v>
      </c>
      <c r="FU66" s="96"/>
      <c r="FV66" s="101">
        <f>IF(FP66&lt;&gt;"",LOG(FF66*FJ66/(EXP(-1*Minerals!$E$6/'Other Constants'!$B$2*(1/(273.15+'ppm-mgL-1'!$D66)-1/298.15)+LN(Minerals!$C$6)))),"")</f>
        <v>-0.37135223390219624</v>
      </c>
      <c r="FW66" s="94">
        <f>IF(FP66&lt;&gt;"",LOG(FF66*FJ66/(EXP(-1*Minerals!$E$5/'Other Constants'!$B$2*(1/(273.15+'ppm-mgL-1'!$D66)-1/298.15)+LN(Minerals!$C$5)))),"")</f>
        <v>-0.50196385658981413</v>
      </c>
      <c r="FX66" s="94">
        <f>IF(FR66&lt;&gt;"",LOG(FF66*FM66^2/(EXP(-1*Minerals!$E$2/'Other Constants'!$B$2*(1/(273.15+'ppm-mgL-1'!$D66)-1/298.15)+LN(Minerals!$C$2)))),"")</f>
        <v>-2.8096302279595671</v>
      </c>
      <c r="FY66" s="94">
        <f>IF(FS66&lt;&gt;"",LOG($FF66*$FN66/(EXP(-1*Minerals!$E$3/'Other Constants'!$B$2*(1/(273.15+'ppm-mgL-1'!$D66)-1/298.15)+LN(Minerals!$C$3)))),"")</f>
        <v>-1.2776315985016666</v>
      </c>
      <c r="FZ66" s="95">
        <f>IF(FT66&lt;&gt;"",LOG($FF66*$FN66/(EXP(-1*Minerals!$E$4/'Other Constants'!$B$2*(1/(273.15+'ppm-mgL-1'!$D66)-1/298.15)+LN(Minerals!$C$4)))),"")</f>
        <v>-2.8132711634458625</v>
      </c>
      <c r="GA66" s="96"/>
      <c r="GB66" s="96"/>
      <c r="GC66" s="101">
        <f>10^(-1825000*(79.755*EXP(-0.0046*($D66-20))*($D66+273.15))^-1.5*$EK66^0.5/(1+'Elements and ions'!$D$12*$EK66^0.5/(2*(79.755*EXP(-0.0046*($D66-20))*($D66+273.15))^0.5)))</f>
        <v>0.89708603015133315</v>
      </c>
      <c r="GD66" s="94">
        <f>10^(-1825000*(79.755*EXP(-0.0046*($D66-20))*($D66+273.15))^-1.5*$EK66^0.5/(1+'Elements and ions'!$D$20*$EK66^0.5/(2*(79.755*EXP(-0.0046*($D66-20))*($D66+273.15))^0.5)))</f>
        <v>0.89406082619919525</v>
      </c>
      <c r="GE66" s="94">
        <f>10^(-1825000*(79.755*EXP(-0.0046*($D66-20))*($D66+273.15))^-1.5*4*$EK66^0.5/(1+'Elements and ions'!$D$21*$EK66^0.5/(2*(79.755*EXP(-0.0046*($D66-20))*($D66+273.15))^0.5)))</f>
        <v>0.6638515034943403</v>
      </c>
      <c r="GF66" s="94">
        <f>10^(-1825000*(79.755*EXP(-0.0046*($D66-20))*($D66+273.15))^-1.5*4*$EK66^0.5/(1+'Elements and ions'!$D$13*$EK66^0.5/(2*(79.755*EXP(-0.0046*($D66-20))*($D66+273.15))^0.5)))</f>
        <v>0.67865604871611773</v>
      </c>
      <c r="GG66" s="95">
        <f>10^(-1825000*(79.755*EXP(-0.0046*($D66-20))*($D66+273.15))^-1.5*4*$EK66^0.5/(1+'Elements and ions'!$D$27*$EK66^0.5/(2*(79.755*EXP(-0.0046*($D66-20))*($D66+273.15))^0.5)))</f>
        <v>0.6638515034943403</v>
      </c>
      <c r="GH66" s="101">
        <f>10^(-1825000*(79.755*EXP(-0.0046*($D66-20))*($D66+273.15))^-1.5*$EK66^0.5/(1+'Elements and ions'!$G$3*$EK66^0.5/(2*(79.755*EXP(-0.0046*($D66-20))*($D66+273.15))^0.5)))</f>
        <v>0.8860572476578924</v>
      </c>
      <c r="GI66" s="94">
        <f>10^(-1825000*(79.755*EXP(-0.0046*($D66-20))*($D66+273.15))^-1.5*4*$EK66^0.5/(1+'Elements and ions'!$G$4*$EK66^0.5/(2*(79.755*EXP(-0.0046*($D66-20))*($D66+273.15))^0.5)))</f>
        <v>0.61627695854982378</v>
      </c>
      <c r="GJ66" s="94">
        <f>10^(-1825000*(79.755*EXP(-0.0046*($D66-20))*($D66+273.15))^-1.5*$EK66^0.5/(1+'Elements and ions'!$D$18*$EK66^0.5/(2*(79.755*EXP(-0.0046*($D66-20))*($D66+273.15))^0.5)))</f>
        <v>0.89406082619919525</v>
      </c>
      <c r="GK66" s="94">
        <f>10^(-1825000*(79.755*EXP(-0.0046*($D66-20))*($D66+273.15))^-1.5*$EK66^0.5/(1+'Elements and ions'!$I$7*$EK66^0.5/(2*(79.755*EXP(-0.0046*($D66-20))*($D66+273.15))^0.5)))</f>
        <v>0.89406082619919525</v>
      </c>
      <c r="GL66" s="94">
        <f>10^(-1825000*(79.755*EXP(-0.0046*($D66-20))*($D66+273.15))^-1.5*$EK66^0.5/(1+'Elements and ions'!$D$10*$EK66^0.5/(2*(79.755*EXP(-0.0046*($D66-20))*($D66+273.15))^0.5)))</f>
        <v>0.89559531450421725</v>
      </c>
      <c r="GM66" s="95">
        <f>10^(-1825000*(79.755*EXP(-0.0046*($D66-20))*($D66+273.15))^-1.5*4*$EK66^0.5/(1+'Elements and ions'!$I$5*$EK66^0.5/(2*(79.755*EXP(-0.0046*($D66-20))*($D66+273.15))^0.5)))</f>
        <v>0.6476440422485682</v>
      </c>
      <c r="GN66" s="96"/>
      <c r="GO66" s="101">
        <f t="shared" si="741"/>
        <v>1.2736876457322005E-4</v>
      </c>
      <c r="GP66" s="94">
        <f t="shared" si="742"/>
        <v>2.5620186802842538E-5</v>
      </c>
      <c r="GQ66" s="94">
        <f t="shared" si="743"/>
        <v>1.2763264859949085E-3</v>
      </c>
      <c r="GR66" s="94">
        <f t="shared" si="744"/>
        <v>1.2121151645655904E-4</v>
      </c>
      <c r="GS66" s="95" t="str">
        <f t="shared" si="745"/>
        <v/>
      </c>
      <c r="GT66" s="101">
        <f t="shared" si="746"/>
        <v>3.4097845065307951E-3</v>
      </c>
      <c r="GU66" s="94">
        <f t="shared" si="747"/>
        <v>3.126375087144006E-5</v>
      </c>
      <c r="GV66" s="94">
        <f t="shared" si="748"/>
        <v>1.2395501590886255E-4</v>
      </c>
      <c r="GW66" s="94">
        <f t="shared" si="749"/>
        <v>2.4726903009535567E-4</v>
      </c>
      <c r="GX66" s="94">
        <f t="shared" si="750"/>
        <v>5.3928797541933663E-6</v>
      </c>
      <c r="GY66" s="102">
        <f t="shared" si="751"/>
        <v>5.8854728017119309E-5</v>
      </c>
      <c r="GZ66" s="199"/>
      <c r="HA66" s="92">
        <f>IF(AND(GQ66&lt;&gt;"",GU66&lt;&gt;""),LOG(GQ66*GU66/Minerals!$C$6),"")</f>
        <v>1.0811748692509788</v>
      </c>
      <c r="HB66" s="94">
        <f>IF(AND(GQ66&lt;&gt;"",GU66&lt;&gt;""),LOG(GQ66*GU66/Minerals!$C$5),"")</f>
        <v>0.95069533989476118</v>
      </c>
      <c r="HC66" s="94">
        <f>IF(AND(GQ66&lt;&gt;"",GX66&lt;&gt;""),LOG(GQ66*GX66^2/Minerals!$C$2),"")</f>
        <v>-2.8604718001148242</v>
      </c>
      <c r="HD66" s="94">
        <f>IF(AND(GQ66&lt;&gt;"",GY66&lt;&gt;""),LOG($GQ66*$GY66/Minerals!$C$3),"")</f>
        <v>-2.5242764963121216</v>
      </c>
      <c r="HE66" s="102">
        <f>IF(AND(GQ66&lt;&gt;"",GY66&lt;&gt;""),LOG($GQ66*$GY66/Minerals!$C$3),"")</f>
        <v>-2.5242764963121216</v>
      </c>
      <c r="HF66" s="199"/>
      <c r="HG66" s="92">
        <f>IF(HA66&lt;&gt;"",LOG(GQ66*GU66/(EXP(-1*Minerals!$E$6/'Other Constants'!$B$2*(1/(273.15+'ppm-mgL-1'!$D66)-1/298.15)+LN(Minerals!$C$6)))),"")</f>
        <v>-0.37998601744681637</v>
      </c>
      <c r="HH66" s="94">
        <f>IF(HA66&lt;&gt;"",LOG(GQ66*GU66/(EXP(-1*Minerals!$E$5/'Other Constants'!$B$2*(1/(273.15+'ppm-mgL-1'!$D66)-1/298.15)+LN(Minerals!$C$5)))),"")</f>
        <v>-0.51059764013443432</v>
      </c>
      <c r="HI66" s="94">
        <f>IF(HC66&lt;&gt;"",LOG(GQ66*GX66^2/(EXP(-1*Minerals!$E$2/'Other Constants'!$B$2*(1/(273.15+'ppm-mgL-1'!$D66)-1/298.15)+LN(Minerals!$C$2)))),"")</f>
        <v>-2.7986961521302236</v>
      </c>
      <c r="HJ66" s="94">
        <f>IF(HD66&lt;&gt;"",LOG($FF66*$FN66/(EXP(-1*Minerals!$E$3/'Other Constants'!$B$2*(1/(273.15+'ppm-mgL-1'!$D66)-1/298.15)+LN(Minerals!$C$3)))),"")</f>
        <v>-1.2776315985016666</v>
      </c>
      <c r="HK66" s="95">
        <f>IF(HE66&lt;&gt;"",LOG($FF66*$FN66/(EXP(-1*Minerals!$E$4/'Other Constants'!$B$2*(1/(273.15+'ppm-mgL-1'!$D66)-1/298.15)+LN(Minerals!$C$4)))),"")</f>
        <v>-2.8132711634458625</v>
      </c>
      <c r="HL66" s="199"/>
      <c r="HM66" s="199"/>
    </row>
    <row r="67" spans="1:221" x14ac:dyDescent="0.25">
      <c r="A67" s="267" t="str">
        <f>'WC samples'!B38</f>
        <v>ISSR 3</v>
      </c>
      <c r="C67" s="266">
        <f>'WC samples'!A38</f>
        <v>41624</v>
      </c>
      <c r="D67" s="4">
        <f>'WC samples'!I38</f>
        <v>21.4</v>
      </c>
      <c r="E67" s="4">
        <f>'WC samples'!F38</f>
        <v>8.18</v>
      </c>
      <c r="AD67" s="83">
        <f>IF(E67&lt;&gt;"",10^(-2*$E67)/(10^(-2*$E67)+10^(-$E67-pKa!$B$2)+(10^(-pKa!$B$2-pKa!$C$2))),"")</f>
        <v>1.291435757604566E-2</v>
      </c>
      <c r="AE67" s="84">
        <f>IF(E67&lt;&gt;"",10^(-$E67-pKa!$B$2)/(10^(-2*$E67)+10^(-$E67-pKa!$B$2)+10^(-pKa!$B$2-pKa!$C$2)),"")</f>
        <v>0.97965420530964509</v>
      </c>
      <c r="AF67" s="212">
        <f>IF(E67&lt;&gt;"",10^(-pKa!$B$2-pKa!$C$2)/(10^(-2*$E67)+10^(-$E67-pKa!$B$2)+10^(-pKa!$B$2-pKa!$C$2)),"")</f>
        <v>7.4314371143093172E-3</v>
      </c>
      <c r="AG67" s="152"/>
      <c r="AH67" s="222">
        <f>IF($AK67&lt;&gt;"",$AK67/'Elements and ions'!$G$3,IF($E67="","",""))</f>
        <v>3.9333403696422171</v>
      </c>
      <c r="AI67" s="85">
        <f t="shared" si="688"/>
        <v>3.9550239443993072E-3</v>
      </c>
      <c r="AJ67" s="84">
        <f>IF(AI67&lt;&gt;"",AI67*1000*'Elements and ions'!$B$7,"")</f>
        <v>47.502606088996764</v>
      </c>
      <c r="AK67" s="99">
        <f>'WC samples'!H38</f>
        <v>240</v>
      </c>
      <c r="AL67" s="88">
        <f>IF($AK67&lt;&gt;"",$AK67/'Elements and ions'!$G$3*Minerals!$B$6/2,IF($E67="","","Enter Alk(HCO3-)"))</f>
        <v>196.8379221211718</v>
      </c>
      <c r="AM67" s="199"/>
      <c r="AN67" s="101">
        <f t="shared" si="755"/>
        <v>5.1076593439795186E-5</v>
      </c>
      <c r="AO67" s="94">
        <f t="shared" si="756"/>
        <v>3.8745558392311212E-3</v>
      </c>
      <c r="AP67" s="95">
        <f t="shared" si="757"/>
        <v>2.9391511728391039E-5</v>
      </c>
      <c r="AQ67" s="199"/>
      <c r="AR67" s="199"/>
      <c r="AS67" s="83">
        <f t="shared" si="66"/>
        <v>0.150225274822927</v>
      </c>
      <c r="AT67" s="83">
        <f>IF(AN67&lt;&gt;"",AN67/'Henrys law constants'!$B$7*1000000,"")</f>
        <v>1502.2527482292701</v>
      </c>
      <c r="AU67" s="268">
        <f>'WC samples'!K38</f>
        <v>3.4418000000000002</v>
      </c>
      <c r="AV67" s="269">
        <f>'WC samples'!M38</f>
        <v>1.0779000000000001</v>
      </c>
      <c r="AW67" s="269">
        <f>'WC samples'!O38</f>
        <v>71.279899999999998</v>
      </c>
      <c r="AX67" s="269">
        <f>'WC samples'!N38</f>
        <v>4.2194000000000003</v>
      </c>
      <c r="AY67" s="226">
        <f>AO67*'Elements and ions'!$G$3*1000</f>
        <v>236.41315371343103</v>
      </c>
      <c r="AZ67" s="269">
        <f>'WC samples'!Q38</f>
        <v>5.5934999999999997</v>
      </c>
      <c r="BA67" s="269">
        <f>'WC samples'!T38</f>
        <v>18.802099999999999</v>
      </c>
      <c r="BB67" s="270">
        <f>'WC samples'!V38</f>
        <v>8.9583999999999993</v>
      </c>
      <c r="BC67" s="222">
        <f>IF($E67&lt;&gt;"",10^-$E67*'Elements and ions'!B68*1000,"")</f>
        <v>0</v>
      </c>
      <c r="BE67" s="6"/>
      <c r="BF67" s="6"/>
      <c r="BG67" s="270">
        <f>'WC samples'!L38</f>
        <v>0</v>
      </c>
      <c r="BH67" s="3"/>
      <c r="BJ67" s="92">
        <f>IF($AN67&lt;&gt;"",$AN67*'Elements and ions'!$G$2*1000,"")</f>
        <v>3.1680144712527394</v>
      </c>
      <c r="BK67" s="229"/>
      <c r="BL67" s="230"/>
      <c r="BM67" s="101">
        <f>IF($E67&lt;&gt;"",(10^-14+$E67)*'Elements and ions'!$G$8,"")</f>
        <v>139.12004120000017</v>
      </c>
      <c r="BO67" s="102">
        <f>IF($AP67&lt;&gt;"",$AP67*'Elements and ions'!$G$4*1000,"")</f>
        <v>1.7637522881578449</v>
      </c>
      <c r="BP67" s="269">
        <f>'WC samples'!P38</f>
        <v>0.113</v>
      </c>
      <c r="BQ67" s="270">
        <f>'WC samples'!R38</f>
        <v>0</v>
      </c>
      <c r="BR67" s="195"/>
      <c r="BS67" s="238">
        <f>IF($AU67&lt;&gt;"",$AU67/'Elements and ions'!$B$12,"")</f>
        <v>0.1497100713835437</v>
      </c>
      <c r="BT67" s="239">
        <f>IF($AV67&lt;&gt;"",$AV67/'Elements and ions'!$B$20,"")</f>
        <v>2.7568973587086907E-2</v>
      </c>
      <c r="BU67" s="239">
        <f>IF($AW67&lt;&gt;"",$AW67/'Elements and ions'!$B$21, "")</f>
        <v>1.7785293677329206</v>
      </c>
      <c r="BV67" s="240">
        <f>IF($AX67&lt;&gt;"",$AX67/'Elements and ions'!$B$13, "")</f>
        <v>0.17360213947747377</v>
      </c>
      <c r="BW67" s="238">
        <f>IF($AY67&lt;&gt;"",$AY67/'Elements and ions'!$G$3,"")</f>
        <v>3.8745558392311215</v>
      </c>
      <c r="BX67" s="239">
        <f>IF($AZ67&lt;&gt;"",$AZ67/'Elements and ions'!$B$18,"")</f>
        <v>0.15777226186782498</v>
      </c>
      <c r="BY67" s="239">
        <f>IF($BA67&lt;&gt;"",$BA67/'Elements and ions'!$G$7,"")</f>
        <v>0.30323571201630839</v>
      </c>
      <c r="BZ67" s="241">
        <f>IF($BB67&lt;&gt;"",$BB67/'Elements and ions'!$G$5,"")</f>
        <v>9.3255856077182994E-2</v>
      </c>
      <c r="CA67" s="91">
        <f t="shared" si="67"/>
        <v>6.6069344800759602E-6</v>
      </c>
      <c r="CB67" s="163" t="str">
        <f>IF($BD67&lt;&gt;"",$BD67/'Elements and ions'!$B$14,"")</f>
        <v/>
      </c>
      <c r="CC67" s="89" t="str">
        <f>IF($BE67&lt;&gt;"",$BE67/'Elements and ions'!$B$27, "")</f>
        <v/>
      </c>
      <c r="CD67" s="249" t="str">
        <f>IF($BF67&lt;&gt;"",$BF67/'Elements and ions'!$B$26,"")</f>
        <v/>
      </c>
      <c r="CE67" s="250">
        <f>IF($BG67&lt;&gt;"",$BG67/'Elements and ions'!$G$6,"")</f>
        <v>0</v>
      </c>
      <c r="CF67" s="91" t="str">
        <f>IF($BH67&lt;&gt;"",$BH67/'Elements and ions'!$G$15,"")</f>
        <v/>
      </c>
      <c r="CG67" s="89" t="str">
        <f>IF($BI67&lt;&gt;"",$BI67/'Elements and ions'!$G$16,"")</f>
        <v/>
      </c>
      <c r="CH67" s="90">
        <f>IF($BJ67&lt;&gt;"",$BJ67/'Elements and ions'!$G$2,"")</f>
        <v>5.107659343979519E-2</v>
      </c>
      <c r="CI67" s="91" t="str">
        <f>IF($BK67&lt;&gt;"",$BK67/'Elements and ions'!$B$15, "")</f>
        <v/>
      </c>
      <c r="CJ67" s="88" t="str">
        <f>IF($BL67&lt;&gt;"", $BL67/'Elements and ions'!$G$17,"")</f>
        <v/>
      </c>
      <c r="CK67" s="89">
        <f t="shared" si="68"/>
        <v>1.5135612484362064E-3</v>
      </c>
      <c r="CL67" s="163" t="str">
        <f>IF($BN67&lt;&gt;"", $BN67/'Elements and ions'!$G$19,"")</f>
        <v/>
      </c>
      <c r="CM67" s="89">
        <f>IF($BO67&lt;&gt;"",$BO67/'Elements and ions'!$G$4,"")</f>
        <v>2.9391511728391037E-2</v>
      </c>
      <c r="CN67" s="89">
        <f>IF($BP67&lt;&gt;"",$BP67/'Elements and ions'!$B$10,"")</f>
        <v>5.9478682924257557E-3</v>
      </c>
      <c r="CO67" s="104">
        <f>IF($BQ67&lt;&gt;"",$BQ67/'Elements and ions'!$G$18,"")</f>
        <v>0</v>
      </c>
      <c r="CP67" s="242"/>
      <c r="CQ67" s="238">
        <f t="shared" si="689"/>
        <v>1.4971007138354369E-4</v>
      </c>
      <c r="CR67" s="239">
        <f t="shared" si="690"/>
        <v>2.7568973587086907E-5</v>
      </c>
      <c r="CS67" s="239">
        <f t="shared" si="691"/>
        <v>1.7785293677329206E-3</v>
      </c>
      <c r="CT67" s="241">
        <f t="shared" si="692"/>
        <v>1.7360213947747378E-4</v>
      </c>
      <c r="CU67" s="238">
        <f t="shared" si="693"/>
        <v>3.8745558392311212E-3</v>
      </c>
      <c r="CV67" s="239">
        <f t="shared" si="694"/>
        <v>1.5777226186782498E-4</v>
      </c>
      <c r="CW67" s="239">
        <f t="shared" si="695"/>
        <v>3.0323571201630839E-4</v>
      </c>
      <c r="CX67" s="241">
        <f t="shared" si="696"/>
        <v>9.3255856077182993E-5</v>
      </c>
      <c r="CY67" s="258">
        <f t="shared" si="98"/>
        <v>6.6069344800759602E-9</v>
      </c>
      <c r="CZ67" s="259" t="str">
        <f t="shared" si="697"/>
        <v/>
      </c>
      <c r="DA67" s="260" t="str">
        <f t="shared" si="698"/>
        <v/>
      </c>
      <c r="DB67" s="261" t="str">
        <f t="shared" si="699"/>
        <v/>
      </c>
      <c r="DC67" s="262">
        <f t="shared" si="700"/>
        <v>0</v>
      </c>
      <c r="DD67" s="263" t="str">
        <f t="shared" si="701"/>
        <v/>
      </c>
      <c r="DE67" s="259" t="str">
        <f t="shared" si="702"/>
        <v/>
      </c>
      <c r="DF67" s="260">
        <f t="shared" si="703"/>
        <v>5.1076593439795192E-5</v>
      </c>
      <c r="DG67" s="260" t="str">
        <f t="shared" si="704"/>
        <v/>
      </c>
      <c r="DH67" s="264" t="str">
        <f t="shared" si="705"/>
        <v/>
      </c>
      <c r="DI67" s="258">
        <f t="shared" si="108"/>
        <v>1.5135612484362063E-6</v>
      </c>
      <c r="DJ67" s="260" t="str">
        <f t="shared" si="706"/>
        <v/>
      </c>
      <c r="DK67" s="260">
        <f t="shared" si="707"/>
        <v>2.9391511728391036E-5</v>
      </c>
      <c r="DL67" s="260">
        <f t="shared" si="708"/>
        <v>5.947868292425756E-6</v>
      </c>
      <c r="DM67" s="265">
        <f t="shared" si="709"/>
        <v>0</v>
      </c>
      <c r="DN67" s="242"/>
      <c r="DO67" s="238">
        <f t="shared" si="710"/>
        <v>0.1497100713835437</v>
      </c>
      <c r="DP67" s="239">
        <f t="shared" si="711"/>
        <v>2.7568973587086907E-2</v>
      </c>
      <c r="DQ67" s="239">
        <f t="shared" si="712"/>
        <v>3.5570587354658412</v>
      </c>
      <c r="DR67" s="241">
        <f t="shared" si="713"/>
        <v>0.34720427895494754</v>
      </c>
      <c r="DS67" s="238">
        <f t="shared" si="714"/>
        <v>-3.8745558392311215</v>
      </c>
      <c r="DT67" s="239">
        <f t="shared" si="715"/>
        <v>-0.15777226186782498</v>
      </c>
      <c r="DU67" s="239">
        <f t="shared" si="716"/>
        <v>-0.30323571201630839</v>
      </c>
      <c r="DV67" s="241">
        <f t="shared" si="717"/>
        <v>-0.18651171215436599</v>
      </c>
      <c r="DW67" s="91">
        <f t="shared" si="113"/>
        <v>6.6069344800759602E-6</v>
      </c>
      <c r="DX67" s="89">
        <f t="shared" si="718"/>
        <v>0</v>
      </c>
      <c r="DY67" s="89">
        <f t="shared" si="719"/>
        <v>0</v>
      </c>
      <c r="DZ67" s="89">
        <f t="shared" si="720"/>
        <v>0</v>
      </c>
      <c r="EA67" s="90">
        <f t="shared" si="721"/>
        <v>0</v>
      </c>
      <c r="EB67" s="91">
        <f t="shared" si="118"/>
        <v>-1.5135612484362064E-3</v>
      </c>
      <c r="EC67" s="89">
        <f t="shared" si="722"/>
        <v>0</v>
      </c>
      <c r="ED67" s="89">
        <f t="shared" si="723"/>
        <v>-5.8783023456782074E-2</v>
      </c>
      <c r="EE67" s="89">
        <f t="shared" si="724"/>
        <v>-5.9478682924257557E-3</v>
      </c>
      <c r="EF67" s="90">
        <f t="shared" si="725"/>
        <v>0</v>
      </c>
      <c r="EG67" s="242"/>
      <c r="EH67" s="245">
        <f t="shared" si="726"/>
        <v>4.0815486663259</v>
      </c>
      <c r="EI67" s="246">
        <f t="shared" si="727"/>
        <v>-4.5883199782672648</v>
      </c>
      <c r="EJ67" s="198">
        <f t="shared" si="728"/>
        <v>-5.8452017292950016</v>
      </c>
      <c r="EK67" s="198">
        <f t="shared" si="729"/>
        <v>1.0440944816339467E-2</v>
      </c>
      <c r="EL67" s="101">
        <f>IF(AND(CS67&lt;&gt;"",DK67&lt;&gt;""),LOG(CS67*DK67/Minerals!$C$6),"")</f>
        <v>1.1984549712648811</v>
      </c>
      <c r="EM67" s="94">
        <f>IF(AND(CS67&lt;&gt;"",DK67&lt;&gt;""),LOG(CS67*DK67/Minerals!$C$5),"")</f>
        <v>1.0679754419086633</v>
      </c>
      <c r="EN67" s="94">
        <f>IF(AND(CS67&lt;&gt;"",DL67&lt;&gt;""),LOG(CS67*DL67^2/Minerals!$C$2),"")</f>
        <v>-2.6312913285663253</v>
      </c>
      <c r="EO67" s="94">
        <f>IF(AND(CS67&lt;&gt;"",CX67&lt;&gt;""),LOG($CS67*$CX67/Minerals!$C$3),"")</f>
        <v>-2.1802824810419081</v>
      </c>
      <c r="EP67" s="95">
        <f>IF(AND(CS67&lt;&gt;"",CX67&lt;&gt;""),LOG($CS67*$CX67/Minerals!$C$4),"")</f>
        <v>-2.4202669925078104</v>
      </c>
      <c r="EQ67" s="199"/>
      <c r="ER67" s="101">
        <f t="shared" si="752"/>
        <v>0.89876473235474685</v>
      </c>
      <c r="ES67" s="94">
        <f t="shared" si="752"/>
        <v>0.89876473235474685</v>
      </c>
      <c r="ET67" s="94">
        <f t="shared" si="753"/>
        <v>0.65250536856992536</v>
      </c>
      <c r="EU67" s="94">
        <f t="shared" si="753"/>
        <v>0.65250536856992536</v>
      </c>
      <c r="EV67" s="95">
        <f t="shared" si="753"/>
        <v>0.65250536856992536</v>
      </c>
      <c r="EW67" s="101">
        <f t="shared" si="754"/>
        <v>0.89876473235474685</v>
      </c>
      <c r="EX67" s="94">
        <f t="shared" ref="EX67:EX123" si="758">10^(-0.5*4*SQRT($EK67)/(1+SQRT($EK67)))</f>
        <v>0.65250536856992536</v>
      </c>
      <c r="EY67" s="94">
        <f t="shared" si="754"/>
        <v>0.89876473235474685</v>
      </c>
      <c r="EZ67" s="94">
        <f t="shared" si="754"/>
        <v>0.89876473235474685</v>
      </c>
      <c r="FA67" s="94">
        <f t="shared" si="165"/>
        <v>0.89876473235474685</v>
      </c>
      <c r="FB67" s="95">
        <f t="shared" ref="FB67:FB123" si="759">10^(-0.5*4*SQRT($EK67)/(1+SQRT($EK67)))</f>
        <v>0.65250536856992536</v>
      </c>
      <c r="FC67" s="199"/>
      <c r="FD67" s="101">
        <f t="shared" si="730"/>
        <v>1.3455413223784069E-4</v>
      </c>
      <c r="FE67" s="94">
        <f t="shared" si="731"/>
        <v>2.4778021167293249E-5</v>
      </c>
      <c r="FF67" s="94">
        <f t="shared" si="732"/>
        <v>1.1604999606050056E-3</v>
      </c>
      <c r="FG67" s="94">
        <f t="shared" si="733"/>
        <v>1.1327632800427662E-4</v>
      </c>
      <c r="FH67" s="95" t="str">
        <f t="shared" si="734"/>
        <v/>
      </c>
      <c r="FI67" s="101">
        <f t="shared" si="735"/>
        <v>3.4823141418400803E-3</v>
      </c>
      <c r="FJ67" s="94">
        <f t="shared" si="736"/>
        <v>1.9178119193161077E-5</v>
      </c>
      <c r="FK67" s="94">
        <f t="shared" si="737"/>
        <v>1.4180014471063877E-4</v>
      </c>
      <c r="FL67" s="94">
        <f t="shared" si="738"/>
        <v>2.7253756355073851E-4</v>
      </c>
      <c r="FM67" s="94">
        <f t="shared" si="739"/>
        <v>5.3457342539233201E-6</v>
      </c>
      <c r="FN67" s="95">
        <f t="shared" si="740"/>
        <v>6.0849946740946205E-5</v>
      </c>
      <c r="FO67" s="199"/>
      <c r="FP67" s="101">
        <f>IF(EL67&lt;&gt;"",LOG(FF67*FJ67/Minerals!$C$6),"")</f>
        <v>0.82762314973977946</v>
      </c>
      <c r="FQ67" s="94">
        <f>IF(EL67&lt;&gt;"",LOG(FF67*FJ67/Minerals!$C$5),"")</f>
        <v>0.6971436203835617</v>
      </c>
      <c r="FR67" s="94">
        <f>IF(EN67&lt;&gt;"",LOG(FF67*FM67^2/Minerals!$C$2),"")</f>
        <v>-2.9094151947101512</v>
      </c>
      <c r="FS67" s="94">
        <f>IF(EO67&lt;&gt;"",LOG($FF67*$FN67/Minerals!$C$3),"")</f>
        <v>-2.5511143025670098</v>
      </c>
      <c r="FT67" s="95">
        <f>IF(EP67&lt;&gt;"",LOG($FF67*$FN67/Minerals!$C$4),"")</f>
        <v>-2.791098814032912</v>
      </c>
      <c r="FU67" s="96"/>
      <c r="FV67" s="101">
        <f>IF(FP67&lt;&gt;"",LOG(FF67*FJ67/(EXP(-1*Minerals!$E$6/'Other Constants'!$B$2*(1/(273.15+'ppm-mgL-1'!$D67)-1/298.15)+LN(Minerals!$C$6)))),"")</f>
        <v>-0.59356424387248197</v>
      </c>
      <c r="FW67" s="94">
        <f>IF(FP67&lt;&gt;"",LOG(FF67*FJ67/(EXP(-1*Minerals!$E$5/'Other Constants'!$B$2*(1/(273.15+'ppm-mgL-1'!$D67)-1/298.15)+LN(Minerals!$C$5)))),"")</f>
        <v>-0.72417225283630138</v>
      </c>
      <c r="FX67" s="94">
        <f>IF(FR67&lt;&gt;"",LOG(FF67*FM67^2/(EXP(-1*Minerals!$E$2/'Other Constants'!$B$2*(1/(273.15+'ppm-mgL-1'!$D67)-1/298.15)+LN(Minerals!$C$2)))),"")</f>
        <v>-2.8493295648885399</v>
      </c>
      <c r="FY67" s="94">
        <f>IF(FS67&lt;&gt;"",LOG($FF67*$FN67/(EXP(-1*Minerals!$E$3/'Other Constants'!$B$2*(1/(273.15+'ppm-mgL-1'!$D67)-1/298.15)+LN(Minerals!$C$3)))),"")</f>
        <v>-1.3260012869369537</v>
      </c>
      <c r="FZ67" s="95">
        <f>IF(FT67&lt;&gt;"",LOG($FF67*$FN67/(EXP(-1*Minerals!$E$4/'Other Constants'!$B$2*(1/(273.15+'ppm-mgL-1'!$D67)-1/298.15)+LN(Minerals!$C$4)))),"")</f>
        <v>-2.826195160176042</v>
      </c>
      <c r="GA67" s="96"/>
      <c r="GB67" s="96"/>
      <c r="GC67" s="101">
        <f>10^(-1825000*(79.755*EXP(-0.0046*($D67-20))*($D67+273.15))^-1.5*$EK67^0.5/(1+'Elements and ions'!$D$12*$EK67^0.5/(2*(79.755*EXP(-0.0046*($D67-20))*($D67+273.15))^0.5)))</f>
        <v>0.89924014740477054</v>
      </c>
      <c r="GD67" s="94">
        <f>10^(-1825000*(79.755*EXP(-0.0046*($D67-20))*($D67+273.15))^-1.5*$EK67^0.5/(1+'Elements and ions'!$D$20*$EK67^0.5/(2*(79.755*EXP(-0.0046*($D67-20))*($D67+273.15))^0.5)))</f>
        <v>0.89634226890241997</v>
      </c>
      <c r="GE67" s="94">
        <f>10^(-1825000*(79.755*EXP(-0.0046*($D67-20))*($D67+273.15))^-1.5*4*$EK67^0.5/(1+'Elements and ions'!$D$21*$EK67^0.5/(2*(79.755*EXP(-0.0046*($D67-20))*($D67+273.15))^0.5)))</f>
        <v>0.66954563928124622</v>
      </c>
      <c r="GF67" s="94">
        <f>10^(-1825000*(79.755*EXP(-0.0046*($D67-20))*($D67+273.15))^-1.5*4*$EK67^0.5/(1+'Elements and ions'!$D$13*$EK67^0.5/(2*(79.755*EXP(-0.0046*($D67-20))*($D67+273.15))^0.5)))</f>
        <v>0.68386917101498701</v>
      </c>
      <c r="GG67" s="95">
        <f>10^(-1825000*(79.755*EXP(-0.0046*($D67-20))*($D67+273.15))^-1.5*4*$EK67^0.5/(1+'Elements and ions'!$D$27*$EK67^0.5/(2*(79.755*EXP(-0.0046*($D67-20))*($D67+273.15))^0.5)))</f>
        <v>0.66954563928124622</v>
      </c>
      <c r="GH67" s="101">
        <f>10^(-1825000*(79.755*EXP(-0.0046*($D67-20))*($D67+273.15))^-1.5*$EK67^0.5/(1+'Elements and ions'!$G$3*$EK67^0.5/(2*(79.755*EXP(-0.0046*($D67-20))*($D67+273.15))^0.5)))</f>
        <v>0.88869270155482727</v>
      </c>
      <c r="GI67" s="94">
        <f>10^(-1825000*(79.755*EXP(-0.0046*($D67-20))*($D67+273.15))^-1.5*4*$EK67^0.5/(1+'Elements and ions'!$G$4*$EK67^0.5/(2*(79.755*EXP(-0.0046*($D67-20))*($D67+273.15))^0.5)))</f>
        <v>0.62364682700223673</v>
      </c>
      <c r="GJ67" s="94">
        <f>10^(-1825000*(79.755*EXP(-0.0046*($D67-20))*($D67+273.15))^-1.5*$EK67^0.5/(1+'Elements and ions'!$D$18*$EK67^0.5/(2*(79.755*EXP(-0.0046*($D67-20))*($D67+273.15))^0.5)))</f>
        <v>0.89634226890241997</v>
      </c>
      <c r="GK67" s="94">
        <f>10^(-1825000*(79.755*EXP(-0.0046*($D67-20))*($D67+273.15))^-1.5*$EK67^0.5/(1+'Elements and ions'!$I$7*$EK67^0.5/(2*(79.755*EXP(-0.0046*($D67-20))*($D67+273.15))^0.5)))</f>
        <v>0.89634226890241997</v>
      </c>
      <c r="GL67" s="94">
        <f>10^(-1825000*(79.755*EXP(-0.0046*($D67-20))*($D67+273.15))^-1.5*$EK67^0.5/(1+'Elements and ions'!$D$10*$EK67^0.5/(2*(79.755*EXP(-0.0046*($D67-20))*($D67+273.15))^0.5)))</f>
        <v>0.897811727707442</v>
      </c>
      <c r="GM67" s="95">
        <f>10^(-1825000*(79.755*EXP(-0.0046*($D67-20))*($D67+273.15))^-1.5*4*$EK67^0.5/(1+'Elements and ions'!$I$5*$EK67^0.5/(2*(79.755*EXP(-0.0046*($D67-20))*($D67+273.15))^0.5)))</f>
        <v>0.65388707430044712</v>
      </c>
      <c r="GN67" s="96"/>
      <c r="GO67" s="101">
        <f t="shared" si="741"/>
        <v>1.3462530665891656E-4</v>
      </c>
      <c r="GP67" s="94">
        <f t="shared" si="742"/>
        <v>2.4711236336360365E-5</v>
      </c>
      <c r="GQ67" s="94">
        <f t="shared" si="743"/>
        <v>1.190806582499209E-3</v>
      </c>
      <c r="GR67" s="94">
        <f t="shared" si="744"/>
        <v>1.1872115121088815E-4</v>
      </c>
      <c r="GS67" s="95" t="str">
        <f t="shared" si="745"/>
        <v/>
      </c>
      <c r="GT67" s="101">
        <f t="shared" si="746"/>
        <v>3.443289496091336E-3</v>
      </c>
      <c r="GU67" s="94">
        <f t="shared" si="747"/>
        <v>1.8329923030210096E-5</v>
      </c>
      <c r="GV67" s="94">
        <f t="shared" si="748"/>
        <v>1.4141794717247301E-4</v>
      </c>
      <c r="GW67" s="94">
        <f t="shared" si="749"/>
        <v>2.7180298612093867E-4</v>
      </c>
      <c r="GX67" s="94">
        <f t="shared" si="750"/>
        <v>5.3400659077990807E-6</v>
      </c>
      <c r="GY67" s="102">
        <f t="shared" si="751"/>
        <v>6.097879889169276E-5</v>
      </c>
      <c r="GZ67" s="199"/>
      <c r="HA67" s="92">
        <f>IF(AND(GQ67&lt;&gt;"",GU67&lt;&gt;""),LOG(GQ67*GU67/Minerals!$C$6),"")</f>
        <v>0.81917387418916654</v>
      </c>
      <c r="HB67" s="94">
        <f>IF(AND(GQ67&lt;&gt;"",GU67&lt;&gt;""),LOG(GQ67*GU67/Minerals!$C$5),"")</f>
        <v>0.68869434483294889</v>
      </c>
      <c r="HC67" s="94">
        <f>IF(AND(GQ67&lt;&gt;"",GX67&lt;&gt;""),LOG(GQ67*GX67^2/Minerals!$C$2),"")</f>
        <v>-2.8991405945296482</v>
      </c>
      <c r="HD67" s="94">
        <f>IF(AND(GQ67&lt;&gt;"",GY67&lt;&gt;""),LOG($GQ67*$GY67/Minerals!$C$3),"")</f>
        <v>-2.5389995426541305</v>
      </c>
      <c r="HE67" s="102">
        <f>IF(AND(GQ67&lt;&gt;"",GY67&lt;&gt;""),LOG($GQ67*$GY67/Minerals!$C$3),"")</f>
        <v>-2.5389995426541305</v>
      </c>
      <c r="HF67" s="199"/>
      <c r="HG67" s="92">
        <f>IF(HA67&lt;&gt;"",LOG(GQ67*GU67/(EXP(-1*Minerals!$E$6/'Other Constants'!$B$2*(1/(273.15+'ppm-mgL-1'!$D67)-1/298.15)+LN(Minerals!$C$6)))),"")</f>
        <v>-0.60201351942309489</v>
      </c>
      <c r="HH67" s="94">
        <f>IF(HA67&lt;&gt;"",LOG(GQ67*GU67/(EXP(-1*Minerals!$E$5/'Other Constants'!$B$2*(1/(273.15+'ppm-mgL-1'!$D67)-1/298.15)+LN(Minerals!$C$5)))),"")</f>
        <v>-0.7326215283869143</v>
      </c>
      <c r="HI67" s="94">
        <f>IF(HC67&lt;&gt;"",LOG(GQ67*GX67^2/(EXP(-1*Minerals!$E$2/'Other Constants'!$B$2*(1/(273.15+'ppm-mgL-1'!$D67)-1/298.15)+LN(Minerals!$C$2)))),"")</f>
        <v>-2.8390549647080365</v>
      </c>
      <c r="HJ67" s="94">
        <f>IF(HD67&lt;&gt;"",LOG($FF67*$FN67/(EXP(-1*Minerals!$E$3/'Other Constants'!$B$2*(1/(273.15+'ppm-mgL-1'!$D67)-1/298.15)+LN(Minerals!$C$3)))),"")</f>
        <v>-1.3260012869369537</v>
      </c>
      <c r="HK67" s="95">
        <f>IF(HE67&lt;&gt;"",LOG($FF67*$FN67/(EXP(-1*Minerals!$E$4/'Other Constants'!$B$2*(1/(273.15+'ppm-mgL-1'!$D67)-1/298.15)+LN(Minerals!$C$4)))),"")</f>
        <v>-2.826195160176042</v>
      </c>
      <c r="HL67" s="199"/>
      <c r="HM67" s="199"/>
    </row>
    <row r="68" spans="1:221" x14ac:dyDescent="0.25">
      <c r="A68" s="267" t="str">
        <f>'WC samples'!B39</f>
        <v>ISSR 3</v>
      </c>
      <c r="C68" s="266">
        <f>'WC samples'!A39</f>
        <v>41659</v>
      </c>
      <c r="D68" s="4">
        <f>'WC samples'!I39</f>
        <v>21</v>
      </c>
      <c r="E68" s="4">
        <f>'WC samples'!F39</f>
        <v>8.2200000000000006</v>
      </c>
      <c r="AD68" s="83">
        <f>IF(E68&lt;&gt;"",10^(-2*$E68)/(10^(-2*$E68)+10^(-$E68-pKa!$B$2)+(10^(-pKa!$B$2-pKa!$C$2))),"")</f>
        <v>1.1782975304997416E-2</v>
      </c>
      <c r="AE68" s="84">
        <f>IF(E68&lt;&gt;"",10^(-$E68-pKa!$B$2)/(10^(-2*$E68)+10^(-$E68-pKa!$B$2)+10^(-pKa!$B$2-pKa!$C$2)),"")</f>
        <v>0.98006519744943232</v>
      </c>
      <c r="AF68" s="212">
        <f>IF(E68&lt;&gt;"",10^(-pKa!$B$2-pKa!$C$2)/(10^(-2*$E68)+10^(-$E68-pKa!$B$2)+10^(-pKa!$B$2-pKa!$C$2)),"")</f>
        <v>8.151827245570226E-3</v>
      </c>
      <c r="AG68" s="152"/>
      <c r="AH68" s="222">
        <f>IF($AK68&lt;&gt;"",$AK68/'Elements and ions'!$G$3,IF($E68="","",""))</f>
        <v>3.7858401057806339</v>
      </c>
      <c r="AI68" s="85">
        <f t="shared" si="688"/>
        <v>3.7996354912599416E-3</v>
      </c>
      <c r="AJ68" s="84">
        <f>IF(AI68&lt;&gt;"",AI68*1000*'Elements and ions'!$B$7,"")</f>
        <v>45.63628199487578</v>
      </c>
      <c r="AK68" s="99">
        <f>'WC samples'!H39</f>
        <v>231</v>
      </c>
      <c r="AL68" s="88">
        <f>IF($AK68&lt;&gt;"",$AK68/'Elements and ions'!$G$3*Minerals!$B$6/2,IF($E68="","","Enter Alk(HCO3-)"))</f>
        <v>189.45650004162786</v>
      </c>
      <c r="AM68" s="199"/>
      <c r="AN68" s="101">
        <f t="shared" si="755"/>
        <v>4.4771011161507613E-5</v>
      </c>
      <c r="AO68" s="94">
        <f t="shared" si="756"/>
        <v>3.7238905079775455E-3</v>
      </c>
      <c r="AP68" s="95">
        <f t="shared" si="757"/>
        <v>3.0973972120888402E-5</v>
      </c>
      <c r="AQ68" s="199"/>
      <c r="AR68" s="199"/>
      <c r="AS68" s="83">
        <f t="shared" ref="AS68:AS124" si="760">IF(AT68&lt;&gt;"",AT68/10000,"")</f>
        <v>0.13167944459266945</v>
      </c>
      <c r="AT68" s="83">
        <f>IF(AN68&lt;&gt;"",AN68/'Henrys law constants'!$B$7*1000000,"")</f>
        <v>1316.7944459266944</v>
      </c>
      <c r="AU68" s="268">
        <f>'WC samples'!K39</f>
        <v>3.3235999999999999</v>
      </c>
      <c r="AV68" s="269">
        <f>'WC samples'!M39</f>
        <v>1.0848</v>
      </c>
      <c r="AW68" s="269">
        <f>'WC samples'!O39</f>
        <v>71.703900000000004</v>
      </c>
      <c r="AX68" s="269">
        <f>'WC samples'!N39</f>
        <v>4.2751000000000001</v>
      </c>
      <c r="AY68" s="226">
        <f>AO68*'Elements and ions'!$G$3*1000</f>
        <v>227.22003130278461</v>
      </c>
      <c r="AZ68" s="269">
        <f>'WC samples'!Q39</f>
        <v>5.1182999999999996</v>
      </c>
      <c r="BA68" s="269">
        <f>'WC samples'!T39</f>
        <v>17.236599999999999</v>
      </c>
      <c r="BB68" s="270">
        <f>'WC samples'!V39</f>
        <v>8.5337999999999994</v>
      </c>
      <c r="BC68" s="222">
        <f>IF($E68&lt;&gt;"",10^-$E68*'Elements and ions'!B69*1000,"")</f>
        <v>0</v>
      </c>
      <c r="BE68" s="6"/>
      <c r="BF68" s="6"/>
      <c r="BG68" s="270">
        <f>'WC samples'!L39</f>
        <v>0</v>
      </c>
      <c r="BH68" s="3"/>
      <c r="BJ68" s="92">
        <f>IF($AN68&lt;&gt;"",$AN68*'Elements and ions'!$G$2*1000,"")</f>
        <v>2.7769121176700535</v>
      </c>
      <c r="BK68" s="229"/>
      <c r="BL68" s="230"/>
      <c r="BM68" s="101">
        <f>IF($E68&lt;&gt;"",(10^-14+$E68)*'Elements and ions'!$G$8,"")</f>
        <v>139.80033480000017</v>
      </c>
      <c r="BO68" s="102">
        <f>IF($AP68&lt;&gt;"",$AP68*'Elements and ions'!$G$4*1000,"")</f>
        <v>1.8587139956051799</v>
      </c>
      <c r="BP68" s="269">
        <f>'WC samples'!P39</f>
        <v>0.1138</v>
      </c>
      <c r="BQ68" s="270">
        <f>'WC samples'!R39</f>
        <v>0</v>
      </c>
      <c r="BR68" s="195"/>
      <c r="BS68" s="238">
        <f>IF($AU68&lt;&gt;"",$AU68/'Elements and ions'!$B$12,"")</f>
        <v>0.1445686539747649</v>
      </c>
      <c r="BT68" s="239">
        <f>IF($AV68&lt;&gt;"",$AV68/'Elements and ions'!$B$20,"")</f>
        <v>2.7745451848290078E-2</v>
      </c>
      <c r="BU68" s="239">
        <f>IF($AW68&lt;&gt;"",$AW68/'Elements and ions'!$B$21, "")</f>
        <v>1.789108737960976</v>
      </c>
      <c r="BV68" s="240">
        <f>IF($AX68&lt;&gt;"",$AX68/'Elements and ions'!$B$13, "")</f>
        <v>0.1758938490022629</v>
      </c>
      <c r="BW68" s="238">
        <f>IF($AY68&lt;&gt;"",$AY68/'Elements and ions'!$G$3,"")</f>
        <v>3.7238905079775457</v>
      </c>
      <c r="BX68" s="239">
        <f>IF($AZ68&lt;&gt;"",$AZ68/'Elements and ions'!$B$18,"")</f>
        <v>0.14436860068259383</v>
      </c>
      <c r="BY68" s="239">
        <f>IF($BA68&lt;&gt;"",$BA68/'Elements and ions'!$G$7,"")</f>
        <v>0.27798770742312301</v>
      </c>
      <c r="BZ68" s="241">
        <f>IF($BB68&lt;&gt;"",$BB68/'Elements and ions'!$G$5,"")</f>
        <v>8.8835821641304727E-2</v>
      </c>
      <c r="CA68" s="91">
        <f t="shared" ref="CA68:CA124" si="761">IF($E68&lt;&gt;"",10^-$E68*1000,"")</f>
        <v>6.0255958607435579E-6</v>
      </c>
      <c r="CB68" s="163" t="str">
        <f>IF($BD68&lt;&gt;"",$BD68/'Elements and ions'!$B$14,"")</f>
        <v/>
      </c>
      <c r="CC68" s="89" t="str">
        <f>IF($BE68&lt;&gt;"",$BE68/'Elements and ions'!$B$27, "")</f>
        <v/>
      </c>
      <c r="CD68" s="249" t="str">
        <f>IF($BF68&lt;&gt;"",$BF68/'Elements and ions'!$B$26,"")</f>
        <v/>
      </c>
      <c r="CE68" s="250">
        <f>IF($BG68&lt;&gt;"",$BG68/'Elements and ions'!$G$6,"")</f>
        <v>0</v>
      </c>
      <c r="CF68" s="91" t="str">
        <f>IF($BH68&lt;&gt;"",$BH68/'Elements and ions'!$G$15,"")</f>
        <v/>
      </c>
      <c r="CG68" s="89" t="str">
        <f>IF($BI68&lt;&gt;"",$BI68/'Elements and ions'!$G$16,"")</f>
        <v/>
      </c>
      <c r="CH68" s="90">
        <f>IF($BJ68&lt;&gt;"",$BJ68/'Elements and ions'!$G$2,"")</f>
        <v>4.4771011161507605E-2</v>
      </c>
      <c r="CI68" s="91" t="str">
        <f>IF($BK68&lt;&gt;"",$BK68/'Elements and ions'!$B$15, "")</f>
        <v/>
      </c>
      <c r="CJ68" s="88" t="str">
        <f>IF($BL68&lt;&gt;"", $BL68/'Elements and ions'!$G$17,"")</f>
        <v/>
      </c>
      <c r="CK68" s="89">
        <f t="shared" ref="CK68:CK124" si="762">IF($E68&lt;&gt;"",(10^(-14+$E68))*1000,"")</f>
        <v>1.6595869074375609E-3</v>
      </c>
      <c r="CL68" s="163" t="str">
        <f>IF($BN68&lt;&gt;"", $BN68/'Elements and ions'!$G$19,"")</f>
        <v/>
      </c>
      <c r="CM68" s="89">
        <f>IF($BO68&lt;&gt;"",$BO68/'Elements and ions'!$G$4,"")</f>
        <v>3.0973972120888402E-2</v>
      </c>
      <c r="CN68" s="89">
        <f>IF($BP68&lt;&gt;"",$BP68/'Elements and ions'!$B$10,"")</f>
        <v>5.9899770944960261E-3</v>
      </c>
      <c r="CO68" s="104">
        <f>IF($BQ68&lt;&gt;"",$BQ68/'Elements and ions'!$G$18,"")</f>
        <v>0</v>
      </c>
      <c r="CP68" s="242"/>
      <c r="CQ68" s="238">
        <f t="shared" si="689"/>
        <v>1.4456865397476489E-4</v>
      </c>
      <c r="CR68" s="239">
        <f t="shared" si="690"/>
        <v>2.774545184829008E-5</v>
      </c>
      <c r="CS68" s="239">
        <f t="shared" si="691"/>
        <v>1.7891087379609759E-3</v>
      </c>
      <c r="CT68" s="241">
        <f t="shared" si="692"/>
        <v>1.7589384900226291E-4</v>
      </c>
      <c r="CU68" s="238">
        <f t="shared" si="693"/>
        <v>3.7238905079775455E-3</v>
      </c>
      <c r="CV68" s="239">
        <f t="shared" si="694"/>
        <v>1.4436860068259383E-4</v>
      </c>
      <c r="CW68" s="239">
        <f t="shared" si="695"/>
        <v>2.77987707423123E-4</v>
      </c>
      <c r="CX68" s="241">
        <f t="shared" si="696"/>
        <v>8.8835821641304729E-5</v>
      </c>
      <c r="CY68" s="258">
        <f t="shared" si="98"/>
        <v>6.0255958607435582E-9</v>
      </c>
      <c r="CZ68" s="259" t="str">
        <f t="shared" si="697"/>
        <v/>
      </c>
      <c r="DA68" s="260" t="str">
        <f t="shared" si="698"/>
        <v/>
      </c>
      <c r="DB68" s="261" t="str">
        <f t="shared" si="699"/>
        <v/>
      </c>
      <c r="DC68" s="262">
        <f t="shared" si="700"/>
        <v>0</v>
      </c>
      <c r="DD68" s="263" t="str">
        <f t="shared" si="701"/>
        <v/>
      </c>
      <c r="DE68" s="259" t="str">
        <f t="shared" si="702"/>
        <v/>
      </c>
      <c r="DF68" s="260">
        <f t="shared" si="703"/>
        <v>4.4771011161507606E-5</v>
      </c>
      <c r="DG68" s="260" t="str">
        <f t="shared" si="704"/>
        <v/>
      </c>
      <c r="DH68" s="264" t="str">
        <f t="shared" si="705"/>
        <v/>
      </c>
      <c r="DI68" s="258">
        <f t="shared" si="108"/>
        <v>1.6595869074375609E-6</v>
      </c>
      <c r="DJ68" s="260" t="str">
        <f t="shared" si="706"/>
        <v/>
      </c>
      <c r="DK68" s="260">
        <f t="shared" si="707"/>
        <v>3.0973972120888402E-5</v>
      </c>
      <c r="DL68" s="260">
        <f t="shared" si="708"/>
        <v>5.9899770944960263E-6</v>
      </c>
      <c r="DM68" s="265">
        <f t="shared" si="709"/>
        <v>0</v>
      </c>
      <c r="DN68" s="242"/>
      <c r="DO68" s="238">
        <f t="shared" si="710"/>
        <v>0.1445686539747649</v>
      </c>
      <c r="DP68" s="239">
        <f t="shared" si="711"/>
        <v>2.7745451848290078E-2</v>
      </c>
      <c r="DQ68" s="239">
        <f t="shared" si="712"/>
        <v>3.5782174759219521</v>
      </c>
      <c r="DR68" s="241">
        <f t="shared" si="713"/>
        <v>0.35178769800452581</v>
      </c>
      <c r="DS68" s="238">
        <f t="shared" si="714"/>
        <v>-3.7238905079775457</v>
      </c>
      <c r="DT68" s="239">
        <f t="shared" si="715"/>
        <v>-0.14436860068259383</v>
      </c>
      <c r="DU68" s="239">
        <f t="shared" si="716"/>
        <v>-0.27798770742312301</v>
      </c>
      <c r="DV68" s="241">
        <f t="shared" si="717"/>
        <v>-0.17767164328260945</v>
      </c>
      <c r="DW68" s="91">
        <f t="shared" si="113"/>
        <v>6.0255958607435579E-6</v>
      </c>
      <c r="DX68" s="89">
        <f t="shared" si="718"/>
        <v>0</v>
      </c>
      <c r="DY68" s="89">
        <f t="shared" si="719"/>
        <v>0</v>
      </c>
      <c r="DZ68" s="89">
        <f t="shared" si="720"/>
        <v>0</v>
      </c>
      <c r="EA68" s="90">
        <f t="shared" si="721"/>
        <v>0</v>
      </c>
      <c r="EB68" s="91">
        <f t="shared" si="118"/>
        <v>-1.6595869074375609E-3</v>
      </c>
      <c r="EC68" s="89">
        <f t="shared" si="722"/>
        <v>0</v>
      </c>
      <c r="ED68" s="89">
        <f t="shared" si="723"/>
        <v>-6.1947944241776805E-2</v>
      </c>
      <c r="EE68" s="89">
        <f t="shared" si="724"/>
        <v>-5.9899770944960261E-3</v>
      </c>
      <c r="EF68" s="90">
        <f t="shared" si="725"/>
        <v>0</v>
      </c>
      <c r="EG68" s="242"/>
      <c r="EH68" s="245">
        <f t="shared" si="726"/>
        <v>4.102325305345393</v>
      </c>
      <c r="EI68" s="246">
        <f t="shared" si="727"/>
        <v>-4.3935159676095834</v>
      </c>
      <c r="EJ68" s="198">
        <f t="shared" si="728"/>
        <v>-3.4274494180010744</v>
      </c>
      <c r="EK68" s="198">
        <f t="shared" si="729"/>
        <v>1.0377629083918583E-2</v>
      </c>
      <c r="EL68" s="101">
        <f>IF(AND(CS68&lt;&gt;"",DK68&lt;&gt;""),LOG(CS68*DK68/Minerals!$C$6),"")</f>
        <v>1.2238056461397431</v>
      </c>
      <c r="EM68" s="94">
        <f>IF(AND(CS68&lt;&gt;"",DK68&lt;&gt;""),LOG(CS68*DK68/Minerals!$C$5),"")</f>
        <v>1.0933261167835253</v>
      </c>
      <c r="EN68" s="94">
        <f>IF(AND(CS68&lt;&gt;"",DL68&lt;&gt;""),LOG(CS68*DL68^2/Minerals!$C$2),"")</f>
        <v>-2.6225879954261053</v>
      </c>
      <c r="EO68" s="94">
        <f>IF(AND(CS68&lt;&gt;"",CX68&lt;&gt;""),LOG($CS68*$CX68/Minerals!$C$3),"")</f>
        <v>-2.1987947747815992</v>
      </c>
      <c r="EP68" s="95">
        <f>IF(AND(CS68&lt;&gt;"",CX68&lt;&gt;""),LOG($CS68*$CX68/Minerals!$C$4),"")</f>
        <v>-2.4387792862475015</v>
      </c>
      <c r="EQ68" s="199"/>
      <c r="ER68" s="101">
        <f t="shared" si="752"/>
        <v>0.89902914591926875</v>
      </c>
      <c r="ES68" s="94">
        <f t="shared" si="752"/>
        <v>0.89902914591926875</v>
      </c>
      <c r="ET68" s="94">
        <f t="shared" si="753"/>
        <v>0.65327356703732675</v>
      </c>
      <c r="EU68" s="94">
        <f t="shared" si="753"/>
        <v>0.65327356703732675</v>
      </c>
      <c r="EV68" s="95">
        <f t="shared" si="753"/>
        <v>0.65327356703732675</v>
      </c>
      <c r="EW68" s="101">
        <f t="shared" si="754"/>
        <v>0.89902914591926875</v>
      </c>
      <c r="EX68" s="94">
        <f t="shared" si="758"/>
        <v>0.65327356703732675</v>
      </c>
      <c r="EY68" s="94">
        <f t="shared" si="754"/>
        <v>0.89902914591926875</v>
      </c>
      <c r="EZ68" s="94">
        <f t="shared" si="754"/>
        <v>0.89902914591926875</v>
      </c>
      <c r="FA68" s="94">
        <f t="shared" si="165"/>
        <v>0.89902914591926875</v>
      </c>
      <c r="FB68" s="95">
        <f t="shared" si="759"/>
        <v>0.65327356703732675</v>
      </c>
      <c r="FC68" s="199"/>
      <c r="FD68" s="101">
        <f t="shared" si="730"/>
        <v>1.2997143350963118E-4</v>
      </c>
      <c r="FE68" s="94">
        <f t="shared" si="731"/>
        <v>2.4943969878312426E-5</v>
      </c>
      <c r="FF68" s="94">
        <f t="shared" si="732"/>
        <v>1.1687774470654168E-3</v>
      </c>
      <c r="FG68" s="94">
        <f t="shared" si="733"/>
        <v>1.1490680215763323E-4</v>
      </c>
      <c r="FH68" s="95" t="str">
        <f t="shared" si="734"/>
        <v/>
      </c>
      <c r="FI68" s="101">
        <f t="shared" si="735"/>
        <v>3.3478861028839245E-3</v>
      </c>
      <c r="FJ68" s="94">
        <f t="shared" si="736"/>
        <v>2.023447725272748E-5</v>
      </c>
      <c r="FK68" s="94">
        <f t="shared" si="737"/>
        <v>1.297915797692323E-4</v>
      </c>
      <c r="FL68" s="94">
        <f t="shared" si="738"/>
        <v>2.4991905118066586E-4</v>
      </c>
      <c r="FM68" s="94">
        <f t="shared" si="739"/>
        <v>5.3851639913407453E-6</v>
      </c>
      <c r="FN68" s="95">
        <f t="shared" si="740"/>
        <v>5.8034094084306888E-5</v>
      </c>
      <c r="FO68" s="199"/>
      <c r="FP68" s="101">
        <f>IF(EL68&lt;&gt;"",LOG(FF68*FJ68/Minerals!$C$6),"")</f>
        <v>0.85399581810769309</v>
      </c>
      <c r="FQ68" s="94">
        <f>IF(EL68&lt;&gt;"",LOG(FF68*FJ68/Minerals!$C$5),"")</f>
        <v>0.72351628875147544</v>
      </c>
      <c r="FR68" s="94">
        <f>IF(EN68&lt;&gt;"",LOG(FF68*FM68^2/Minerals!$C$2),"")</f>
        <v>-2.8999453664501429</v>
      </c>
      <c r="FS68" s="94">
        <f>IF(EO68&lt;&gt;"",LOG($FF68*$FN68/Minerals!$C$3),"")</f>
        <v>-2.5686046028136493</v>
      </c>
      <c r="FT68" s="95">
        <f>IF(EP68&lt;&gt;"",LOG($FF68*$FN68/Minerals!$C$4),"")</f>
        <v>-2.8085891142795516</v>
      </c>
      <c r="FU68" s="96"/>
      <c r="FV68" s="101">
        <f>IF(FP68&lt;&gt;"",LOG(FF68*FJ68/(EXP(-1*Minerals!$E$6/'Other Constants'!$B$2*(1/(273.15+'ppm-mgL-1'!$D68)-1/298.15)+LN(Minerals!$C$6)))),"")</f>
        <v>-0.7272486217604367</v>
      </c>
      <c r="FW68" s="94">
        <f>IF(FP68&lt;&gt;"",LOG(FF68*FJ68/(EXP(-1*Minerals!$E$5/'Other Constants'!$B$2*(1/(273.15+'ppm-mgL-1'!$D68)-1/298.15)+LN(Minerals!$C$5)))),"")</f>
        <v>-0.85787110036182068</v>
      </c>
      <c r="FX68" s="94">
        <f>IF(FR68&lt;&gt;"",LOG(FF68*FM68^2/(EXP(-1*Minerals!$E$2/'Other Constants'!$B$2*(1/(273.15+'ppm-mgL-1'!$D68)-1/298.15)+LN(Minerals!$C$2)))),"")</f>
        <v>-2.8330927694608676</v>
      </c>
      <c r="FY68" s="94">
        <f>IF(FS68&lt;&gt;"",LOG($FF68*$FN68/(EXP(-1*Minerals!$E$3/'Other Constants'!$B$2*(1/(273.15+'ppm-mgL-1'!$D68)-1/298.15)+LN(Minerals!$C$3)))),"")</f>
        <v>-1.2055168405085854</v>
      </c>
      <c r="FZ68" s="95">
        <f>IF(FT68&lt;&gt;"",LOG($FF68*$FN68/(EXP(-1*Minerals!$E$4/'Other Constants'!$B$2*(1/(273.15+'ppm-mgL-1'!$D68)-1/298.15)+LN(Minerals!$C$4)))),"")</f>
        <v>-2.8476380830840498</v>
      </c>
      <c r="GA68" s="96"/>
      <c r="GB68" s="96"/>
      <c r="GC68" s="101">
        <f>10^(-1825000*(79.755*EXP(-0.0046*($D68-20))*($D68+273.15))^-1.5*$EK68^0.5/(1+'Elements and ions'!$D$12*$EK68^0.5/(2*(79.755*EXP(-0.0046*($D68-20))*($D68+273.15))^0.5)))</f>
        <v>0.89956211009652709</v>
      </c>
      <c r="GD68" s="94">
        <f>10^(-1825000*(79.755*EXP(-0.0046*($D68-20))*($D68+273.15))^-1.5*$EK68^0.5/(1+'Elements and ions'!$D$20*$EK68^0.5/(2*(79.755*EXP(-0.0046*($D68-20))*($D68+273.15))^0.5)))</f>
        <v>0.89668154135240541</v>
      </c>
      <c r="GE68" s="94">
        <f>10^(-1825000*(79.755*EXP(-0.0046*($D68-20))*($D68+273.15))^-1.5*4*$EK68^0.5/(1+'Elements and ions'!$D$21*$EK68^0.5/(2*(79.755*EXP(-0.0046*($D68-20))*($D68+273.15))^0.5)))</f>
        <v>0.67040839361014126</v>
      </c>
      <c r="GF68" s="94">
        <f>10^(-1825000*(79.755*EXP(-0.0046*($D68-20))*($D68+273.15))^-1.5*4*$EK68^0.5/(1+'Elements and ions'!$D$13*$EK68^0.5/(2*(79.755*EXP(-0.0046*($D68-20))*($D68+273.15))^0.5)))</f>
        <v>0.68466648718262046</v>
      </c>
      <c r="GG68" s="95">
        <f>10^(-1825000*(79.755*EXP(-0.0046*($D68-20))*($D68+273.15))^-1.5*4*$EK68^0.5/(1+'Elements and ions'!$D$27*$EK68^0.5/(2*(79.755*EXP(-0.0046*($D68-20))*($D68+273.15))^0.5)))</f>
        <v>0.67040839361014126</v>
      </c>
      <c r="GH68" s="101">
        <f>10^(-1825000*(79.755*EXP(-0.0046*($D68-20))*($D68+273.15))^-1.5*$EK68^0.5/(1+'Elements and ions'!$G$3*$EK68^0.5/(2*(79.755*EXP(-0.0046*($D68-20))*($D68+273.15))^0.5)))</f>
        <v>0.88907981376487499</v>
      </c>
      <c r="GI68" s="94">
        <f>10^(-1825000*(79.755*EXP(-0.0046*($D68-20))*($D68+273.15))^-1.5*4*$EK68^0.5/(1+'Elements and ions'!$G$4*$EK68^0.5/(2*(79.755*EXP(-0.0046*($D68-20))*($D68+273.15))^0.5)))</f>
        <v>0.6247348443547277</v>
      </c>
      <c r="GJ68" s="94">
        <f>10^(-1825000*(79.755*EXP(-0.0046*($D68-20))*($D68+273.15))^-1.5*$EK68^0.5/(1+'Elements and ions'!$D$18*$EK68^0.5/(2*(79.755*EXP(-0.0046*($D68-20))*($D68+273.15))^0.5)))</f>
        <v>0.89668154135240541</v>
      </c>
      <c r="GK68" s="94">
        <f>10^(-1825000*(79.755*EXP(-0.0046*($D68-20))*($D68+273.15))^-1.5*$EK68^0.5/(1+'Elements and ions'!$I$7*$EK68^0.5/(2*(79.755*EXP(-0.0046*($D68-20))*($D68+273.15))^0.5)))</f>
        <v>0.89668154135240541</v>
      </c>
      <c r="GL68" s="94">
        <f>10^(-1825000*(79.755*EXP(-0.0046*($D68-20))*($D68+273.15))^-1.5*$EK68^0.5/(1+'Elements and ions'!$D$10*$EK68^0.5/(2*(79.755*EXP(-0.0046*($D68-20))*($D68+273.15))^0.5)))</f>
        <v>0.89814216681665149</v>
      </c>
      <c r="GM68" s="95">
        <f>10^(-1825000*(79.755*EXP(-0.0046*($D68-20))*($D68+273.15))^-1.5*4*$EK68^0.5/(1+'Elements and ions'!$I$5*$EK68^0.5/(2*(79.755*EXP(-0.0046*($D68-20))*($D68+273.15))^0.5)))</f>
        <v>0.65482404463241628</v>
      </c>
      <c r="GN68" s="96"/>
      <c r="GO68" s="101">
        <f t="shared" si="741"/>
        <v>1.3004848342335418E-4</v>
      </c>
      <c r="GP68" s="94">
        <f t="shared" si="742"/>
        <v>2.4878834528843695E-5</v>
      </c>
      <c r="GQ68" s="94">
        <f t="shared" si="743"/>
        <v>1.199433515010285E-3</v>
      </c>
      <c r="GR68" s="94">
        <f t="shared" si="744"/>
        <v>1.2042862371340962E-4</v>
      </c>
      <c r="GS68" s="95" t="str">
        <f t="shared" si="745"/>
        <v/>
      </c>
      <c r="GT68" s="101">
        <f t="shared" si="746"/>
        <v>3.3108358793134621E-3</v>
      </c>
      <c r="GU68" s="94">
        <f t="shared" si="747"/>
        <v>1.9350519651990891E-5</v>
      </c>
      <c r="GV68" s="94">
        <f t="shared" si="748"/>
        <v>1.2945265938295815E-4</v>
      </c>
      <c r="GW68" s="94">
        <f t="shared" si="749"/>
        <v>2.4926644596918746E-4</v>
      </c>
      <c r="GX68" s="94">
        <f t="shared" si="750"/>
        <v>5.3798510068327718E-6</v>
      </c>
      <c r="GY68" s="102">
        <f t="shared" si="751"/>
        <v>5.8171832035403103E-5</v>
      </c>
      <c r="GZ68" s="199"/>
      <c r="HA68" s="92">
        <f>IF(AND(GQ68&lt;&gt;"",GU68&lt;&gt;""),LOG(GQ68*GU68/Minerals!$C$6),"")</f>
        <v>0.84584081846133219</v>
      </c>
      <c r="HB68" s="94">
        <f>IF(AND(GQ68&lt;&gt;"",GU68&lt;&gt;""),LOG(GQ68*GU68/Minerals!$C$5),"")</f>
        <v>0.71536128910511454</v>
      </c>
      <c r="HC68" s="94">
        <f>IF(AND(GQ68&lt;&gt;"",GX68&lt;&gt;""),LOG(GQ68*GX68^2/Minerals!$C$2),"")</f>
        <v>-2.8895583792790918</v>
      </c>
      <c r="HD68" s="94">
        <f>IF(AND(GQ68&lt;&gt;"",GY68&lt;&gt;""),LOG($GQ68*$GY68/Minerals!$C$3),"")</f>
        <v>-2.556330713705413</v>
      </c>
      <c r="HE68" s="102">
        <f>IF(AND(GQ68&lt;&gt;"",GY68&lt;&gt;""),LOG($GQ68*$GY68/Minerals!$C$3),"")</f>
        <v>-2.556330713705413</v>
      </c>
      <c r="HF68" s="199"/>
      <c r="HG68" s="92">
        <f>IF(HA68&lt;&gt;"",LOG(GQ68*GU68/(EXP(-1*Minerals!$E$6/'Other Constants'!$B$2*(1/(273.15+'ppm-mgL-1'!$D68)-1/298.15)+LN(Minerals!$C$6)))),"")</f>
        <v>-0.73540362140679749</v>
      </c>
      <c r="HH68" s="94">
        <f>IF(HA68&lt;&gt;"",LOG(GQ68*GU68/(EXP(-1*Minerals!$E$5/'Other Constants'!$B$2*(1/(273.15+'ppm-mgL-1'!$D68)-1/298.15)+LN(Minerals!$C$5)))),"")</f>
        <v>-0.8660261000081817</v>
      </c>
      <c r="HI68" s="94">
        <f>IF(HC68&lt;&gt;"",LOG(GQ68*GX68^2/(EXP(-1*Minerals!$E$2/'Other Constants'!$B$2*(1/(273.15+'ppm-mgL-1'!$D68)-1/298.15)+LN(Minerals!$C$2)))),"")</f>
        <v>-2.8227057822898165</v>
      </c>
      <c r="HJ68" s="94">
        <f>IF(HD68&lt;&gt;"",LOG($FF68*$FN68/(EXP(-1*Minerals!$E$3/'Other Constants'!$B$2*(1/(273.15+'ppm-mgL-1'!$D68)-1/298.15)+LN(Minerals!$C$3)))),"")</f>
        <v>-1.2055168405085854</v>
      </c>
      <c r="HK68" s="95">
        <f>IF(HE68&lt;&gt;"",LOG($FF68*$FN68/(EXP(-1*Minerals!$E$4/'Other Constants'!$B$2*(1/(273.15+'ppm-mgL-1'!$D68)-1/298.15)+LN(Minerals!$C$4)))),"")</f>
        <v>-2.8476380830840498</v>
      </c>
      <c r="HL68" s="199"/>
      <c r="HM68" s="199"/>
    </row>
    <row r="69" spans="1:221" x14ac:dyDescent="0.25">
      <c r="A69" s="267" t="str">
        <f>'WC samples'!B40</f>
        <v>ISSR 3</v>
      </c>
      <c r="C69" s="266">
        <f>'WC samples'!A40</f>
        <v>41685</v>
      </c>
      <c r="D69" s="4">
        <f>'WC samples'!I40</f>
        <v>21</v>
      </c>
      <c r="E69" s="4">
        <f>'WC samples'!F40</f>
        <v>8.24</v>
      </c>
      <c r="AD69" s="83">
        <f>IF(E69&lt;&gt;"",10^(-2*$E69)/(10^(-2*$E69)+10^(-$E69-pKa!$B$2)+(10^(-pKa!$B$2-pKa!$C$2))),"")</f>
        <v>1.1254298732237848E-2</v>
      </c>
      <c r="AE69" s="84">
        <f>IF(E69&lt;&gt;"",10^(-$E69-pKa!$B$2)/(10^(-2*$E69)+10^(-$E69-pKa!$B$2)+10^(-pKa!$B$2-pKa!$C$2)),"")</f>
        <v>0.98020844262680717</v>
      </c>
      <c r="AF69" s="212">
        <f>IF(E69&lt;&gt;"",10^(-pKa!$B$2-pKa!$C$2)/(10^(-2*$E69)+10^(-$E69-pKa!$B$2)+10^(-pKa!$B$2-pKa!$C$2)),"")</f>
        <v>8.5372586409550137E-3</v>
      </c>
      <c r="AG69" s="152"/>
      <c r="AH69" s="222">
        <f>IF($AK69&lt;&gt;"",$AK69/'Elements and ions'!$G$3,IF($E69="","",""))</f>
        <v>3.7038955147464212</v>
      </c>
      <c r="AI69" s="85">
        <f t="shared" si="688"/>
        <v>3.7139848283771087E-3</v>
      </c>
      <c r="AJ69" s="84">
        <f>IF(AI69&lt;&gt;"",AI69*1000*'Elements and ions'!$B$7,"")</f>
        <v>44.607557578188938</v>
      </c>
      <c r="AK69" s="99">
        <f>'WC samples'!H40</f>
        <v>226</v>
      </c>
      <c r="AL69" s="88">
        <f>IF($AK69&lt;&gt;"",$AK69/'Elements and ions'!$G$3*Minerals!$B$6/2,IF($E69="","","Enter Alk(HCO3-)"))</f>
        <v>185.3557099974368</v>
      </c>
      <c r="AM69" s="199"/>
      <c r="AN69" s="101">
        <f t="shared" si="755"/>
        <v>4.1798294745555093E-5</v>
      </c>
      <c r="AO69" s="94">
        <f t="shared" si="756"/>
        <v>3.6404792845631155E-3</v>
      </c>
      <c r="AP69" s="95">
        <f t="shared" si="757"/>
        <v>3.1707249068438298E-5</v>
      </c>
      <c r="AQ69" s="199"/>
      <c r="AR69" s="199"/>
      <c r="AS69" s="83">
        <f t="shared" si="760"/>
        <v>0.12293616101633852</v>
      </c>
      <c r="AT69" s="83">
        <f>IF(AN69&lt;&gt;"",AN69/'Henrys law constants'!$B$7*1000000,"")</f>
        <v>1229.3616101633852</v>
      </c>
      <c r="AU69" s="268">
        <f>'WC samples'!K40</f>
        <v>3.3170000000000002</v>
      </c>
      <c r="AV69" s="269">
        <f>'WC samples'!M40</f>
        <v>1.087</v>
      </c>
      <c r="AW69" s="269">
        <f>'WC samples'!O40</f>
        <v>75.529600000000002</v>
      </c>
      <c r="AX69" s="269">
        <f>'WC samples'!N40</f>
        <v>4.7183000000000002</v>
      </c>
      <c r="AY69" s="226">
        <f>AO69*'Elements and ions'!$G$3*1000</f>
        <v>222.1305420295021</v>
      </c>
      <c r="AZ69" s="269">
        <f>'WC samples'!Q40</f>
        <v>5.1073000000000004</v>
      </c>
      <c r="BA69" s="269">
        <f>'WC samples'!T40</f>
        <v>17.6785</v>
      </c>
      <c r="BB69" s="270">
        <f>'WC samples'!V40</f>
        <v>8.3989999999999991</v>
      </c>
      <c r="BC69" s="222">
        <f>IF($E69&lt;&gt;"",10^-$E69*'Elements and ions'!B70*1000,"")</f>
        <v>0</v>
      </c>
      <c r="BE69" s="6"/>
      <c r="BF69" s="6"/>
      <c r="BG69" s="270">
        <f>'WC samples'!L40</f>
        <v>0</v>
      </c>
      <c r="BH69" s="3"/>
      <c r="BJ69" s="92">
        <f>IF($AN69&lt;&gt;"",$AN69*'Elements and ions'!$G$2*1000,"")</f>
        <v>2.5925300359682102</v>
      </c>
      <c r="BK69" s="229"/>
      <c r="BL69" s="230"/>
      <c r="BM69" s="101">
        <f>IF($E69&lt;&gt;"",(10^-14+$E69)*'Elements and ions'!$G$8,"")</f>
        <v>140.14048160000019</v>
      </c>
      <c r="BO69" s="102">
        <f>IF($AP69&lt;&gt;"",$AP69*'Elements and ions'!$G$4*1000,"")</f>
        <v>1.9027171386230068</v>
      </c>
      <c r="BP69" s="269">
        <f>'WC samples'!P40</f>
        <v>0.1082</v>
      </c>
      <c r="BQ69" s="270">
        <f>'WC samples'!R40</f>
        <v>0</v>
      </c>
      <c r="BR69" s="195"/>
      <c r="BS69" s="238">
        <f>IF($AU69&lt;&gt;"",$AU69/'Elements and ions'!$B$12,"")</f>
        <v>0.14428156975397013</v>
      </c>
      <c r="BT69" s="239">
        <f>IF($AV69&lt;&gt;"",$AV69/'Elements and ions'!$B$20,"")</f>
        <v>2.7801720279398336E-2</v>
      </c>
      <c r="BU69" s="239">
        <f>IF($AW69&lt;&gt;"",$AW69/'Elements and ions'!$B$21, "")</f>
        <v>1.8845650980587854</v>
      </c>
      <c r="BV69" s="240">
        <f>IF($AX69&lt;&gt;"",$AX69/'Elements and ions'!$B$13, "")</f>
        <v>0.194128780086402</v>
      </c>
      <c r="BW69" s="238">
        <f>IF($AY69&lt;&gt;"",$AY69/'Elements and ions'!$G$3,"")</f>
        <v>3.6404792845631158</v>
      </c>
      <c r="BX69" s="239">
        <f>IF($AZ69&lt;&gt;"",$AZ69/'Elements and ions'!$B$18,"")</f>
        <v>0.14405833074775054</v>
      </c>
      <c r="BY69" s="239">
        <f>IF($BA69&lt;&gt;"",$BA69/'Elements and ions'!$G$7,"")</f>
        <v>0.285114563526431</v>
      </c>
      <c r="BZ69" s="241">
        <f>IF($BB69&lt;&gt;"",$BB69/'Elements and ions'!$G$5,"")</f>
        <v>8.7432570011638233E-2</v>
      </c>
      <c r="CA69" s="91">
        <f t="shared" si="761"/>
        <v>5.7543993733715523E-6</v>
      </c>
      <c r="CB69" s="163" t="str">
        <f>IF($BD69&lt;&gt;"",$BD69/'Elements and ions'!$B$14,"")</f>
        <v/>
      </c>
      <c r="CC69" s="89" t="str">
        <f>IF($BE69&lt;&gt;"",$BE69/'Elements and ions'!$B$27, "")</f>
        <v/>
      </c>
      <c r="CD69" s="249" t="str">
        <f>IF($BF69&lt;&gt;"",$BF69/'Elements and ions'!$B$26,"")</f>
        <v/>
      </c>
      <c r="CE69" s="250">
        <f>IF($BG69&lt;&gt;"",$BG69/'Elements and ions'!$G$6,"")</f>
        <v>0</v>
      </c>
      <c r="CF69" s="91" t="str">
        <f>IF($BH69&lt;&gt;"",$BH69/'Elements and ions'!$G$15,"")</f>
        <v/>
      </c>
      <c r="CG69" s="89" t="str">
        <f>IF($BI69&lt;&gt;"",$BI69/'Elements and ions'!$G$16,"")</f>
        <v/>
      </c>
      <c r="CH69" s="90">
        <f>IF($BJ69&lt;&gt;"",$BJ69/'Elements and ions'!$G$2,"")</f>
        <v>4.179829474555509E-2</v>
      </c>
      <c r="CI69" s="91" t="str">
        <f>IF($BK69&lt;&gt;"",$BK69/'Elements and ions'!$B$15, "")</f>
        <v/>
      </c>
      <c r="CJ69" s="88" t="str">
        <f>IF($BL69&lt;&gt;"", $BL69/'Elements and ions'!$G$17,"")</f>
        <v/>
      </c>
      <c r="CK69" s="89">
        <f t="shared" si="762"/>
        <v>1.7378008287493752E-3</v>
      </c>
      <c r="CL69" s="163" t="str">
        <f>IF($BN69&lt;&gt;"", $BN69/'Elements and ions'!$G$19,"")</f>
        <v/>
      </c>
      <c r="CM69" s="89">
        <f>IF($BO69&lt;&gt;"",$BO69/'Elements and ions'!$G$4,"")</f>
        <v>3.1707249068438297E-2</v>
      </c>
      <c r="CN69" s="89">
        <f>IF($BP69&lt;&gt;"",$BP69/'Elements and ions'!$B$10,"")</f>
        <v>5.6952154800041311E-3</v>
      </c>
      <c r="CO69" s="104">
        <f>IF($BQ69&lt;&gt;"",$BQ69/'Elements and ions'!$G$18,"")</f>
        <v>0</v>
      </c>
      <c r="CP69" s="242"/>
      <c r="CQ69" s="238">
        <f t="shared" si="689"/>
        <v>1.4428156975397014E-4</v>
      </c>
      <c r="CR69" s="239">
        <f t="shared" si="690"/>
        <v>2.7801720279398337E-5</v>
      </c>
      <c r="CS69" s="239">
        <f t="shared" si="691"/>
        <v>1.8845650980587854E-3</v>
      </c>
      <c r="CT69" s="241">
        <f t="shared" si="692"/>
        <v>1.94128780086402E-4</v>
      </c>
      <c r="CU69" s="238">
        <f t="shared" si="693"/>
        <v>3.6404792845631155E-3</v>
      </c>
      <c r="CV69" s="239">
        <f t="shared" si="694"/>
        <v>1.4405833074775055E-4</v>
      </c>
      <c r="CW69" s="239">
        <f t="shared" si="695"/>
        <v>2.8511456352643097E-4</v>
      </c>
      <c r="CX69" s="241">
        <f t="shared" si="696"/>
        <v>8.7432570011638231E-5</v>
      </c>
      <c r="CY69" s="258">
        <f t="shared" ref="CY69:CY125" si="763">IF($E69&lt;&gt;"",10^-$E69,"")</f>
        <v>5.754399373371552E-9</v>
      </c>
      <c r="CZ69" s="259" t="str">
        <f t="shared" si="697"/>
        <v/>
      </c>
      <c r="DA69" s="260" t="str">
        <f t="shared" si="698"/>
        <v/>
      </c>
      <c r="DB69" s="261" t="str">
        <f t="shared" si="699"/>
        <v/>
      </c>
      <c r="DC69" s="262">
        <f t="shared" si="700"/>
        <v>0</v>
      </c>
      <c r="DD69" s="263" t="str">
        <f t="shared" si="701"/>
        <v/>
      </c>
      <c r="DE69" s="259" t="str">
        <f t="shared" si="702"/>
        <v/>
      </c>
      <c r="DF69" s="260">
        <f t="shared" si="703"/>
        <v>4.1798294745555093E-5</v>
      </c>
      <c r="DG69" s="260" t="str">
        <f t="shared" si="704"/>
        <v/>
      </c>
      <c r="DH69" s="264" t="str">
        <f t="shared" si="705"/>
        <v/>
      </c>
      <c r="DI69" s="258">
        <f t="shared" ref="DI69:DI125" si="764">IF($E69&lt;&gt;"",(10^(-14+$E69)),"")</f>
        <v>1.7378008287493753E-6</v>
      </c>
      <c r="DJ69" s="260" t="str">
        <f t="shared" si="706"/>
        <v/>
      </c>
      <c r="DK69" s="260">
        <f t="shared" si="707"/>
        <v>3.1707249068438298E-5</v>
      </c>
      <c r="DL69" s="260">
        <f t="shared" si="708"/>
        <v>5.6952154800041314E-6</v>
      </c>
      <c r="DM69" s="265">
        <f t="shared" si="709"/>
        <v>0</v>
      </c>
      <c r="DN69" s="242"/>
      <c r="DO69" s="238">
        <f t="shared" si="710"/>
        <v>0.14428156975397013</v>
      </c>
      <c r="DP69" s="239">
        <f t="shared" si="711"/>
        <v>2.7801720279398336E-2</v>
      </c>
      <c r="DQ69" s="239">
        <f t="shared" si="712"/>
        <v>3.7691301961175707</v>
      </c>
      <c r="DR69" s="241">
        <f t="shared" si="713"/>
        <v>0.38825756017280399</v>
      </c>
      <c r="DS69" s="238">
        <f t="shared" si="714"/>
        <v>-3.6404792845631158</v>
      </c>
      <c r="DT69" s="239">
        <f t="shared" si="715"/>
        <v>-0.14405833074775054</v>
      </c>
      <c r="DU69" s="239">
        <f t="shared" si="716"/>
        <v>-0.285114563526431</v>
      </c>
      <c r="DV69" s="241">
        <f t="shared" si="717"/>
        <v>-0.17486514002327647</v>
      </c>
      <c r="DW69" s="91">
        <f t="shared" ref="DW69:DW125" si="765">IF($E69&lt;&gt;"",10^-$E69*1000,"")</f>
        <v>5.7543993733715523E-6</v>
      </c>
      <c r="DX69" s="89">
        <f t="shared" si="718"/>
        <v>0</v>
      </c>
      <c r="DY69" s="89">
        <f t="shared" si="719"/>
        <v>0</v>
      </c>
      <c r="DZ69" s="89">
        <f t="shared" si="720"/>
        <v>0</v>
      </c>
      <c r="EA69" s="90">
        <f t="shared" si="721"/>
        <v>0</v>
      </c>
      <c r="EB69" s="91">
        <f t="shared" ref="EB69:EB125" si="766">IF($E69&lt;&gt;"",(10^(-14+$E69))*-1000,"")</f>
        <v>-1.7378008287493752E-3</v>
      </c>
      <c r="EC69" s="89">
        <f t="shared" si="722"/>
        <v>0</v>
      </c>
      <c r="ED69" s="89">
        <f t="shared" si="723"/>
        <v>-6.3414498136876593E-2</v>
      </c>
      <c r="EE69" s="89">
        <f t="shared" si="724"/>
        <v>-5.6952154800041311E-3</v>
      </c>
      <c r="EF69" s="90">
        <f t="shared" si="725"/>
        <v>0</v>
      </c>
      <c r="EG69" s="242"/>
      <c r="EH69" s="245">
        <f t="shared" si="726"/>
        <v>4.3294768007231159</v>
      </c>
      <c r="EI69" s="246">
        <f t="shared" si="727"/>
        <v>-4.3153648333062034</v>
      </c>
      <c r="EJ69" s="198">
        <f t="shared" si="728"/>
        <v>0.16324147988278465</v>
      </c>
      <c r="EK69" s="198">
        <f t="shared" si="729"/>
        <v>1.0788221134802637E-2</v>
      </c>
      <c r="EL69" s="101">
        <f>IF(AND(CS69&lt;&gt;"",DK69&lt;&gt;""),LOG(CS69*DK69/Minerals!$C$6),"")</f>
        <v>1.2565417141208615</v>
      </c>
      <c r="EM69" s="94">
        <f>IF(AND(CS69&lt;&gt;"",DK69&lt;&gt;""),LOG(CS69*DK69/Minerals!$C$5),"")</f>
        <v>1.1260621847646437</v>
      </c>
      <c r="EN69" s="94">
        <f>IF(AND(CS69&lt;&gt;"",DL69&lt;&gt;""),LOG(CS69*DL69^2/Minerals!$C$2),"")</f>
        <v>-2.6438435910338174</v>
      </c>
      <c r="EO69" s="94">
        <f>IF(AND(CS69&lt;&gt;"",CX69&lt;&gt;""),LOG($CS69*$CX69/Minerals!$C$3),"")</f>
        <v>-2.1831352469744529</v>
      </c>
      <c r="EP69" s="95">
        <f>IF(AND(CS69&lt;&gt;"",CX69&lt;&gt;""),LOG($CS69*$CX69/Minerals!$C$4),"")</f>
        <v>-2.4231197584403552</v>
      </c>
      <c r="EQ69" s="199"/>
      <c r="ER69" s="101">
        <f t="shared" si="752"/>
        <v>0.89733246439251368</v>
      </c>
      <c r="ES69" s="94">
        <f t="shared" si="752"/>
        <v>0.89733246439251368</v>
      </c>
      <c r="ET69" s="94">
        <f t="shared" si="753"/>
        <v>0.64835598041239639</v>
      </c>
      <c r="EU69" s="94">
        <f t="shared" si="753"/>
        <v>0.64835598041239639</v>
      </c>
      <c r="EV69" s="95">
        <f t="shared" si="753"/>
        <v>0.64835598041239639</v>
      </c>
      <c r="EW69" s="101">
        <f t="shared" si="754"/>
        <v>0.89733246439251368</v>
      </c>
      <c r="EX69" s="94">
        <f t="shared" si="758"/>
        <v>0.64835598041239639</v>
      </c>
      <c r="EY69" s="94">
        <f t="shared" si="754"/>
        <v>0.89733246439251368</v>
      </c>
      <c r="EZ69" s="94">
        <f t="shared" si="754"/>
        <v>0.89733246439251368</v>
      </c>
      <c r="FA69" s="94">
        <f t="shared" si="165"/>
        <v>0.89733246439251368</v>
      </c>
      <c r="FB69" s="95">
        <f t="shared" si="759"/>
        <v>0.64835598041239639</v>
      </c>
      <c r="FC69" s="199"/>
      <c r="FD69" s="101">
        <f t="shared" si="730"/>
        <v>1.2946853655375039E-4</v>
      </c>
      <c r="FE69" s="94">
        <f t="shared" si="731"/>
        <v>2.4947386172663834E-5</v>
      </c>
      <c r="FF69" s="94">
        <f t="shared" si="732"/>
        <v>1.2218690518028877E-3</v>
      </c>
      <c r="FG69" s="94">
        <f t="shared" si="733"/>
        <v>1.2586455553918166E-4</v>
      </c>
      <c r="FH69" s="95" t="str">
        <f t="shared" si="734"/>
        <v/>
      </c>
      <c r="FI69" s="101">
        <f t="shared" si="735"/>
        <v>3.2667202479869156E-3</v>
      </c>
      <c r="FJ69" s="94">
        <f t="shared" si="736"/>
        <v>2.0557584555947355E-5</v>
      </c>
      <c r="FK69" s="94">
        <f t="shared" si="737"/>
        <v>1.2926821694615083E-4</v>
      </c>
      <c r="FL69" s="94">
        <f t="shared" si="738"/>
        <v>2.5584255392336821E-4</v>
      </c>
      <c r="FM69" s="94">
        <f t="shared" si="739"/>
        <v>5.1105017419184995E-6</v>
      </c>
      <c r="FN69" s="95">
        <f t="shared" si="740"/>
        <v>5.668742964987119E-5</v>
      </c>
      <c r="FO69" s="199"/>
      <c r="FP69" s="101">
        <f>IF(EL69&lt;&gt;"",LOG(FF69*FJ69/Minerals!$C$6),"")</f>
        <v>0.88016875635364533</v>
      </c>
      <c r="FQ69" s="94">
        <f>IF(EL69&lt;&gt;"",LOG(FF69*FJ69/Minerals!$C$5),"")</f>
        <v>0.74968922699742768</v>
      </c>
      <c r="FR69" s="94">
        <f>IF(EN69&lt;&gt;"",LOG(FF69*FM69^2/Minerals!$C$2),"")</f>
        <v>-2.9261233093592294</v>
      </c>
      <c r="FS69" s="94">
        <f>IF(EO69&lt;&gt;"",LOG($FF69*$FN69/Minerals!$C$3),"")</f>
        <v>-2.5595082047416691</v>
      </c>
      <c r="FT69" s="95">
        <f>IF(EP69&lt;&gt;"",LOG($FF69*$FN69/Minerals!$C$4),"")</f>
        <v>-2.7994927162075713</v>
      </c>
      <c r="FU69" s="96"/>
      <c r="FV69" s="101">
        <f>IF(FP69&lt;&gt;"",LOG(FF69*FJ69/(EXP(-1*Minerals!$E$6/'Other Constants'!$B$2*(1/(273.15+'ppm-mgL-1'!$D69)-1/298.15)+LN(Minerals!$C$6)))),"")</f>
        <v>-0.70107568351448446</v>
      </c>
      <c r="FW69" s="94">
        <f>IF(FP69&lt;&gt;"",LOG(FF69*FJ69/(EXP(-1*Minerals!$E$5/'Other Constants'!$B$2*(1/(273.15+'ppm-mgL-1'!$D69)-1/298.15)+LN(Minerals!$C$5)))),"")</f>
        <v>-0.83169816211586856</v>
      </c>
      <c r="FX69" s="94">
        <f>IF(FR69&lt;&gt;"",LOG(FF69*FM69^2/(EXP(-1*Minerals!$E$2/'Other Constants'!$B$2*(1/(273.15+'ppm-mgL-1'!$D69)-1/298.15)+LN(Minerals!$C$2)))),"")</f>
        <v>-2.8592707123699541</v>
      </c>
      <c r="FY69" s="94">
        <f>IF(FS69&lt;&gt;"",LOG($FF69*$FN69/(EXP(-1*Minerals!$E$3/'Other Constants'!$B$2*(1/(273.15+'ppm-mgL-1'!$D69)-1/298.15)+LN(Minerals!$C$3)))),"")</f>
        <v>-1.1964204424366054</v>
      </c>
      <c r="FZ69" s="95">
        <f>IF(FT69&lt;&gt;"",LOG($FF69*$FN69/(EXP(-1*Minerals!$E$4/'Other Constants'!$B$2*(1/(273.15+'ppm-mgL-1'!$D69)-1/298.15)+LN(Minerals!$C$4)))),"")</f>
        <v>-2.8385416850120695</v>
      </c>
      <c r="GA69" s="96"/>
      <c r="GB69" s="96"/>
      <c r="GC69" s="101">
        <f>10^(-1825000*(79.755*EXP(-0.0046*($D69-20))*($D69+273.15))^-1.5*$EK69^0.5/(1+'Elements and ions'!$D$12*$EK69^0.5/(2*(79.755*EXP(-0.0046*($D69-20))*($D69+273.15))^0.5)))</f>
        <v>0.89792148793736815</v>
      </c>
      <c r="GD69" s="94">
        <f>10^(-1825000*(79.755*EXP(-0.0046*($D69-20))*($D69+273.15))^-1.5*$EK69^0.5/(1+'Elements and ions'!$D$20*$EK69^0.5/(2*(79.755*EXP(-0.0046*($D69-20))*($D69+273.15))^0.5)))</f>
        <v>0.89494475368478998</v>
      </c>
      <c r="GE69" s="94">
        <f>10^(-1825000*(79.755*EXP(-0.0046*($D69-20))*($D69+273.15))^-1.5*4*$EK69^0.5/(1+'Elements and ions'!$D$21*$EK69^0.5/(2*(79.755*EXP(-0.0046*($D69-20))*($D69+273.15))^0.5)))</f>
        <v>0.6660602856871175</v>
      </c>
      <c r="GF69" s="94">
        <f>10^(-1825000*(79.755*EXP(-0.0046*($D69-20))*($D69+273.15))^-1.5*4*$EK69^0.5/(1+'Elements and ions'!$D$13*$EK69^0.5/(2*(79.755*EXP(-0.0046*($D69-20))*($D69+273.15))^0.5)))</f>
        <v>0.68068308788971843</v>
      </c>
      <c r="GG69" s="95">
        <f>10^(-1825000*(79.755*EXP(-0.0046*($D69-20))*($D69+273.15))^-1.5*4*$EK69^0.5/(1+'Elements and ions'!$D$27*$EK69^0.5/(2*(79.755*EXP(-0.0046*($D69-20))*($D69+273.15))^0.5)))</f>
        <v>0.6660602856871175</v>
      </c>
      <c r="GH69" s="101">
        <f>10^(-1825000*(79.755*EXP(-0.0046*($D69-20))*($D69+273.15))^-1.5*$EK69^0.5/(1+'Elements and ions'!$G$3*$EK69^0.5/(2*(79.755*EXP(-0.0046*($D69-20))*($D69+273.15))^0.5)))</f>
        <v>0.88707591173804468</v>
      </c>
      <c r="GI69" s="94">
        <f>10^(-1825000*(79.755*EXP(-0.0046*($D69-20))*($D69+273.15))^-1.5*4*$EK69^0.5/(1+'Elements and ions'!$G$4*$EK69^0.5/(2*(79.755*EXP(-0.0046*($D69-20))*($D69+273.15))^0.5)))</f>
        <v>0.61911776734044921</v>
      </c>
      <c r="GJ69" s="94">
        <f>10^(-1825000*(79.755*EXP(-0.0046*($D69-20))*($D69+273.15))^-1.5*$EK69^0.5/(1+'Elements and ions'!$D$18*$EK69^0.5/(2*(79.755*EXP(-0.0046*($D69-20))*($D69+273.15))^0.5)))</f>
        <v>0.89494475368478998</v>
      </c>
      <c r="GK69" s="94">
        <f>10^(-1825000*(79.755*EXP(-0.0046*($D69-20))*($D69+273.15))^-1.5*$EK69^0.5/(1+'Elements and ions'!$I$7*$EK69^0.5/(2*(79.755*EXP(-0.0046*($D69-20))*($D69+273.15))^0.5)))</f>
        <v>0.89494475368478998</v>
      </c>
      <c r="GL69" s="94">
        <f>10^(-1825000*(79.755*EXP(-0.0046*($D69-20))*($D69+273.15))^-1.5*$EK69^0.5/(1+'Elements and ions'!$D$10*$EK69^0.5/(2*(79.755*EXP(-0.0046*($D69-20))*($D69+273.15))^0.5)))</f>
        <v>0.89645448774220315</v>
      </c>
      <c r="GM69" s="95">
        <f>10^(-1825000*(79.755*EXP(-0.0046*($D69-20))*($D69+273.15))^-1.5*4*$EK69^0.5/(1+'Elements and ions'!$I$5*$EK69^0.5/(2*(79.755*EXP(-0.0046*($D69-20))*($D69+273.15))^0.5)))</f>
        <v>0.65006002274965824</v>
      </c>
      <c r="GN69" s="96"/>
      <c r="GO69" s="101">
        <f t="shared" si="741"/>
        <v>1.2955352179542403E-4</v>
      </c>
      <c r="GP69" s="94">
        <f t="shared" si="742"/>
        <v>2.4881003707459576E-5</v>
      </c>
      <c r="GQ69" s="94">
        <f t="shared" si="743"/>
        <v>1.2552339676090052E-3</v>
      </c>
      <c r="GR69" s="94">
        <f t="shared" si="744"/>
        <v>1.321401774774762E-4</v>
      </c>
      <c r="GS69" s="95" t="str">
        <f t="shared" si="745"/>
        <v/>
      </c>
      <c r="GT69" s="101">
        <f t="shared" si="746"/>
        <v>3.2293814805172904E-3</v>
      </c>
      <c r="GU69" s="94">
        <f t="shared" si="747"/>
        <v>1.9630521251759058E-5</v>
      </c>
      <c r="GV69" s="94">
        <f t="shared" si="748"/>
        <v>1.2892424732728763E-4</v>
      </c>
      <c r="GW69" s="94">
        <f t="shared" si="749"/>
        <v>2.5516178282710816E-4</v>
      </c>
      <c r="GX69" s="94">
        <f t="shared" si="750"/>
        <v>5.1055014757085693E-6</v>
      </c>
      <c r="GY69" s="102">
        <f t="shared" si="751"/>
        <v>5.6836418450826638E-5</v>
      </c>
      <c r="GZ69" s="199"/>
      <c r="HA69" s="92">
        <f>IF(AND(GQ69&lt;&gt;"",GU69&lt;&gt;""),LOG(GQ69*GU69/Minerals!$C$6),"")</f>
        <v>0.87182852093960339</v>
      </c>
      <c r="HB69" s="94">
        <f>IF(AND(GQ69&lt;&gt;"",GU69&lt;&gt;""),LOG(GQ69*GU69/Minerals!$C$5),"")</f>
        <v>0.74134899158338563</v>
      </c>
      <c r="HC69" s="94">
        <f>IF(AND(GQ69&lt;&gt;"",GX69&lt;&gt;""),LOG(GQ69*GX69^2/Minerals!$C$2),"")</f>
        <v>-2.9152735603511228</v>
      </c>
      <c r="HD69" s="94">
        <f>IF(AND(GQ69&lt;&gt;"",GY69&lt;&gt;""),LOG($GQ69*$GY69/Minerals!$C$3),"")</f>
        <v>-2.5466682489466779</v>
      </c>
      <c r="HE69" s="102">
        <f>IF(AND(GQ69&lt;&gt;"",GY69&lt;&gt;""),LOG($GQ69*$GY69/Minerals!$C$3),"")</f>
        <v>-2.5466682489466779</v>
      </c>
      <c r="HF69" s="199"/>
      <c r="HG69" s="92">
        <f>IF(HA69&lt;&gt;"",LOG(GQ69*GU69/(EXP(-1*Minerals!$E$6/'Other Constants'!$B$2*(1/(273.15+'ppm-mgL-1'!$D69)-1/298.15)+LN(Minerals!$C$6)))),"")</f>
        <v>-0.7094159189285264</v>
      </c>
      <c r="HH69" s="94">
        <f>IF(HA69&lt;&gt;"",LOG(GQ69*GU69/(EXP(-1*Minerals!$E$5/'Other Constants'!$B$2*(1/(273.15+'ppm-mgL-1'!$D69)-1/298.15)+LN(Minerals!$C$5)))),"")</f>
        <v>-0.84003839752991061</v>
      </c>
      <c r="HI69" s="94">
        <f>IF(HC69&lt;&gt;"",LOG(GQ69*GX69^2/(EXP(-1*Minerals!$E$2/'Other Constants'!$B$2*(1/(273.15+'ppm-mgL-1'!$D69)-1/298.15)+LN(Minerals!$C$2)))),"")</f>
        <v>-2.8484209633618476</v>
      </c>
      <c r="HJ69" s="94">
        <f>IF(HD69&lt;&gt;"",LOG($FF69*$FN69/(EXP(-1*Minerals!$E$3/'Other Constants'!$B$2*(1/(273.15+'ppm-mgL-1'!$D69)-1/298.15)+LN(Minerals!$C$3)))),"")</f>
        <v>-1.1964204424366054</v>
      </c>
      <c r="HK69" s="95">
        <f>IF(HE69&lt;&gt;"",LOG($FF69*$FN69/(EXP(-1*Minerals!$E$4/'Other Constants'!$B$2*(1/(273.15+'ppm-mgL-1'!$D69)-1/298.15)+LN(Minerals!$C$4)))),"")</f>
        <v>-2.8385416850120695</v>
      </c>
      <c r="HL69" s="199"/>
      <c r="HM69" s="199"/>
    </row>
    <row r="70" spans="1:221" x14ac:dyDescent="0.25">
      <c r="A70" s="267" t="str">
        <f>'WC samples'!B41</f>
        <v>ISSR 3</v>
      </c>
      <c r="C70" s="266">
        <f>'WC samples'!A41</f>
        <v>41727</v>
      </c>
      <c r="D70" s="4">
        <f>'WC samples'!I41</f>
        <v>21.2</v>
      </c>
      <c r="E70" s="4">
        <f>'WC samples'!F41</f>
        <v>8.2100000000000009</v>
      </c>
      <c r="AD70" s="83">
        <f>IF(E70&lt;&gt;"",10^(-2*$E70)/(10^(-2*$E70)+10^(-$E70-pKa!$B$2)+(10^(-pKa!$B$2-pKa!$C$2))),"")</f>
        <v>1.2056364216775549E-2</v>
      </c>
      <c r="AE70" s="84">
        <f>IF(E70&lt;&gt;"",10^(-$E70-pKa!$B$2)/(10^(-2*$E70)+10^(-$E70-pKa!$B$2)+10^(-pKa!$B$2-pKa!$C$2)),"")</f>
        <v>0.97997807493840761</v>
      </c>
      <c r="AF70" s="212">
        <f>IF(E70&lt;&gt;"",10^(-pKa!$B$2-pKa!$C$2)/(10^(-2*$E70)+10^(-$E70-pKa!$B$2)+10^(-pKa!$B$2-pKa!$C$2)),"")</f>
        <v>7.9655608448168502E-3</v>
      </c>
      <c r="AG70" s="152"/>
      <c r="AH70" s="222">
        <f>IF($AK70&lt;&gt;"",$AK70/'Elements and ions'!$G$3,IF($E70="","",""))</f>
        <v>3.7174983168581006</v>
      </c>
      <c r="AI70" s="85">
        <f t="shared" si="688"/>
        <v>3.7327667158820184E-3</v>
      </c>
      <c r="AJ70" s="84">
        <f>IF(AI70&lt;&gt;"",AI70*1000*'Elements and ions'!$B$7,"")</f>
        <v>44.83314119444416</v>
      </c>
      <c r="AK70" s="99">
        <f>'WC samples'!H41</f>
        <v>226.83</v>
      </c>
      <c r="AL70" s="88">
        <f>IF($AK70&lt;&gt;"",$AK70/'Elements and ions'!$G$3*Minerals!$B$6/2,IF($E70="","","Enter Alk(HCO3-)"))</f>
        <v>186.03644114477251</v>
      </c>
      <c r="AM70" s="199"/>
      <c r="AN70" s="101">
        <f t="shared" si="755"/>
        <v>4.500359506293075E-5</v>
      </c>
      <c r="AO70" s="94">
        <f t="shared" si="756"/>
        <v>3.6580295404242224E-3</v>
      </c>
      <c r="AP70" s="95">
        <f t="shared" si="757"/>
        <v>2.9733580394865389E-5</v>
      </c>
      <c r="AQ70" s="199"/>
      <c r="AR70" s="199"/>
      <c r="AS70" s="83">
        <f t="shared" si="760"/>
        <v>0.13236351489097281</v>
      </c>
      <c r="AT70" s="83">
        <f>IF(AN70&lt;&gt;"",AN70/'Henrys law constants'!$B$7*1000000,"")</f>
        <v>1323.6351489097281</v>
      </c>
      <c r="AU70" s="268">
        <f>'WC samples'!K41</f>
        <v>3.3591000000000002</v>
      </c>
      <c r="AV70" s="269">
        <f>'WC samples'!M41</f>
        <v>1.0834999999999999</v>
      </c>
      <c r="AW70" s="269">
        <f>'WC samples'!O41</f>
        <v>74.9983</v>
      </c>
      <c r="AX70" s="269">
        <f>'WC samples'!N41</f>
        <v>4.6662999999999997</v>
      </c>
      <c r="AY70" s="226">
        <f>AO70*'Elements and ions'!$G$3*1000</f>
        <v>223.20140318333827</v>
      </c>
      <c r="AZ70" s="269">
        <f>'WC samples'!Q41</f>
        <v>5.2995000000000001</v>
      </c>
      <c r="BA70" s="269">
        <f>'WC samples'!T41</f>
        <v>17.795300000000001</v>
      </c>
      <c r="BB70" s="270">
        <f>'WC samples'!V41</f>
        <v>8.4964999999999993</v>
      </c>
      <c r="BC70" s="222">
        <f>IF($E70&lt;&gt;"",10^-$E70*'Elements and ions'!B71*1000,"")</f>
        <v>0</v>
      </c>
      <c r="BE70" s="6"/>
      <c r="BF70" s="6"/>
      <c r="BG70" s="270">
        <f>'WC samples'!L41</f>
        <v>0</v>
      </c>
      <c r="BH70" s="3"/>
      <c r="BJ70" s="92">
        <f>IF($AN70&lt;&gt;"",$AN70*'Elements and ions'!$G$2*1000,"")</f>
        <v>2.7913380829873655</v>
      </c>
      <c r="BK70" s="229"/>
      <c r="BL70" s="230"/>
      <c r="BM70" s="101">
        <f>IF($E70&lt;&gt;"",(10^-14+$E70)*'Elements and ions'!$G$8,"")</f>
        <v>139.63026140000019</v>
      </c>
      <c r="BO70" s="102">
        <f>IF($AP70&lt;&gt;"",$AP70*'Elements and ions'!$G$4*1000,"")</f>
        <v>1.7842794525574377</v>
      </c>
      <c r="BP70" s="269">
        <f>'WC samples'!P41</f>
        <v>0.1077</v>
      </c>
      <c r="BQ70" s="270">
        <f>'WC samples'!R41</f>
        <v>0</v>
      </c>
      <c r="BR70" s="195"/>
      <c r="BS70" s="238">
        <f>IF($AU70&lt;&gt;"",$AU70/'Elements and ions'!$B$12,"")</f>
        <v>0.14611281910176699</v>
      </c>
      <c r="BT70" s="239">
        <f>IF($AV70&lt;&gt;"",$AV70/'Elements and ions'!$B$20,"")</f>
        <v>2.7712202320817014E-2</v>
      </c>
      <c r="BU70" s="239">
        <f>IF($AW70&lt;&gt;"",$AW70/'Elements and ions'!$B$21, "")</f>
        <v>1.8713084485253755</v>
      </c>
      <c r="BV70" s="240">
        <f>IF($AX70&lt;&gt;"",$AX70/'Elements and ions'!$B$13, "")</f>
        <v>0.19198930261263114</v>
      </c>
      <c r="BW70" s="238">
        <f>IF($AY70&lt;&gt;"",$AY70/'Elements and ions'!$G$3,"")</f>
        <v>3.6580295404242222</v>
      </c>
      <c r="BX70" s="239">
        <f>IF($AZ70&lt;&gt;"",$AZ70/'Elements and ions'!$B$18,"")</f>
        <v>0.14947959270019462</v>
      </c>
      <c r="BY70" s="239">
        <f>IF($BA70&lt;&gt;"",$BA70/'Elements and ions'!$G$7,"")</f>
        <v>0.28699828561936236</v>
      </c>
      <c r="BZ70" s="241">
        <f>IF($BB70&lt;&gt;"",$BB70/'Elements and ions'!$G$5,"")</f>
        <v>8.8447533171078022E-2</v>
      </c>
      <c r="CA70" s="91">
        <f t="shared" si="761"/>
        <v>6.1659500186148016E-6</v>
      </c>
      <c r="CB70" s="163" t="str">
        <f>IF($BD70&lt;&gt;"",$BD70/'Elements and ions'!$B$14,"")</f>
        <v/>
      </c>
      <c r="CC70" s="89" t="str">
        <f>IF($BE70&lt;&gt;"",$BE70/'Elements and ions'!$B$27, "")</f>
        <v/>
      </c>
      <c r="CD70" s="249" t="str">
        <f>IF($BF70&lt;&gt;"",$BF70/'Elements and ions'!$B$26,"")</f>
        <v/>
      </c>
      <c r="CE70" s="250">
        <f>IF($BG70&lt;&gt;"",$BG70/'Elements and ions'!$G$6,"")</f>
        <v>0</v>
      </c>
      <c r="CF70" s="91" t="str">
        <f>IF($BH70&lt;&gt;"",$BH70/'Elements and ions'!$G$15,"")</f>
        <v/>
      </c>
      <c r="CG70" s="89" t="str">
        <f>IF($BI70&lt;&gt;"",$BI70/'Elements and ions'!$G$16,"")</f>
        <v/>
      </c>
      <c r="CH70" s="90">
        <f>IF($BJ70&lt;&gt;"",$BJ70/'Elements and ions'!$G$2,"")</f>
        <v>4.5003595062930751E-2</v>
      </c>
      <c r="CI70" s="91" t="str">
        <f>IF($BK70&lt;&gt;"",$BK70/'Elements and ions'!$B$15, "")</f>
        <v/>
      </c>
      <c r="CJ70" s="88" t="str">
        <f>IF($BL70&lt;&gt;"", $BL70/'Elements and ions'!$G$17,"")</f>
        <v/>
      </c>
      <c r="CK70" s="89">
        <f t="shared" si="762"/>
        <v>1.6218100973589304E-3</v>
      </c>
      <c r="CL70" s="163" t="str">
        <f>IF($BN70&lt;&gt;"", $BN70/'Elements and ions'!$G$19,"")</f>
        <v/>
      </c>
      <c r="CM70" s="89">
        <f>IF($BO70&lt;&gt;"",$BO70/'Elements and ions'!$G$4,"")</f>
        <v>2.9733580394865393E-2</v>
      </c>
      <c r="CN70" s="89">
        <f>IF($BP70&lt;&gt;"",$BP70/'Elements and ions'!$B$10,"")</f>
        <v>5.6688974787102112E-3</v>
      </c>
      <c r="CO70" s="104">
        <f>IF($BQ70&lt;&gt;"",$BQ70/'Elements and ions'!$G$18,"")</f>
        <v>0</v>
      </c>
      <c r="CP70" s="242"/>
      <c r="CQ70" s="238">
        <f t="shared" si="689"/>
        <v>1.4611281910176699E-4</v>
      </c>
      <c r="CR70" s="239">
        <f t="shared" si="690"/>
        <v>2.7712202320817013E-5</v>
      </c>
      <c r="CS70" s="239">
        <f t="shared" si="691"/>
        <v>1.8713084485253754E-3</v>
      </c>
      <c r="CT70" s="241">
        <f t="shared" si="692"/>
        <v>1.9198930261263113E-4</v>
      </c>
      <c r="CU70" s="238">
        <f t="shared" si="693"/>
        <v>3.6580295404242224E-3</v>
      </c>
      <c r="CV70" s="239">
        <f t="shared" si="694"/>
        <v>1.4947959270019461E-4</v>
      </c>
      <c r="CW70" s="239">
        <f t="shared" si="695"/>
        <v>2.8699828561936237E-4</v>
      </c>
      <c r="CX70" s="241">
        <f t="shared" si="696"/>
        <v>8.8447533171078023E-5</v>
      </c>
      <c r="CY70" s="258">
        <f t="shared" si="763"/>
        <v>6.1659500186148016E-9</v>
      </c>
      <c r="CZ70" s="259" t="str">
        <f t="shared" si="697"/>
        <v/>
      </c>
      <c r="DA70" s="260" t="str">
        <f t="shared" si="698"/>
        <v/>
      </c>
      <c r="DB70" s="261" t="str">
        <f t="shared" si="699"/>
        <v/>
      </c>
      <c r="DC70" s="262">
        <f t="shared" si="700"/>
        <v>0</v>
      </c>
      <c r="DD70" s="263" t="str">
        <f t="shared" si="701"/>
        <v/>
      </c>
      <c r="DE70" s="259" t="str">
        <f t="shared" si="702"/>
        <v/>
      </c>
      <c r="DF70" s="260">
        <f t="shared" si="703"/>
        <v>4.500359506293075E-5</v>
      </c>
      <c r="DG70" s="260" t="str">
        <f t="shared" si="704"/>
        <v/>
      </c>
      <c r="DH70" s="264" t="str">
        <f t="shared" si="705"/>
        <v/>
      </c>
      <c r="DI70" s="258">
        <f t="shared" si="764"/>
        <v>1.6218100973589304E-6</v>
      </c>
      <c r="DJ70" s="260" t="str">
        <f t="shared" si="706"/>
        <v/>
      </c>
      <c r="DK70" s="260">
        <f t="shared" si="707"/>
        <v>2.9733580394865392E-5</v>
      </c>
      <c r="DL70" s="260">
        <f t="shared" si="708"/>
        <v>5.6688974787102113E-6</v>
      </c>
      <c r="DM70" s="265">
        <f t="shared" si="709"/>
        <v>0</v>
      </c>
      <c r="DN70" s="242"/>
      <c r="DO70" s="238">
        <f t="shared" si="710"/>
        <v>0.14611281910176699</v>
      </c>
      <c r="DP70" s="239">
        <f t="shared" si="711"/>
        <v>2.7712202320817014E-2</v>
      </c>
      <c r="DQ70" s="239">
        <f t="shared" si="712"/>
        <v>3.742616897050751</v>
      </c>
      <c r="DR70" s="241">
        <f t="shared" si="713"/>
        <v>0.38397860522526228</v>
      </c>
      <c r="DS70" s="238">
        <f t="shared" si="714"/>
        <v>-3.6580295404242222</v>
      </c>
      <c r="DT70" s="239">
        <f t="shared" si="715"/>
        <v>-0.14947959270019462</v>
      </c>
      <c r="DU70" s="239">
        <f t="shared" si="716"/>
        <v>-0.28699828561936236</v>
      </c>
      <c r="DV70" s="241">
        <f t="shared" si="717"/>
        <v>-0.17689506634215604</v>
      </c>
      <c r="DW70" s="91">
        <f t="shared" si="765"/>
        <v>6.1659500186148016E-6</v>
      </c>
      <c r="DX70" s="89">
        <f t="shared" si="718"/>
        <v>0</v>
      </c>
      <c r="DY70" s="89">
        <f t="shared" si="719"/>
        <v>0</v>
      </c>
      <c r="DZ70" s="89">
        <f t="shared" si="720"/>
        <v>0</v>
      </c>
      <c r="EA70" s="90">
        <f t="shared" si="721"/>
        <v>0</v>
      </c>
      <c r="EB70" s="91">
        <f t="shared" si="766"/>
        <v>-1.6218100973589304E-3</v>
      </c>
      <c r="EC70" s="89">
        <f t="shared" si="722"/>
        <v>0</v>
      </c>
      <c r="ED70" s="89">
        <f t="shared" si="723"/>
        <v>-5.9467160789730786E-2</v>
      </c>
      <c r="EE70" s="89">
        <f t="shared" si="724"/>
        <v>-5.6688974787102112E-3</v>
      </c>
      <c r="EF70" s="90">
        <f t="shared" si="725"/>
        <v>0</v>
      </c>
      <c r="EG70" s="242"/>
      <c r="EH70" s="245">
        <f t="shared" si="726"/>
        <v>4.3004266896486163</v>
      </c>
      <c r="EI70" s="246">
        <f t="shared" si="727"/>
        <v>-4.3381603534517348</v>
      </c>
      <c r="EJ70" s="198">
        <f t="shared" si="728"/>
        <v>-0.4368036533619975</v>
      </c>
      <c r="EK70" s="198">
        <f t="shared" si="729"/>
        <v>1.0743981806058876E-2</v>
      </c>
      <c r="EL70" s="101">
        <f>IF(AND(CS70&lt;&gt;"",DK70&lt;&gt;""),LOG(CS70*DK70/Minerals!$C$6),"")</f>
        <v>1.2255645928594607</v>
      </c>
      <c r="EM70" s="94">
        <f>IF(AND(CS70&lt;&gt;"",DK70&lt;&gt;""),LOG(CS70*DK70/Minerals!$C$5),"")</f>
        <v>1.0950850635032432</v>
      </c>
      <c r="EN70" s="94">
        <f>IF(AND(CS70&lt;&gt;"",DL70&lt;&gt;""),LOG(CS70*DL70^2/Minerals!$C$2),"")</f>
        <v>-2.6509324714141398</v>
      </c>
      <c r="EO70" s="94">
        <f>IF(AND(CS70&lt;&gt;"",CX70&lt;&gt;""),LOG($CS70*$CX70/Minerals!$C$3),"")</f>
        <v>-2.1811885319225315</v>
      </c>
      <c r="EP70" s="95">
        <f>IF(AND(CS70&lt;&gt;"",CX70&lt;&gt;""),LOG($CS70*$CX70/Minerals!$C$4),"")</f>
        <v>-2.4211730433884338</v>
      </c>
      <c r="EQ70" s="199"/>
      <c r="ER70" s="101">
        <f t="shared" si="752"/>
        <v>0.89751325806620563</v>
      </c>
      <c r="ES70" s="94">
        <f t="shared" si="752"/>
        <v>0.89751325806620563</v>
      </c>
      <c r="ET70" s="94">
        <f t="shared" si="753"/>
        <v>0.64887865888274221</v>
      </c>
      <c r="EU70" s="94">
        <f t="shared" si="753"/>
        <v>0.64887865888274221</v>
      </c>
      <c r="EV70" s="95">
        <f t="shared" si="753"/>
        <v>0.64887865888274221</v>
      </c>
      <c r="EW70" s="101">
        <f t="shared" si="754"/>
        <v>0.89751325806620563</v>
      </c>
      <c r="EX70" s="94">
        <f t="shared" si="758"/>
        <v>0.64887865888274221</v>
      </c>
      <c r="EY70" s="94">
        <f t="shared" si="754"/>
        <v>0.89751325806620563</v>
      </c>
      <c r="EZ70" s="94">
        <f t="shared" si="754"/>
        <v>0.89751325806620563</v>
      </c>
      <c r="FA70" s="94">
        <f t="shared" si="165"/>
        <v>0.89751325806620563</v>
      </c>
      <c r="FB70" s="95">
        <f t="shared" si="759"/>
        <v>0.64887865888274221</v>
      </c>
      <c r="FC70" s="199"/>
      <c r="FD70" s="101">
        <f t="shared" si="730"/>
        <v>1.3113819231726502E-4</v>
      </c>
      <c r="FE70" s="94">
        <f t="shared" si="731"/>
        <v>2.4872068993146342E-5</v>
      </c>
      <c r="FF70" s="94">
        <f t="shared" si="732"/>
        <v>1.2142521164350906E-3</v>
      </c>
      <c r="FG70" s="94">
        <f t="shared" si="733"/>
        <v>1.2457776119911704E-4</v>
      </c>
      <c r="FH70" s="95" t="str">
        <f t="shared" si="734"/>
        <v/>
      </c>
      <c r="FI70" s="101">
        <f t="shared" si="735"/>
        <v>3.2831300109285688E-3</v>
      </c>
      <c r="FJ70" s="94">
        <f t="shared" si="736"/>
        <v>1.9293485770402452E-5</v>
      </c>
      <c r="FK70" s="94">
        <f t="shared" si="737"/>
        <v>1.3415991625876107E-4</v>
      </c>
      <c r="FL70" s="94">
        <f t="shared" si="738"/>
        <v>2.5758476638564938E-4</v>
      </c>
      <c r="FM70" s="94">
        <f t="shared" si="739"/>
        <v>5.0879106457605005E-6</v>
      </c>
      <c r="FN70" s="95">
        <f t="shared" si="740"/>
        <v>5.7391716705535963E-5</v>
      </c>
      <c r="FO70" s="199"/>
      <c r="FP70" s="101">
        <f>IF(EL70&lt;&gt;"",LOG(FF70*FJ70/Minerals!$C$6),"")</f>
        <v>0.8498915744274691</v>
      </c>
      <c r="FQ70" s="94">
        <f>IF(EL70&lt;&gt;"",LOG(FF70*FJ70/Minerals!$C$5),"")</f>
        <v>0.71941204507125134</v>
      </c>
      <c r="FR70" s="94">
        <f>IF(EN70&lt;&gt;"",LOG(FF70*FM70^2/Minerals!$C$2),"")</f>
        <v>-2.9326872352381339</v>
      </c>
      <c r="FS70" s="94">
        <f>IF(EO70&lt;&gt;"",LOG($FF70*$FN70/Minerals!$C$3),"")</f>
        <v>-2.5568615503545233</v>
      </c>
      <c r="FT70" s="95">
        <f>IF(EP70&lt;&gt;"",LOG($FF70*$FN70/Minerals!$C$4),"")</f>
        <v>-2.7968460618204256</v>
      </c>
      <c r="FU70" s="96"/>
      <c r="FV70" s="101">
        <f>IF(FP70&lt;&gt;"",LOG(FF70*FJ70/(EXP(-1*Minerals!$E$6/'Other Constants'!$B$2*(1/(273.15+'ppm-mgL-1'!$D70)-1/298.15)+LN(Minerals!$C$6)))),"")</f>
        <v>-0.65126996587438735</v>
      </c>
      <c r="FW70" s="94">
        <f>IF(FP70&lt;&gt;"",LOG(FF70*FJ70/(EXP(-1*Minerals!$E$5/'Other Constants'!$B$2*(1/(273.15+'ppm-mgL-1'!$D70)-1/298.15)+LN(Minerals!$C$5)))),"")</f>
        <v>-0.78188520474119594</v>
      </c>
      <c r="FX70" s="94">
        <f>IF(FR70&lt;&gt;"",LOG(FF70*FM70^2/(EXP(-1*Minerals!$E$2/'Other Constants'!$B$2*(1/(273.15+'ppm-mgL-1'!$D70)-1/298.15)+LN(Minerals!$C$2)))),"")</f>
        <v>-2.8692204207853536</v>
      </c>
      <c r="FY70" s="94">
        <f>IF(FS70&lt;&gt;"",LOG($FF70*$FN70/(EXP(-1*Minerals!$E$3/'Other Constants'!$B$2*(1/(273.15+'ppm-mgL-1'!$D70)-1/298.15)+LN(Minerals!$C$3)))),"")</f>
        <v>-1.2628080357700693</v>
      </c>
      <c r="FZ70" s="95">
        <f>IF(FT70&lt;&gt;"",LOG($FF70*$FN70/(EXP(-1*Minerals!$E$4/'Other Constants'!$B$2*(1/(273.15+'ppm-mgL-1'!$D70)-1/298.15)+LN(Minerals!$C$4)))),"")</f>
        <v>-2.8339173764633707</v>
      </c>
      <c r="GA70" s="96"/>
      <c r="GB70" s="96"/>
      <c r="GC70" s="101">
        <f>10^(-1825000*(79.755*EXP(-0.0046*($D70-20))*($D70+273.15))^-1.5*$EK70^0.5/(1+'Elements and ions'!$D$12*$EK70^0.5/(2*(79.755*EXP(-0.0046*($D70-20))*($D70+273.15))^0.5)))</f>
        <v>0.89806282295148809</v>
      </c>
      <c r="GD70" s="94">
        <f>10^(-1825000*(79.755*EXP(-0.0046*($D70-20))*($D70+273.15))^-1.5*$EK70^0.5/(1+'Elements and ions'!$D$20*$EK70^0.5/(2*(79.755*EXP(-0.0046*($D70-20))*($D70+273.15))^0.5)))</f>
        <v>0.89509517080052414</v>
      </c>
      <c r="GE70" s="94">
        <f>10^(-1825000*(79.755*EXP(-0.0046*($D70-20))*($D70+273.15))^-1.5*4*$EK70^0.5/(1+'Elements and ions'!$D$21*$EK70^0.5/(2*(79.755*EXP(-0.0046*($D70-20))*($D70+273.15))^0.5)))</f>
        <v>0.66643007137072108</v>
      </c>
      <c r="GF70" s="94">
        <f>10^(-1825000*(79.755*EXP(-0.0046*($D70-20))*($D70+273.15))^-1.5*4*$EK70^0.5/(1+'Elements and ions'!$D$13*$EK70^0.5/(2*(79.755*EXP(-0.0046*($D70-20))*($D70+273.15))^0.5)))</f>
        <v>0.68101834075086021</v>
      </c>
      <c r="GG70" s="95">
        <f>10^(-1825000*(79.755*EXP(-0.0046*($D70-20))*($D70+273.15))^-1.5*4*$EK70^0.5/(1+'Elements and ions'!$D$27*$EK70^0.5/(2*(79.755*EXP(-0.0046*($D70-20))*($D70+273.15))^0.5)))</f>
        <v>0.66643007137072108</v>
      </c>
      <c r="GH70" s="101">
        <f>10^(-1825000*(79.755*EXP(-0.0046*($D70-20))*($D70+273.15))^-1.5*$EK70^0.5/(1+'Elements and ions'!$G$3*$EK70^0.5/(2*(79.755*EXP(-0.0046*($D70-20))*($D70+273.15))^0.5)))</f>
        <v>0.88725168363795415</v>
      </c>
      <c r="GI70" s="94">
        <f>10^(-1825000*(79.755*EXP(-0.0046*($D70-20))*($D70+273.15))^-1.5*4*$EK70^0.5/(1+'Elements and ions'!$G$4*$EK70^0.5/(2*(79.755*EXP(-0.0046*($D70-20))*($D70+273.15))^0.5)))</f>
        <v>0.61960897318284314</v>
      </c>
      <c r="GJ70" s="94">
        <f>10^(-1825000*(79.755*EXP(-0.0046*($D70-20))*($D70+273.15))^-1.5*$EK70^0.5/(1+'Elements and ions'!$D$18*$EK70^0.5/(2*(79.755*EXP(-0.0046*($D70-20))*($D70+273.15))^0.5)))</f>
        <v>0.89509517080052414</v>
      </c>
      <c r="GK70" s="94">
        <f>10^(-1825000*(79.755*EXP(-0.0046*($D70-20))*($D70+273.15))^-1.5*$EK70^0.5/(1+'Elements and ions'!$I$7*$EK70^0.5/(2*(79.755*EXP(-0.0046*($D70-20))*($D70+273.15))^0.5)))</f>
        <v>0.89509517080052414</v>
      </c>
      <c r="GL70" s="94">
        <f>10^(-1825000*(79.755*EXP(-0.0046*($D70-20))*($D70+273.15))^-1.5*$EK70^0.5/(1+'Elements and ions'!$D$10*$EK70^0.5/(2*(79.755*EXP(-0.0046*($D70-20))*($D70+273.15))^0.5)))</f>
        <v>0.89660026364679113</v>
      </c>
      <c r="GM70" s="95">
        <f>10^(-1825000*(79.755*EXP(-0.0046*($D70-20))*($D70+273.15))^-1.5*4*$EK70^0.5/(1+'Elements and ions'!$I$5*$EK70^0.5/(2*(79.755*EXP(-0.0046*($D70-20))*($D70+273.15))^0.5)))</f>
        <v>0.65046940347311477</v>
      </c>
      <c r="GN70" s="96"/>
      <c r="GO70" s="101">
        <f t="shared" si="741"/>
        <v>1.3121849079193298E-4</v>
      </c>
      <c r="GP70" s="94">
        <f t="shared" si="742"/>
        <v>2.4805058469610386E-5</v>
      </c>
      <c r="GQ70" s="94">
        <f t="shared" si="743"/>
        <v>1.2470962229073992E-3</v>
      </c>
      <c r="GR70" s="94">
        <f t="shared" si="744"/>
        <v>1.3074823630716885E-4</v>
      </c>
      <c r="GS70" s="95" t="str">
        <f t="shared" si="745"/>
        <v/>
      </c>
      <c r="GT70" s="101">
        <f t="shared" si="746"/>
        <v>3.2455928685387629E-3</v>
      </c>
      <c r="GU70" s="94">
        <f t="shared" si="747"/>
        <v>1.8423193217512061E-5</v>
      </c>
      <c r="GV70" s="94">
        <f t="shared" si="748"/>
        <v>1.3379846155917347E-4</v>
      </c>
      <c r="GW70" s="94">
        <f t="shared" si="749"/>
        <v>2.5689077948592076E-4</v>
      </c>
      <c r="GX70" s="94">
        <f t="shared" si="750"/>
        <v>5.0827349739982048E-6</v>
      </c>
      <c r="GY70" s="102">
        <f t="shared" si="751"/>
        <v>5.7532414140459655E-5</v>
      </c>
      <c r="GZ70" s="199"/>
      <c r="HA70" s="92">
        <f>IF(AND(GQ70&lt;&gt;"",GU70&lt;&gt;""),LOG(GQ70*GU70/Minerals!$C$6),"")</f>
        <v>0.84143687699000724</v>
      </c>
      <c r="HB70" s="94">
        <f>IF(AND(GQ70&lt;&gt;"",GU70&lt;&gt;""),LOG(GQ70*GU70/Minerals!$C$5),"")</f>
        <v>0.71095734763378948</v>
      </c>
      <c r="HC70" s="94">
        <f>IF(AND(GQ70&lt;&gt;"",GX70&lt;&gt;""),LOG(GQ70*GX70^2/Minerals!$C$2),"")</f>
        <v>-2.9219801614033765</v>
      </c>
      <c r="HD70" s="94">
        <f>IF(AND(GQ70&lt;&gt;"",GY70&lt;&gt;""),LOG($GQ70*$GY70/Minerals!$C$3),"")</f>
        <v>-2.5442070731783151</v>
      </c>
      <c r="HE70" s="102">
        <f>IF(AND(GQ70&lt;&gt;"",GY70&lt;&gt;""),LOG($GQ70*$GY70/Minerals!$C$3),"")</f>
        <v>-2.5442070731783151</v>
      </c>
      <c r="HF70" s="199"/>
      <c r="HG70" s="92">
        <f>IF(HA70&lt;&gt;"",LOG(GQ70*GU70/(EXP(-1*Minerals!$E$6/'Other Constants'!$B$2*(1/(273.15+'ppm-mgL-1'!$D70)-1/298.15)+LN(Minerals!$C$6)))),"")</f>
        <v>-0.6597246633118492</v>
      </c>
      <c r="HH70" s="94">
        <f>IF(HA70&lt;&gt;"",LOG(GQ70*GU70/(EXP(-1*Minerals!$E$5/'Other Constants'!$B$2*(1/(273.15+'ppm-mgL-1'!$D70)-1/298.15)+LN(Minerals!$C$5)))),"")</f>
        <v>-0.7903399021786579</v>
      </c>
      <c r="HI70" s="94">
        <f>IF(HC70&lt;&gt;"",LOG(GQ70*GX70^2/(EXP(-1*Minerals!$E$2/'Other Constants'!$B$2*(1/(273.15+'ppm-mgL-1'!$D70)-1/298.15)+LN(Minerals!$C$2)))),"")</f>
        <v>-2.8585133469505961</v>
      </c>
      <c r="HJ70" s="94">
        <f>IF(HD70&lt;&gt;"",LOG($FF70*$FN70/(EXP(-1*Minerals!$E$3/'Other Constants'!$B$2*(1/(273.15+'ppm-mgL-1'!$D70)-1/298.15)+LN(Minerals!$C$3)))),"")</f>
        <v>-1.2628080357700693</v>
      </c>
      <c r="HK70" s="95">
        <f>IF(HE70&lt;&gt;"",LOG($FF70*$FN70/(EXP(-1*Minerals!$E$4/'Other Constants'!$B$2*(1/(273.15+'ppm-mgL-1'!$D70)-1/298.15)+LN(Minerals!$C$4)))),"")</f>
        <v>-2.8339173764633707</v>
      </c>
      <c r="HL70" s="199"/>
      <c r="HM70" s="199"/>
    </row>
    <row r="71" spans="1:221" x14ac:dyDescent="0.25">
      <c r="A71" s="267" t="str">
        <f>'WC samples'!B42</f>
        <v>ISSR 4</v>
      </c>
      <c r="C71" s="266">
        <f>'WC samples'!A42</f>
        <v>41474</v>
      </c>
      <c r="D71" s="4">
        <f>'WC samples'!I42</f>
        <v>21.4</v>
      </c>
      <c r="E71" s="4">
        <f>'WC samples'!F42</f>
        <v>7.76</v>
      </c>
      <c r="AD71" s="83">
        <f>IF(E71&lt;&gt;"",10^(-2*$E71)/(10^(-2*$E71)+10^(-$E71-pKa!$B$2)+(10^(-pKa!$B$2-pKa!$C$2))),"")</f>
        <v>3.3418560232582863E-2</v>
      </c>
      <c r="AE71" s="84">
        <f>IF(E71&lt;&gt;"",10^(-$E71-pKa!$B$2)/(10^(-2*$E71)+10^(-$E71-pKa!$B$2)+10^(-pKa!$B$2-pKa!$C$2)),"")</f>
        <v>0.96380180499902979</v>
      </c>
      <c r="AF71" s="212">
        <f>IF(E71&lt;&gt;"",10^(-pKa!$B$2-pKa!$C$2)/(10^(-2*$E71)+10^(-$E71-pKa!$B$2)+10^(-pKa!$B$2-pKa!$C$2)),"")</f>
        <v>2.7796347683874765E-3</v>
      </c>
      <c r="AG71" s="152"/>
      <c r="AH71" s="222">
        <f>IF($AK71&lt;&gt;"",$AK71/'Elements and ions'!$G$3,IF($E71="","",""))</f>
        <v>4.0316738788832724</v>
      </c>
      <c r="AI71" s="85">
        <f t="shared" si="688"/>
        <v>4.1591037918991937E-3</v>
      </c>
      <c r="AJ71" s="84">
        <f>IF(AI71&lt;&gt;"",AI71*1000*'Elements and ions'!$B$7,"")</f>
        <v>49.953747913363642</v>
      </c>
      <c r="AK71" s="99">
        <f>'WC samples'!H42</f>
        <v>246</v>
      </c>
      <c r="AL71" s="88">
        <f>IF($AK71&lt;&gt;"",$AK71/'Elements and ions'!$G$3*Minerals!$B$6/2,IF($E71="","","Enter Alk(HCO3-)"))</f>
        <v>201.75887017420109</v>
      </c>
      <c r="AM71" s="199"/>
      <c r="AN71" s="101">
        <f t="shared" si="755"/>
        <v>1.3899126058314698E-4</v>
      </c>
      <c r="AO71" s="94">
        <f t="shared" si="756"/>
        <v>4.0085517418107517E-3</v>
      </c>
      <c r="AP71" s="95">
        <f t="shared" si="757"/>
        <v>1.156078950529519E-5</v>
      </c>
      <c r="AQ71" s="199"/>
      <c r="AR71" s="199"/>
      <c r="AS71" s="83">
        <f t="shared" si="760"/>
        <v>0.40879782524454994</v>
      </c>
      <c r="AT71" s="83">
        <f>IF(AN71&lt;&gt;"",AN71/'Henrys law constants'!$B$7*1000000,"")</f>
        <v>4087.9782524454995</v>
      </c>
      <c r="AU71" s="268">
        <f>'WC samples'!K42</f>
        <v>3.2968999999999999</v>
      </c>
      <c r="AV71" s="269">
        <f>'WC samples'!M42</f>
        <v>1.2179</v>
      </c>
      <c r="AW71" s="269">
        <f>'WC samples'!O42</f>
        <v>87.031999999999996</v>
      </c>
      <c r="AX71" s="269">
        <f>'WC samples'!N42</f>
        <v>3.7534000000000001</v>
      </c>
      <c r="AY71" s="226">
        <f>AO71*'Elements and ions'!$G$3*1000</f>
        <v>244.58916026178792</v>
      </c>
      <c r="AZ71" s="269">
        <f>'WC samples'!Q42</f>
        <v>5.8795000000000002</v>
      </c>
      <c r="BA71" s="269">
        <f>'WC samples'!T42</f>
        <v>16.3611</v>
      </c>
      <c r="BB71" s="270">
        <f>'WC samples'!V42</f>
        <v>10.2384</v>
      </c>
      <c r="BC71" s="222">
        <f>IF($E71&lt;&gt;"",10^-$E71*'Elements and ions'!B72*1000,"")</f>
        <v>0</v>
      </c>
      <c r="BE71" s="6"/>
      <c r="BF71" s="6"/>
      <c r="BG71" s="270">
        <f>'WC samples'!L42</f>
        <v>0</v>
      </c>
      <c r="BH71" s="3"/>
      <c r="BJ71" s="92">
        <f>IF($AN71&lt;&gt;"",$AN71*'Elements and ions'!$G$2*1000,"")</f>
        <v>8.6209023595923622</v>
      </c>
      <c r="BK71" s="229"/>
      <c r="BL71" s="230"/>
      <c r="BM71" s="101">
        <f>IF($E71&lt;&gt;"",(10^-14+$E71)*'Elements and ions'!$G$8,"")</f>
        <v>131.97695840000014</v>
      </c>
      <c r="BO71" s="102">
        <f>IF($AP71&lt;&gt;"",$AP71*'Elements and ions'!$G$4*1000,"")</f>
        <v>0.69375026134430851</v>
      </c>
      <c r="BP71" s="269">
        <f>'WC samples'!P42</f>
        <v>0.1356</v>
      </c>
      <c r="BQ71" s="270">
        <f>'WC samples'!R42</f>
        <v>0</v>
      </c>
      <c r="BR71" s="195"/>
      <c r="BS71" s="238">
        <f>IF($AU71&lt;&gt;"",$AU71/'Elements and ions'!$B$12,"")</f>
        <v>0.14340726780882249</v>
      </c>
      <c r="BT71" s="239">
        <f>IF($AV71&lt;&gt;"",$AV71/'Elements and ions'!$B$20,"")</f>
        <v>3.114969193033968E-2</v>
      </c>
      <c r="BU71" s="239">
        <f>IF($AW71&lt;&gt;"",$AW71/'Elements and ions'!$B$21, "")</f>
        <v>2.1715654473776134</v>
      </c>
      <c r="BV71" s="240">
        <f>IF($AX71&lt;&gt;"",$AX71/'Elements and ions'!$B$13, "")</f>
        <v>0.15442912980868134</v>
      </c>
      <c r="BW71" s="238">
        <f>IF($AY71&lt;&gt;"",$AY71/'Elements and ions'!$G$3,"")</f>
        <v>4.0085517418107512</v>
      </c>
      <c r="BX71" s="239">
        <f>IF($AZ71&lt;&gt;"",$AZ71/'Elements and ions'!$B$18,"")</f>
        <v>0.16583928017375116</v>
      </c>
      <c r="BY71" s="239">
        <f>IF($BA71&lt;&gt;"",$BA71/'Elements and ions'!$G$7,"")</f>
        <v>0.26386785560496029</v>
      </c>
      <c r="BZ71" s="241">
        <f>IF($BB71&lt;&gt;"",$BB71/'Elements and ions'!$G$5,"")</f>
        <v>0.10658050063187963</v>
      </c>
      <c r="CA71" s="91">
        <f t="shared" si="761"/>
        <v>1.7378008287493747E-5</v>
      </c>
      <c r="CB71" s="163" t="str">
        <f>IF($BD71&lt;&gt;"",$BD71/'Elements and ions'!$B$14,"")</f>
        <v/>
      </c>
      <c r="CC71" s="89" t="str">
        <f>IF($BE71&lt;&gt;"",$BE71/'Elements and ions'!$B$27, "")</f>
        <v/>
      </c>
      <c r="CD71" s="249" t="str">
        <f>IF($BF71&lt;&gt;"",$BF71/'Elements and ions'!$B$26,"")</f>
        <v/>
      </c>
      <c r="CE71" s="250">
        <f>IF($BG71&lt;&gt;"",$BG71/'Elements and ions'!$G$6,"")</f>
        <v>0</v>
      </c>
      <c r="CF71" s="91" t="str">
        <f>IF($BH71&lt;&gt;"",$BH71/'Elements and ions'!$G$15,"")</f>
        <v/>
      </c>
      <c r="CG71" s="89" t="str">
        <f>IF($BI71&lt;&gt;"",$BI71/'Elements and ions'!$G$16,"")</f>
        <v/>
      </c>
      <c r="CH71" s="90">
        <f>IF($BJ71&lt;&gt;"",$BJ71/'Elements and ions'!$G$2,"")</f>
        <v>0.13899126058314698</v>
      </c>
      <c r="CI71" s="91" t="str">
        <f>IF($BK71&lt;&gt;"",$BK71/'Elements and ions'!$B$15, "")</f>
        <v/>
      </c>
      <c r="CJ71" s="88" t="str">
        <f>IF($BL71&lt;&gt;"", $BL71/'Elements and ions'!$G$17,"")</f>
        <v/>
      </c>
      <c r="CK71" s="89">
        <f t="shared" si="762"/>
        <v>5.7543993733715545E-4</v>
      </c>
      <c r="CL71" s="163" t="str">
        <f>IF($BN71&lt;&gt;"", $BN71/'Elements and ions'!$G$19,"")</f>
        <v/>
      </c>
      <c r="CM71" s="89">
        <f>IF($BO71&lt;&gt;"",$BO71/'Elements and ions'!$G$4,"")</f>
        <v>1.156078950529519E-2</v>
      </c>
      <c r="CN71" s="89">
        <f>IF($BP71&lt;&gt;"",$BP71/'Elements and ions'!$B$10,"")</f>
        <v>7.1374419509109069E-3</v>
      </c>
      <c r="CO71" s="104">
        <f>IF($BQ71&lt;&gt;"",$BQ71/'Elements and ions'!$G$18,"")</f>
        <v>0</v>
      </c>
      <c r="CP71" s="242"/>
      <c r="CQ71" s="238">
        <f t="shared" si="689"/>
        <v>1.434072678088225E-4</v>
      </c>
      <c r="CR71" s="239">
        <f t="shared" si="690"/>
        <v>3.1149691930339681E-5</v>
      </c>
      <c r="CS71" s="239">
        <f t="shared" si="691"/>
        <v>2.1715654473776136E-3</v>
      </c>
      <c r="CT71" s="241">
        <f t="shared" si="692"/>
        <v>1.5442912980868134E-4</v>
      </c>
      <c r="CU71" s="238">
        <f t="shared" si="693"/>
        <v>4.0085517418107517E-3</v>
      </c>
      <c r="CV71" s="239">
        <f t="shared" si="694"/>
        <v>1.6583928017375115E-4</v>
      </c>
      <c r="CW71" s="239">
        <f t="shared" si="695"/>
        <v>2.6386785560496029E-4</v>
      </c>
      <c r="CX71" s="241">
        <f t="shared" si="696"/>
        <v>1.0658050063187962E-4</v>
      </c>
      <c r="CY71" s="258">
        <f t="shared" si="763"/>
        <v>1.7378008287493747E-8</v>
      </c>
      <c r="CZ71" s="259" t="str">
        <f t="shared" si="697"/>
        <v/>
      </c>
      <c r="DA71" s="260" t="str">
        <f t="shared" si="698"/>
        <v/>
      </c>
      <c r="DB71" s="261" t="str">
        <f t="shared" si="699"/>
        <v/>
      </c>
      <c r="DC71" s="262">
        <f t="shared" si="700"/>
        <v>0</v>
      </c>
      <c r="DD71" s="263" t="str">
        <f t="shared" si="701"/>
        <v/>
      </c>
      <c r="DE71" s="259" t="str">
        <f t="shared" si="702"/>
        <v/>
      </c>
      <c r="DF71" s="260">
        <f t="shared" si="703"/>
        <v>1.3899126058314698E-4</v>
      </c>
      <c r="DG71" s="260" t="str">
        <f t="shared" si="704"/>
        <v/>
      </c>
      <c r="DH71" s="264" t="str">
        <f t="shared" si="705"/>
        <v/>
      </c>
      <c r="DI71" s="258">
        <f t="shared" si="764"/>
        <v>5.7543993733715549E-7</v>
      </c>
      <c r="DJ71" s="260" t="str">
        <f t="shared" si="706"/>
        <v/>
      </c>
      <c r="DK71" s="260">
        <f t="shared" si="707"/>
        <v>1.156078950529519E-5</v>
      </c>
      <c r="DL71" s="260">
        <f t="shared" si="708"/>
        <v>7.1374419509109073E-6</v>
      </c>
      <c r="DM71" s="265">
        <f t="shared" si="709"/>
        <v>0</v>
      </c>
      <c r="DN71" s="242"/>
      <c r="DO71" s="238">
        <f t="shared" si="710"/>
        <v>0.14340726780882249</v>
      </c>
      <c r="DP71" s="239">
        <f t="shared" si="711"/>
        <v>3.114969193033968E-2</v>
      </c>
      <c r="DQ71" s="239">
        <f t="shared" si="712"/>
        <v>4.3431308947552267</v>
      </c>
      <c r="DR71" s="241">
        <f t="shared" si="713"/>
        <v>0.30885825961736268</v>
      </c>
      <c r="DS71" s="238">
        <f t="shared" si="714"/>
        <v>-4.0085517418107512</v>
      </c>
      <c r="DT71" s="239">
        <f t="shared" si="715"/>
        <v>-0.16583928017375116</v>
      </c>
      <c r="DU71" s="239">
        <f t="shared" si="716"/>
        <v>-0.26386785560496029</v>
      </c>
      <c r="DV71" s="241">
        <f t="shared" si="717"/>
        <v>-0.21316100126375925</v>
      </c>
      <c r="DW71" s="91">
        <f t="shared" si="765"/>
        <v>1.7378008287493747E-5</v>
      </c>
      <c r="DX71" s="89">
        <f t="shared" si="718"/>
        <v>0</v>
      </c>
      <c r="DY71" s="89">
        <f t="shared" si="719"/>
        <v>0</v>
      </c>
      <c r="DZ71" s="89">
        <f t="shared" si="720"/>
        <v>0</v>
      </c>
      <c r="EA71" s="90">
        <f t="shared" si="721"/>
        <v>0</v>
      </c>
      <c r="EB71" s="91">
        <f t="shared" si="766"/>
        <v>-5.7543993733715545E-4</v>
      </c>
      <c r="EC71" s="89">
        <f t="shared" si="722"/>
        <v>0</v>
      </c>
      <c r="ED71" s="89">
        <f t="shared" si="723"/>
        <v>-2.3121579010590379E-2</v>
      </c>
      <c r="EE71" s="89">
        <f t="shared" si="724"/>
        <v>-7.1374419509109069E-3</v>
      </c>
      <c r="EF71" s="90">
        <f t="shared" si="725"/>
        <v>0</v>
      </c>
      <c r="EG71" s="242"/>
      <c r="EH71" s="245">
        <f t="shared" si="726"/>
        <v>4.8265634921200391</v>
      </c>
      <c r="EI71" s="246">
        <f t="shared" si="727"/>
        <v>-4.6822543397520597</v>
      </c>
      <c r="EJ71" s="198">
        <f t="shared" si="728"/>
        <v>1.5176350511656371</v>
      </c>
      <c r="EK71" s="198">
        <f t="shared" si="729"/>
        <v>1.2040276950912468E-2</v>
      </c>
      <c r="EL71" s="101">
        <f>IF(AND(CS71&lt;&gt;"",DK71&lt;&gt;""),LOG(CS71*DK71/Minerals!$C$6),"")</f>
        <v>0.87993242281494011</v>
      </c>
      <c r="EM71" s="94">
        <f>IF(AND(CS71&lt;&gt;"",DK71&lt;&gt;""),LOG(CS71*DK71/Minerals!$C$5),"")</f>
        <v>0.74945289345872246</v>
      </c>
      <c r="EN71" s="94">
        <f>IF(AND(CS71&lt;&gt;"",DL71&lt;&gt;""),LOG(CS71*DL71^2/Minerals!$C$2),"")</f>
        <v>-2.3862169544725425</v>
      </c>
      <c r="EO71" s="94">
        <f>IF(AND(CS71&lt;&gt;"",CX71&lt;&gt;""),LOG($CS71*$CX71/Minerals!$C$3),"")</f>
        <v>-2.0355689563692674</v>
      </c>
      <c r="EP71" s="95">
        <f>IF(AND(CS71&lt;&gt;"",CX71&lt;&gt;""),LOG($CS71*$CX71/Minerals!$C$4),"")</f>
        <v>-2.2755534678351697</v>
      </c>
      <c r="EQ71" s="199"/>
      <c r="ER71" s="101">
        <f t="shared" ref="ER71:ES83" si="767">10^(-0.5*SQRT($EK71)/(1+SQRT($EK71)))</f>
        <v>0.89240250083573325</v>
      </c>
      <c r="ES71" s="94">
        <f t="shared" si="767"/>
        <v>0.89240250083573325</v>
      </c>
      <c r="ET71" s="94">
        <f t="shared" ref="ET71:EV83" si="768">10^(-0.5*4*SQRT($EK71)/(1+SQRT($EK71)))</f>
        <v>0.6342246459034131</v>
      </c>
      <c r="EU71" s="94">
        <f t="shared" si="768"/>
        <v>0.6342246459034131</v>
      </c>
      <c r="EV71" s="95">
        <f t="shared" si="768"/>
        <v>0.6342246459034131</v>
      </c>
      <c r="EW71" s="101">
        <f t="shared" ref="EW71:FA83" si="769">10^(-0.5*SQRT($EK71)/(1+SQRT($EK71)))</f>
        <v>0.89240250083573325</v>
      </c>
      <c r="EX71" s="94">
        <f t="shared" si="758"/>
        <v>0.6342246459034131</v>
      </c>
      <c r="EY71" s="94">
        <f t="shared" si="769"/>
        <v>0.89240250083573325</v>
      </c>
      <c r="EZ71" s="94">
        <f t="shared" si="769"/>
        <v>0.89240250083573325</v>
      </c>
      <c r="FA71" s="94">
        <f t="shared" si="165"/>
        <v>0.89240250083573325</v>
      </c>
      <c r="FB71" s="95">
        <f t="shared" si="759"/>
        <v>0.6342246459034131</v>
      </c>
      <c r="FC71" s="199"/>
      <c r="FD71" s="101">
        <f t="shared" si="730"/>
        <v>1.2797700443061295E-4</v>
      </c>
      <c r="FE71" s="94">
        <f t="shared" si="731"/>
        <v>2.779806297889779E-5</v>
      </c>
      <c r="FF71" s="94">
        <f t="shared" si="732"/>
        <v>1.3772603269191538E-3</v>
      </c>
      <c r="FG71" s="94">
        <f t="shared" si="733"/>
        <v>9.7942760170083136E-5</v>
      </c>
      <c r="FH71" s="95" t="str">
        <f t="shared" si="734"/>
        <v/>
      </c>
      <c r="FI71" s="101">
        <f t="shared" si="735"/>
        <v>3.5772415991213494E-3</v>
      </c>
      <c r="FJ71" s="94">
        <f t="shared" si="736"/>
        <v>7.3321376303597366E-6</v>
      </c>
      <c r="FK71" s="94">
        <f t="shared" si="737"/>
        <v>1.4799538836385336E-4</v>
      </c>
      <c r="FL71" s="94">
        <f t="shared" si="738"/>
        <v>2.3547633423202872E-4</v>
      </c>
      <c r="FM71" s="94">
        <f t="shared" si="739"/>
        <v>6.3694710465627687E-6</v>
      </c>
      <c r="FN71" s="95">
        <f t="shared" si="740"/>
        <v>6.7595980273462344E-5</v>
      </c>
      <c r="FO71" s="199"/>
      <c r="FP71" s="101">
        <f>IF(EL71&lt;&gt;"",LOG(FF71*FJ71/Minerals!$C$6),"")</f>
        <v>0.48441865212921859</v>
      </c>
      <c r="FQ71" s="94">
        <f>IF(EL71&lt;&gt;"",LOG(FF71*FJ71/Minerals!$C$5),"")</f>
        <v>0.35393912277300082</v>
      </c>
      <c r="FR71" s="94">
        <f>IF(EN71&lt;&gt;"",LOG(FF71*FM71^2/Minerals!$C$2),"")</f>
        <v>-2.6828522824868335</v>
      </c>
      <c r="FS71" s="94">
        <f>IF(EO71&lt;&gt;"",LOG($FF71*$FN71/Minerals!$C$3),"")</f>
        <v>-2.4310827270549891</v>
      </c>
      <c r="FT71" s="95">
        <f>IF(EP71&lt;&gt;"",LOG($FF71*$FN71/Minerals!$C$4),"")</f>
        <v>-2.6710672385208913</v>
      </c>
      <c r="FU71" s="96"/>
      <c r="FV71" s="101">
        <f>IF(FP71&lt;&gt;"",LOG(FF71*FJ71/(EXP(-1*Minerals!$E$6/'Other Constants'!$B$2*(1/(273.15+'ppm-mgL-1'!$D71)-1/298.15)+LN(Minerals!$C$6)))),"")</f>
        <v>-0.9367687414830429</v>
      </c>
      <c r="FW71" s="94">
        <f>IF(FP71&lt;&gt;"",LOG(FF71*FJ71/(EXP(-1*Minerals!$E$5/'Other Constants'!$B$2*(1/(273.15+'ppm-mgL-1'!$D71)-1/298.15)+LN(Minerals!$C$5)))),"")</f>
        <v>-1.0673767504468623</v>
      </c>
      <c r="FX71" s="94">
        <f>IF(FR71&lt;&gt;"",LOG(FF71*FM71^2/(EXP(-1*Minerals!$E$2/'Other Constants'!$B$2*(1/(273.15+'ppm-mgL-1'!$D71)-1/298.15)+LN(Minerals!$C$2)))),"")</f>
        <v>-2.6227666526652222</v>
      </c>
      <c r="FY71" s="94">
        <f>IF(FS71&lt;&gt;"",LOG($FF71*$FN71/(EXP(-1*Minerals!$E$3/'Other Constants'!$B$2*(1/(273.15+'ppm-mgL-1'!$D71)-1/298.15)+LN(Minerals!$C$3)))),"")</f>
        <v>-1.2059697114249333</v>
      </c>
      <c r="FZ71" s="95">
        <f>IF(FT71&lt;&gt;"",LOG($FF71*$FN71/(EXP(-1*Minerals!$E$4/'Other Constants'!$B$2*(1/(273.15+'ppm-mgL-1'!$D71)-1/298.15)+LN(Minerals!$C$4)))),"")</f>
        <v>-2.7061635846640213</v>
      </c>
      <c r="GA71" s="96"/>
      <c r="GB71" s="96"/>
      <c r="GC71" s="101">
        <f>10^(-1825000*(79.755*EXP(-0.0046*($D71-20))*($D71+273.15))^-1.5*$EK71^0.5/(1+'Elements and ions'!$D$12*$EK71^0.5/(2*(79.755*EXP(-0.0046*($D71-20))*($D71+273.15))^0.5)))</f>
        <v>0.89309318146152583</v>
      </c>
      <c r="GD71" s="94">
        <f>10^(-1825000*(79.755*EXP(-0.0046*($D71-20))*($D71+273.15))^-1.5*$EK71^0.5/(1+'Elements and ions'!$D$20*$EK71^0.5/(2*(79.755*EXP(-0.0046*($D71-20))*($D71+273.15))^0.5)))</f>
        <v>0.8898256495079554</v>
      </c>
      <c r="GE71" s="94">
        <f>10^(-1825000*(79.755*EXP(-0.0046*($D71-20))*($D71+273.15))^-1.5*4*$EK71^0.5/(1+'Elements and ions'!$D$21*$EK71^0.5/(2*(79.755*EXP(-0.0046*($D71-20))*($D71+273.15))^0.5)))</f>
        <v>0.65342111889691712</v>
      </c>
      <c r="GF71" s="94">
        <f>10^(-1825000*(79.755*EXP(-0.0046*($D71-20))*($D71+273.15))^-1.5*4*$EK71^0.5/(1+'Elements and ions'!$D$13*$EK71^0.5/(2*(79.755*EXP(-0.0046*($D71-20))*($D71+273.15))^0.5)))</f>
        <v>0.66912022381113045</v>
      </c>
      <c r="GG71" s="95">
        <f>10^(-1825000*(79.755*EXP(-0.0046*($D71-20))*($D71+273.15))^-1.5*4*$EK71^0.5/(1+'Elements and ions'!$D$27*$EK71^0.5/(2*(79.755*EXP(-0.0046*($D71-20))*($D71+273.15))^0.5)))</f>
        <v>0.65342111889691712</v>
      </c>
      <c r="GH71" s="101">
        <f>10^(-1825000*(79.755*EXP(-0.0046*($D71-20))*($D71+273.15))^-1.5*$EK71^0.5/(1+'Elements and ions'!$G$3*$EK71^0.5/(2*(79.755*EXP(-0.0046*($D71-20))*($D71+273.15))^0.5)))</f>
        <v>0.88114521374137555</v>
      </c>
      <c r="GI71" s="94">
        <f>10^(-1825000*(79.755*EXP(-0.0046*($D71-20))*($D71+273.15))^-1.5*4*$EK71^0.5/(1+'Elements and ions'!$G$4*$EK71^0.5/(2*(79.755*EXP(-0.0046*($D71-20))*($D71+273.15))^0.5)))</f>
        <v>0.60271508552736874</v>
      </c>
      <c r="GJ71" s="94">
        <f>10^(-1825000*(79.755*EXP(-0.0046*($D71-20))*($D71+273.15))^-1.5*$EK71^0.5/(1+'Elements and ions'!$D$18*$EK71^0.5/(2*(79.755*EXP(-0.0046*($D71-20))*($D71+273.15))^0.5)))</f>
        <v>0.8898256495079554</v>
      </c>
      <c r="GK71" s="94">
        <f>10^(-1825000*(79.755*EXP(-0.0046*($D71-20))*($D71+273.15))^-1.5*$EK71^0.5/(1+'Elements and ions'!$I$7*$EK71^0.5/(2*(79.755*EXP(-0.0046*($D71-20))*($D71+273.15))^0.5)))</f>
        <v>0.8898256495079554</v>
      </c>
      <c r="GL71" s="94">
        <f>10^(-1825000*(79.755*EXP(-0.0046*($D71-20))*($D71+273.15))^-1.5*$EK71^0.5/(1+'Elements and ions'!$D$10*$EK71^0.5/(2*(79.755*EXP(-0.0046*($D71-20))*($D71+273.15))^0.5)))</f>
        <v>0.89148397847888916</v>
      </c>
      <c r="GM71" s="95">
        <f>10^(-1825000*(79.755*EXP(-0.0046*($D71-20))*($D71+273.15))^-1.5*4*$EK71^0.5/(1+'Elements and ions'!$I$5*$EK71^0.5/(2*(79.755*EXP(-0.0046*($D71-20))*($D71+273.15))^0.5)))</f>
        <v>0.63619037540730972</v>
      </c>
      <c r="GN71" s="96"/>
      <c r="GO71" s="101">
        <f t="shared" si="741"/>
        <v>1.2807605305208635E-4</v>
      </c>
      <c r="GP71" s="94">
        <f t="shared" si="742"/>
        <v>2.7717794853887224E-5</v>
      </c>
      <c r="GQ71" s="94">
        <f t="shared" si="743"/>
        <v>1.4189467243833646E-3</v>
      </c>
      <c r="GR71" s="94">
        <f t="shared" si="744"/>
        <v>1.0333165390054297E-4</v>
      </c>
      <c r="GS71" s="95" t="str">
        <f t="shared" si="745"/>
        <v/>
      </c>
      <c r="GT71" s="101">
        <f t="shared" si="746"/>
        <v>3.532116181331198E-3</v>
      </c>
      <c r="GU71" s="94">
        <f t="shared" si="747"/>
        <v>6.9678622354478976E-6</v>
      </c>
      <c r="GV71" s="94">
        <f t="shared" si="748"/>
        <v>1.4756804519453992E-4</v>
      </c>
      <c r="GW71" s="94">
        <f t="shared" si="749"/>
        <v>2.3479638599795518E-4</v>
      </c>
      <c r="GX71" s="94">
        <f t="shared" si="750"/>
        <v>6.3629151465601795E-6</v>
      </c>
      <c r="GY71" s="102">
        <f t="shared" si="751"/>
        <v>6.7805488708094506E-5</v>
      </c>
      <c r="GZ71" s="199"/>
      <c r="HA71" s="92">
        <f>IF(AND(GQ71&lt;&gt;"",GU71&lt;&gt;""),LOG(GQ71*GU71/Minerals!$C$6),"")</f>
        <v>0.47523765147987274</v>
      </c>
      <c r="HB71" s="94">
        <f>IF(AND(GQ71&lt;&gt;"",GU71&lt;&gt;""),LOG(GQ71*GU71/Minerals!$C$5),"")</f>
        <v>0.34475812212365503</v>
      </c>
      <c r="HC71" s="94">
        <f>IF(AND(GQ71&lt;&gt;"",GX71&lt;&gt;""),LOG(GQ71*GX71^2/Minerals!$C$2),"")</f>
        <v>-2.67079670238649</v>
      </c>
      <c r="HD71" s="94">
        <f>IF(AND(GQ71&lt;&gt;"",GY71&lt;&gt;""),LOG($GQ71*$GY71/Minerals!$C$3),"")</f>
        <v>-2.4167886947823196</v>
      </c>
      <c r="HE71" s="102">
        <f>IF(AND(GQ71&lt;&gt;"",GY71&lt;&gt;""),LOG($GQ71*$GY71/Minerals!$C$3),"")</f>
        <v>-2.4167886947823196</v>
      </c>
      <c r="HF71" s="199"/>
      <c r="HG71" s="92">
        <f>IF(HA71&lt;&gt;"",LOG(GQ71*GU71/(EXP(-1*Minerals!$E$6/'Other Constants'!$B$2*(1/(273.15+'ppm-mgL-1'!$D71)-1/298.15)+LN(Minerals!$C$6)))),"")</f>
        <v>-0.94594974213238869</v>
      </c>
      <c r="HH71" s="94">
        <f>IF(HA71&lt;&gt;"",LOG(GQ71*GU71/(EXP(-1*Minerals!$E$5/'Other Constants'!$B$2*(1/(273.15+'ppm-mgL-1'!$D71)-1/298.15)+LN(Minerals!$C$5)))),"")</f>
        <v>-1.0765577510962081</v>
      </c>
      <c r="HI71" s="94">
        <f>IF(HC71&lt;&gt;"",LOG(GQ71*GX71^2/(EXP(-1*Minerals!$E$2/'Other Constants'!$B$2*(1/(273.15+'ppm-mgL-1'!$D71)-1/298.15)+LN(Minerals!$C$2)))),"")</f>
        <v>-2.6107110725648783</v>
      </c>
      <c r="HJ71" s="94">
        <f>IF(HD71&lt;&gt;"",LOG($FF71*$FN71/(EXP(-1*Minerals!$E$3/'Other Constants'!$B$2*(1/(273.15+'ppm-mgL-1'!$D71)-1/298.15)+LN(Minerals!$C$3)))),"")</f>
        <v>-1.2059697114249333</v>
      </c>
      <c r="HK71" s="95">
        <f>IF(HE71&lt;&gt;"",LOG($FF71*$FN71/(EXP(-1*Minerals!$E$4/'Other Constants'!$B$2*(1/(273.15+'ppm-mgL-1'!$D71)-1/298.15)+LN(Minerals!$C$4)))),"")</f>
        <v>-2.7061635846640213</v>
      </c>
      <c r="HL71" s="199"/>
      <c r="HM71" s="199"/>
    </row>
    <row r="72" spans="1:221" x14ac:dyDescent="0.25">
      <c r="A72" s="267" t="str">
        <f>'WC samples'!B43</f>
        <v>ISSR 4</v>
      </c>
      <c r="C72" s="266">
        <f>'WC samples'!A43</f>
        <v>41502</v>
      </c>
      <c r="D72" s="4">
        <f>'WC samples'!I43</f>
        <v>21.7</v>
      </c>
      <c r="E72" s="4">
        <f>'WC samples'!F43</f>
        <v>7.79</v>
      </c>
      <c r="AD72" s="83">
        <f>IF(E72&lt;&gt;"",10^(-2*$E72)/(10^(-2*$E72)+10^(-$E72-pKa!$B$2)+(10^(-pKa!$B$2-pKa!$C$2))),"")</f>
        <v>3.1251510245114175E-2</v>
      </c>
      <c r="AE72" s="84">
        <f>IF(E72&lt;&gt;"",10^(-$E72-pKa!$B$2)/(10^(-2*$E72)+10^(-$E72-pKa!$B$2)+10^(-pKa!$B$2-pKa!$C$2)),"")</f>
        <v>0.96576399369628019</v>
      </c>
      <c r="AF72" s="212">
        <f>IF(E72&lt;&gt;"",10^(-pKa!$B$2-pKa!$C$2)/(10^(-2*$E72)+10^(-$E72-pKa!$B$2)+10^(-pKa!$B$2-pKa!$C$2)),"")</f>
        <v>2.9844960586056851E-3</v>
      </c>
      <c r="AG72" s="152"/>
      <c r="AH72" s="222">
        <f>IF($AK72&lt;&gt;"",$AK72/'Elements and ions'!$G$3,IF($E72="","",""))</f>
        <v>3.8513957786080044</v>
      </c>
      <c r="AI72" s="85">
        <f t="shared" si="688"/>
        <v>3.9634294960223942E-3</v>
      </c>
      <c r="AJ72" s="84">
        <f>IF(AI72&lt;&gt;"",AI72*1000*'Elements and ions'!$B$7,"")</f>
        <v>47.603562647876174</v>
      </c>
      <c r="AK72" s="99">
        <f>'WC samples'!H43</f>
        <v>235</v>
      </c>
      <c r="AL72" s="88">
        <f>IF($AK72&lt;&gt;"",$AK72/'Elements and ions'!$G$3*Minerals!$B$6/2,IF($E72="","","Enter Alk(HCO3-)"))</f>
        <v>192.73713207698074</v>
      </c>
      <c r="AM72" s="199"/>
      <c r="AN72" s="101">
        <f t="shared" si="755"/>
        <v>1.2386315750073158E-4</v>
      </c>
      <c r="AO72" s="94">
        <f t="shared" si="756"/>
        <v>3.8277374988122223E-3</v>
      </c>
      <c r="AP72" s="95">
        <f t="shared" si="757"/>
        <v>1.1828839709440352E-5</v>
      </c>
      <c r="AQ72" s="199"/>
      <c r="AR72" s="199"/>
      <c r="AS72" s="83">
        <f t="shared" si="760"/>
        <v>0.36430340441391634</v>
      </c>
      <c r="AT72" s="83">
        <f>IF(AN72&lt;&gt;"",AN72/'Henrys law constants'!$B$7*1000000,"")</f>
        <v>3643.0340441391636</v>
      </c>
      <c r="AU72" s="268">
        <f>'WC samples'!K43</f>
        <v>3.1380325343206139</v>
      </c>
      <c r="AV72" s="269">
        <f>'WC samples'!M43</f>
        <v>1.0292357096530105</v>
      </c>
      <c r="AW72" s="269">
        <f>'WC samples'!O43</f>
        <v>81.072243881742509</v>
      </c>
      <c r="AX72" s="269">
        <f>'WC samples'!N43</f>
        <v>4.3692913766079338</v>
      </c>
      <c r="AY72" s="226">
        <f>AO72*'Elements and ions'!$G$3*1000</f>
        <v>233.55644652702554</v>
      </c>
      <c r="AZ72" s="269">
        <f>'WC samples'!Q43</f>
        <v>5.379767795373473</v>
      </c>
      <c r="BA72" s="269">
        <f>'WC samples'!T43</f>
        <v>16.548219851907902</v>
      </c>
      <c r="BB72" s="270">
        <f>'WC samples'!V43</f>
        <v>9.3401427061939248</v>
      </c>
      <c r="BC72" s="222">
        <f>IF($E72&lt;&gt;"",10^-$E72*'Elements and ions'!B73*1000,"")</f>
        <v>0</v>
      </c>
      <c r="BE72" s="6"/>
      <c r="BF72" s="6"/>
      <c r="BG72" s="270">
        <f>'WC samples'!L43</f>
        <v>0</v>
      </c>
      <c r="BH72" s="3"/>
      <c r="BJ72" s="92">
        <f>IF($AN72&lt;&gt;"",$AN72*'Elements and ions'!$G$2*1000,"")</f>
        <v>7.6825850940882248</v>
      </c>
      <c r="BK72" s="229"/>
      <c r="BL72" s="230"/>
      <c r="BM72" s="101">
        <f>IF($E72&lt;&gt;"",(10^-14+$E72)*'Elements and ions'!$G$8,"")</f>
        <v>132.48717860000016</v>
      </c>
      <c r="BO72" s="102">
        <f>IF($AP72&lt;&gt;"",$AP72*'Elements and ions'!$G$4*1000,"")</f>
        <v>0.70983565923983516</v>
      </c>
      <c r="BP72" s="269">
        <f>'WC samples'!P43</f>
        <v>0.10840705599394659</v>
      </c>
      <c r="BQ72" s="270">
        <f>'WC samples'!R43</f>
        <v>0</v>
      </c>
      <c r="BR72" s="195"/>
      <c r="BS72" s="238">
        <f>IF($AU72&lt;&gt;"",$AU72/'Elements and ions'!$B$12,"")</f>
        <v>0.13649691287030671</v>
      </c>
      <c r="BT72" s="239">
        <f>IF($AV72&lt;&gt;"",$AV72/'Elements and ions'!$B$20,"")</f>
        <v>2.6324308464895158E-2</v>
      </c>
      <c r="BU72" s="239">
        <f>IF($AW72&lt;&gt;"",$AW72/'Elements and ions'!$B$21, "")</f>
        <v>2.0228615170852464</v>
      </c>
      <c r="BV72" s="240">
        <f>IF($AX72&lt;&gt;"",$AX72/'Elements and ions'!$B$13, "")</f>
        <v>0.17976923993449634</v>
      </c>
      <c r="BW72" s="238">
        <f>IF($AY72&lt;&gt;"",$AY72/'Elements and ions'!$G$3,"")</f>
        <v>3.8277374988122226</v>
      </c>
      <c r="BX72" s="239">
        <f>IF($AZ72&lt;&gt;"",$AZ72/'Elements and ions'!$B$18,"")</f>
        <v>0.15174365484933497</v>
      </c>
      <c r="BY72" s="239">
        <f>IF($BA72&lt;&gt;"",$BA72/'Elements and ions'!$G$7,"")</f>
        <v>0.26688567922709178</v>
      </c>
      <c r="BZ72" s="241">
        <f>IF($BB72&lt;&gt;"",$BB72/'Elements and ions'!$G$5,"")</f>
        <v>9.7229751289200209E-2</v>
      </c>
      <c r="CA72" s="91">
        <f t="shared" si="761"/>
        <v>1.6218100973589298E-5</v>
      </c>
      <c r="CB72" s="163" t="str">
        <f>IF($BD72&lt;&gt;"",$BD72/'Elements and ions'!$B$14,"")</f>
        <v/>
      </c>
      <c r="CC72" s="89" t="str">
        <f>IF($BE72&lt;&gt;"",$BE72/'Elements and ions'!$B$27, "")</f>
        <v/>
      </c>
      <c r="CD72" s="249" t="str">
        <f>IF($BF72&lt;&gt;"",$BF72/'Elements and ions'!$B$26,"")</f>
        <v/>
      </c>
      <c r="CE72" s="250">
        <f>IF($BG72&lt;&gt;"",$BG72/'Elements and ions'!$G$6,"")</f>
        <v>0</v>
      </c>
      <c r="CF72" s="91" t="str">
        <f>IF($BH72&lt;&gt;"",$BH72/'Elements and ions'!$G$15,"")</f>
        <v/>
      </c>
      <c r="CG72" s="89" t="str">
        <f>IF($BI72&lt;&gt;"",$BI72/'Elements and ions'!$G$16,"")</f>
        <v/>
      </c>
      <c r="CH72" s="90">
        <f>IF($BJ72&lt;&gt;"",$BJ72/'Elements and ions'!$G$2,"")</f>
        <v>0.12386315750073157</v>
      </c>
      <c r="CI72" s="91" t="str">
        <f>IF($BK72&lt;&gt;"",$BK72/'Elements and ions'!$B$15, "")</f>
        <v/>
      </c>
      <c r="CJ72" s="88" t="str">
        <f>IF($BL72&lt;&gt;"", $BL72/'Elements and ions'!$G$17,"")</f>
        <v/>
      </c>
      <c r="CK72" s="89">
        <f t="shared" si="762"/>
        <v>6.165950018614814E-4</v>
      </c>
      <c r="CL72" s="163" t="str">
        <f>IF($BN72&lt;&gt;"", $BN72/'Elements and ions'!$G$19,"")</f>
        <v/>
      </c>
      <c r="CM72" s="89">
        <f>IF($BO72&lt;&gt;"",$BO72/'Elements and ions'!$G$4,"")</f>
        <v>1.1828839709440353E-2</v>
      </c>
      <c r="CN72" s="89">
        <f>IF($BP72&lt;&gt;"",$BP72/'Elements and ions'!$B$10,"")</f>
        <v>5.7061140798373312E-3</v>
      </c>
      <c r="CO72" s="104">
        <f>IF($BQ72&lt;&gt;"",$BQ72/'Elements and ions'!$G$18,"")</f>
        <v>0</v>
      </c>
      <c r="CP72" s="242"/>
      <c r="CQ72" s="238">
        <f t="shared" si="689"/>
        <v>1.3649691287030672E-4</v>
      </c>
      <c r="CR72" s="239">
        <f t="shared" si="690"/>
        <v>2.6324308464895158E-5</v>
      </c>
      <c r="CS72" s="239">
        <f t="shared" si="691"/>
        <v>2.0228615170852465E-3</v>
      </c>
      <c r="CT72" s="241">
        <f t="shared" si="692"/>
        <v>1.7976923993449635E-4</v>
      </c>
      <c r="CU72" s="238">
        <f t="shared" si="693"/>
        <v>3.8277374988122228E-3</v>
      </c>
      <c r="CV72" s="239">
        <f t="shared" si="694"/>
        <v>1.5174365484933497E-4</v>
      </c>
      <c r="CW72" s="239">
        <f t="shared" si="695"/>
        <v>2.668856792270918E-4</v>
      </c>
      <c r="CX72" s="241">
        <f t="shared" si="696"/>
        <v>9.7229751289200204E-5</v>
      </c>
      <c r="CY72" s="258">
        <f t="shared" si="763"/>
        <v>1.6218100973589297E-8</v>
      </c>
      <c r="CZ72" s="259" t="str">
        <f t="shared" si="697"/>
        <v/>
      </c>
      <c r="DA72" s="260" t="str">
        <f t="shared" si="698"/>
        <v/>
      </c>
      <c r="DB72" s="261" t="str">
        <f t="shared" si="699"/>
        <v/>
      </c>
      <c r="DC72" s="262">
        <f t="shared" si="700"/>
        <v>0</v>
      </c>
      <c r="DD72" s="263" t="str">
        <f t="shared" si="701"/>
        <v/>
      </c>
      <c r="DE72" s="259" t="str">
        <f t="shared" si="702"/>
        <v/>
      </c>
      <c r="DF72" s="260">
        <f t="shared" si="703"/>
        <v>1.2386315750073158E-4</v>
      </c>
      <c r="DG72" s="260" t="str">
        <f t="shared" si="704"/>
        <v/>
      </c>
      <c r="DH72" s="264" t="str">
        <f t="shared" si="705"/>
        <v/>
      </c>
      <c r="DI72" s="258">
        <f t="shared" si="764"/>
        <v>6.1659500186148145E-7</v>
      </c>
      <c r="DJ72" s="260" t="str">
        <f t="shared" si="706"/>
        <v/>
      </c>
      <c r="DK72" s="260">
        <f t="shared" si="707"/>
        <v>1.1828839709440352E-5</v>
      </c>
      <c r="DL72" s="260">
        <f t="shared" si="708"/>
        <v>5.7061140798373313E-6</v>
      </c>
      <c r="DM72" s="265">
        <f t="shared" si="709"/>
        <v>0</v>
      </c>
      <c r="DN72" s="242"/>
      <c r="DO72" s="238">
        <f t="shared" si="710"/>
        <v>0.13649691287030671</v>
      </c>
      <c r="DP72" s="239">
        <f t="shared" si="711"/>
        <v>2.6324308464895158E-2</v>
      </c>
      <c r="DQ72" s="239">
        <f t="shared" si="712"/>
        <v>4.0457230341704928</v>
      </c>
      <c r="DR72" s="241">
        <f t="shared" si="713"/>
        <v>0.35953847986899268</v>
      </c>
      <c r="DS72" s="238">
        <f t="shared" si="714"/>
        <v>-3.8277374988122226</v>
      </c>
      <c r="DT72" s="239">
        <f t="shared" si="715"/>
        <v>-0.15174365484933497</v>
      </c>
      <c r="DU72" s="239">
        <f t="shared" si="716"/>
        <v>-0.26688567922709178</v>
      </c>
      <c r="DV72" s="241">
        <f t="shared" si="717"/>
        <v>-0.19445950257840042</v>
      </c>
      <c r="DW72" s="91">
        <f t="shared" si="765"/>
        <v>1.6218100973589298E-5</v>
      </c>
      <c r="DX72" s="89">
        <f t="shared" si="718"/>
        <v>0</v>
      </c>
      <c r="DY72" s="89">
        <f t="shared" si="719"/>
        <v>0</v>
      </c>
      <c r="DZ72" s="89">
        <f t="shared" si="720"/>
        <v>0</v>
      </c>
      <c r="EA72" s="90">
        <f t="shared" si="721"/>
        <v>0</v>
      </c>
      <c r="EB72" s="91">
        <f t="shared" si="766"/>
        <v>-6.165950018614814E-4</v>
      </c>
      <c r="EC72" s="89">
        <f t="shared" si="722"/>
        <v>0</v>
      </c>
      <c r="ED72" s="89">
        <f t="shared" si="723"/>
        <v>-2.3657679418880705E-2</v>
      </c>
      <c r="EE72" s="89">
        <f t="shared" si="724"/>
        <v>-5.7061140798373312E-3</v>
      </c>
      <c r="EF72" s="90">
        <f t="shared" si="725"/>
        <v>0</v>
      </c>
      <c r="EG72" s="242"/>
      <c r="EH72" s="245">
        <f t="shared" si="726"/>
        <v>4.5680989534756611</v>
      </c>
      <c r="EI72" s="246">
        <f t="shared" si="727"/>
        <v>-4.4708067239676286</v>
      </c>
      <c r="EJ72" s="198">
        <f t="shared" si="728"/>
        <v>1.0763717753004836</v>
      </c>
      <c r="EK72" s="198">
        <f t="shared" si="729"/>
        <v>1.1406889117387615E-2</v>
      </c>
      <c r="EL72" s="101">
        <f>IF(AND(CS72&lt;&gt;"",DK72&lt;&gt;""),LOG(CS72*DK72/Minerals!$C$6),"")</f>
        <v>0.85908030546493663</v>
      </c>
      <c r="EM72" s="94">
        <f>IF(AND(CS72&lt;&gt;"",DK72&lt;&gt;""),LOG(CS72*DK72/Minerals!$C$5),"")</f>
        <v>0.72860077610871887</v>
      </c>
      <c r="EN72" s="94">
        <f>IF(AND(CS72&lt;&gt;"",DL72&lt;&gt;""),LOG(CS72*DL72^2/Minerals!$C$2),"")</f>
        <v>-2.611428002960599</v>
      </c>
      <c r="EO72" s="94">
        <f>IF(AND(CS72&lt;&gt;"",CX72&lt;&gt;""),LOG($CS72*$CX72/Minerals!$C$3),"")</f>
        <v>-2.1062543077669229</v>
      </c>
      <c r="EP72" s="95">
        <f>IF(AND(CS72&lt;&gt;"",CX72&lt;&gt;""),LOG($CS72*$CX72/Minerals!$C$4),"")</f>
        <v>-2.3462388192328252</v>
      </c>
      <c r="EQ72" s="199"/>
      <c r="ER72" s="101">
        <f t="shared" si="767"/>
        <v>0.89485271586682968</v>
      </c>
      <c r="ES72" s="94">
        <f t="shared" si="767"/>
        <v>0.89485271586682968</v>
      </c>
      <c r="ET72" s="94">
        <f t="shared" si="768"/>
        <v>0.64121879265500203</v>
      </c>
      <c r="EU72" s="94">
        <f t="shared" si="768"/>
        <v>0.64121879265500203</v>
      </c>
      <c r="EV72" s="95">
        <f t="shared" si="768"/>
        <v>0.64121879265500203</v>
      </c>
      <c r="EW72" s="101">
        <f t="shared" si="769"/>
        <v>0.89485271586682968</v>
      </c>
      <c r="EX72" s="94">
        <f t="shared" si="758"/>
        <v>0.64121879265500203</v>
      </c>
      <c r="EY72" s="94">
        <f t="shared" si="769"/>
        <v>0.89485271586682968</v>
      </c>
      <c r="EZ72" s="94">
        <f t="shared" si="769"/>
        <v>0.89485271586682968</v>
      </c>
      <c r="FA72" s="94">
        <f t="shared" si="165"/>
        <v>0.89485271586682968</v>
      </c>
      <c r="FB72" s="95">
        <f t="shared" si="759"/>
        <v>0.64121879265500203</v>
      </c>
      <c r="FC72" s="199"/>
      <c r="FD72" s="101">
        <f t="shared" si="730"/>
        <v>1.2214463318943199E-4</v>
      </c>
      <c r="FE72" s="94">
        <f t="shared" si="731"/>
        <v>2.3556378923127606E-5</v>
      </c>
      <c r="FF72" s="94">
        <f t="shared" si="732"/>
        <v>1.2970968196936675E-3</v>
      </c>
      <c r="FG72" s="94">
        <f t="shared" si="733"/>
        <v>1.1527141498730513E-4</v>
      </c>
      <c r="FH72" s="95" t="str">
        <f t="shared" si="734"/>
        <v/>
      </c>
      <c r="FI72" s="101">
        <f t="shared" si="735"/>
        <v>3.4252612964374234E-3</v>
      </c>
      <c r="FJ72" s="94">
        <f t="shared" si="736"/>
        <v>7.5848743169968879E-6</v>
      </c>
      <c r="FK72" s="94">
        <f t="shared" si="737"/>
        <v>1.3578822165748622E-4</v>
      </c>
      <c r="FL72" s="94">
        <f t="shared" si="738"/>
        <v>2.3882337488232664E-4</v>
      </c>
      <c r="FM72" s="94">
        <f t="shared" si="739"/>
        <v>5.1061316813883919E-6</v>
      </c>
      <c r="FN72" s="95">
        <f t="shared" si="740"/>
        <v>6.2345543731807083E-5</v>
      </c>
      <c r="FO72" s="199"/>
      <c r="FP72" s="101">
        <f>IF(EL72&lt;&gt;"",LOG(FF72*FJ72/Minerals!$C$6),"")</f>
        <v>0.47309278955643863</v>
      </c>
      <c r="FQ72" s="94">
        <f>IF(EL72&lt;&gt;"",LOG(FF72*FJ72/Minerals!$C$5),"")</f>
        <v>0.34261326020022093</v>
      </c>
      <c r="FR72" s="94">
        <f>IF(EN72&lt;&gt;"",LOG(FF72*FM72^2/Minerals!$C$2),"")</f>
        <v>-2.9009186398919726</v>
      </c>
      <c r="FS72" s="94">
        <f>IF(EO72&lt;&gt;"",LOG($FF72*$FN72/Minerals!$C$3),"")</f>
        <v>-2.4922418236754207</v>
      </c>
      <c r="FT72" s="95">
        <f>IF(EP72&lt;&gt;"",LOG($FF72*$FN72/Minerals!$C$4),"")</f>
        <v>-2.732226335141323</v>
      </c>
      <c r="FU72" s="96"/>
      <c r="FV72" s="101">
        <f>IF(FP72&lt;&gt;"",LOG(FF72*FJ72/(EXP(-1*Minerals!$E$6/'Other Constants'!$B$2*(1/(273.15+'ppm-mgL-1'!$D72)-1/298.15)+LN(Minerals!$C$6)))),"")</f>
        <v>-0.8283368115609111</v>
      </c>
      <c r="FW72" s="94">
        <f>IF(FP72&lt;&gt;"",LOG(FF72*FJ72/(EXP(-1*Minerals!$E$5/'Other Constants'!$B$2*(1/(273.15+'ppm-mgL-1'!$D72)-1/298.15)+LN(Minerals!$C$5)))),"")</f>
        <v>-0.95893399406070656</v>
      </c>
      <c r="FX72" s="94">
        <f>IF(FR72&lt;&gt;"",LOG(FF72*FM72^2/(EXP(-1*Minerals!$E$2/'Other Constants'!$B$2*(1/(273.15+'ppm-mgL-1'!$D72)-1/298.15)+LN(Minerals!$C$2)))),"")</f>
        <v>-2.8458961864118089</v>
      </c>
      <c r="FY72" s="94">
        <f>IF(FS72&lt;&gt;"",LOG($FF72*$FN72/(EXP(-1*Minerals!$E$3/'Other Constants'!$B$2*(1/(273.15+'ppm-mgL-1'!$D72)-1/298.15)+LN(Minerals!$C$3)))),"")</f>
        <v>-1.3703641948550713</v>
      </c>
      <c r="FZ72" s="95">
        <f>IF(FT72&lt;&gt;"",LOG($FF72*$FN72/(EXP(-1*Minerals!$E$4/'Other Constants'!$B$2*(1/(273.15+'ppm-mgL-1'!$D72)-1/298.15)+LN(Minerals!$C$4)))),"")</f>
        <v>-2.7643652521954887</v>
      </c>
      <c r="GA72" s="96"/>
      <c r="GB72" s="96"/>
      <c r="GC72" s="101">
        <f>10^(-1825000*(79.755*EXP(-0.0046*($D72-20))*($D72+273.15))^-1.5*$EK72^0.5/(1+'Elements and ions'!$D$12*$EK72^0.5/(2*(79.755*EXP(-0.0046*($D72-20))*($D72+273.15))^0.5)))</f>
        <v>0.89540646743062491</v>
      </c>
      <c r="GD72" s="94">
        <f>10^(-1825000*(79.755*EXP(-0.0046*($D72-20))*($D72+273.15))^-1.5*$EK72^0.5/(1+'Elements and ions'!$D$20*$EK72^0.5/(2*(79.755*EXP(-0.0046*($D72-20))*($D72+273.15))^0.5)))</f>
        <v>0.89228188312924517</v>
      </c>
      <c r="GE72" s="94">
        <f>10^(-1825000*(79.755*EXP(-0.0046*($D72-20))*($D72+273.15))^-1.5*4*$EK72^0.5/(1+'Elements and ions'!$D$21*$EK72^0.5/(2*(79.755*EXP(-0.0046*($D72-20))*($D72+273.15))^0.5)))</f>
        <v>0.65943681965596923</v>
      </c>
      <c r="GF72" s="94">
        <f>10^(-1825000*(79.755*EXP(-0.0046*($D72-20))*($D72+273.15))^-1.5*4*$EK72^0.5/(1+'Elements and ions'!$D$13*$EK72^0.5/(2*(79.755*EXP(-0.0046*($D72-20))*($D72+273.15))^0.5)))</f>
        <v>0.6746108784930781</v>
      </c>
      <c r="GG72" s="95">
        <f>10^(-1825000*(79.755*EXP(-0.0046*($D72-20))*($D72+273.15))^-1.5*4*$EK72^0.5/(1+'Elements and ions'!$D$27*$EK72^0.5/(2*(79.755*EXP(-0.0046*($D72-20))*($D72+273.15))^0.5)))</f>
        <v>0.65943681965596923</v>
      </c>
      <c r="GH72" s="101">
        <f>10^(-1825000*(79.755*EXP(-0.0046*($D72-20))*($D72+273.15))^-1.5*$EK72^0.5/(1+'Elements and ions'!$G$3*$EK72^0.5/(2*(79.755*EXP(-0.0046*($D72-20))*($D72+273.15))^0.5)))</f>
        <v>0.88400142214492172</v>
      </c>
      <c r="GI72" s="94">
        <f>10^(-1825000*(79.755*EXP(-0.0046*($D72-20))*($D72+273.15))^-1.5*4*$EK72^0.5/(1+'Elements and ions'!$G$4*$EK72^0.5/(2*(79.755*EXP(-0.0046*($D72-20))*($D72+273.15))^0.5)))</f>
        <v>0.61057347126318429</v>
      </c>
      <c r="GJ72" s="94">
        <f>10^(-1825000*(79.755*EXP(-0.0046*($D72-20))*($D72+273.15))^-1.5*$EK72^0.5/(1+'Elements and ions'!$D$18*$EK72^0.5/(2*(79.755*EXP(-0.0046*($D72-20))*($D72+273.15))^0.5)))</f>
        <v>0.89228188312924517</v>
      </c>
      <c r="GK72" s="94">
        <f>10^(-1825000*(79.755*EXP(-0.0046*($D72-20))*($D72+273.15))^-1.5*$EK72^0.5/(1+'Elements and ions'!$I$7*$EK72^0.5/(2*(79.755*EXP(-0.0046*($D72-20))*($D72+273.15))^0.5)))</f>
        <v>0.89228188312924517</v>
      </c>
      <c r="GL72" s="94">
        <f>10^(-1825000*(79.755*EXP(-0.0046*($D72-20))*($D72+273.15))^-1.5*$EK72^0.5/(1+'Elements and ions'!$D$10*$EK72^0.5/(2*(79.755*EXP(-0.0046*($D72-20))*($D72+273.15))^0.5)))</f>
        <v>0.89386714196747707</v>
      </c>
      <c r="GM72" s="95">
        <f>10^(-1825000*(79.755*EXP(-0.0046*($D72-20))*($D72+273.15))^-1.5*4*$EK72^0.5/(1+'Elements and ions'!$I$5*$EK72^0.5/(2*(79.755*EXP(-0.0046*($D72-20))*($D72+273.15))^0.5)))</f>
        <v>0.64280745917077109</v>
      </c>
      <c r="GN72" s="96"/>
      <c r="GO72" s="101">
        <f t="shared" si="741"/>
        <v>1.2222021856838714E-4</v>
      </c>
      <c r="GP72" s="94">
        <f t="shared" si="742"/>
        <v>2.3488703529131781E-5</v>
      </c>
      <c r="GQ72" s="94">
        <f t="shared" si="743"/>
        <v>1.333949365431144E-3</v>
      </c>
      <c r="GR72" s="94">
        <f t="shared" si="744"/>
        <v>1.2127428487824352E-4</v>
      </c>
      <c r="GS72" s="95" t="str">
        <f t="shared" si="745"/>
        <v/>
      </c>
      <c r="GT72" s="101">
        <f t="shared" si="746"/>
        <v>3.3837253925474505E-3</v>
      </c>
      <c r="GU72" s="94">
        <f t="shared" si="747"/>
        <v>7.222375722408792E-6</v>
      </c>
      <c r="GV72" s="94">
        <f t="shared" si="748"/>
        <v>1.3539811410187883E-4</v>
      </c>
      <c r="GW72" s="94">
        <f t="shared" si="749"/>
        <v>2.3813725644097715E-4</v>
      </c>
      <c r="GX72" s="94">
        <f t="shared" si="750"/>
        <v>5.1005078842845759E-6</v>
      </c>
      <c r="GY72" s="102">
        <f t="shared" si="751"/>
        <v>6.2500009382016785E-5</v>
      </c>
      <c r="GZ72" s="199"/>
      <c r="HA72" s="92">
        <f>IF(AND(GQ72&lt;&gt;"",GU72&lt;&gt;""),LOG(GQ72*GU72/Minerals!$C$6),"")</f>
        <v>0.46399142854357739</v>
      </c>
      <c r="HB72" s="94">
        <f>IF(AND(GQ72&lt;&gt;"",GU72&lt;&gt;""),LOG(GQ72*GU72/Minerals!$C$5),"")</f>
        <v>0.33351189918735968</v>
      </c>
      <c r="HC72" s="94">
        <f>IF(AND(GQ72&lt;&gt;"",GX72&lt;&gt;""),LOG(GQ72*GX72^2/Minerals!$C$2),"")</f>
        <v>-2.8897088643226514</v>
      </c>
      <c r="HD72" s="94">
        <f>IF(AND(GQ72&lt;&gt;"",GY72&lt;&gt;""),LOG($GQ72*$GY72/Minerals!$C$3),"")</f>
        <v>-2.479000207753626</v>
      </c>
      <c r="HE72" s="102">
        <f>IF(AND(GQ72&lt;&gt;"",GY72&lt;&gt;""),LOG($GQ72*$GY72/Minerals!$C$3),"")</f>
        <v>-2.479000207753626</v>
      </c>
      <c r="HF72" s="199"/>
      <c r="HG72" s="92">
        <f>IF(HA72&lt;&gt;"",LOG(GQ72*GU72/(EXP(-1*Minerals!$E$6/'Other Constants'!$B$2*(1/(273.15+'ppm-mgL-1'!$D72)-1/298.15)+LN(Minerals!$C$6)))),"")</f>
        <v>-0.83743817257377229</v>
      </c>
      <c r="HH72" s="94">
        <f>IF(HA72&lt;&gt;"",LOG(GQ72*GU72/(EXP(-1*Minerals!$E$5/'Other Constants'!$B$2*(1/(273.15+'ppm-mgL-1'!$D72)-1/298.15)+LN(Minerals!$C$5)))),"")</f>
        <v>-0.96803535507356775</v>
      </c>
      <c r="HI72" s="94">
        <f>IF(HC72&lt;&gt;"",LOG(GQ72*GX72^2/(EXP(-1*Minerals!$E$2/'Other Constants'!$B$2*(1/(273.15+'ppm-mgL-1'!$D72)-1/298.15)+LN(Minerals!$C$2)))),"")</f>
        <v>-2.8346864108424876</v>
      </c>
      <c r="HJ72" s="94">
        <f>IF(HD72&lt;&gt;"",LOG($FF72*$FN72/(EXP(-1*Minerals!$E$3/'Other Constants'!$B$2*(1/(273.15+'ppm-mgL-1'!$D72)-1/298.15)+LN(Minerals!$C$3)))),"")</f>
        <v>-1.3703641948550713</v>
      </c>
      <c r="HK72" s="95">
        <f>IF(HE72&lt;&gt;"",LOG($FF72*$FN72/(EXP(-1*Minerals!$E$4/'Other Constants'!$B$2*(1/(273.15+'ppm-mgL-1'!$D72)-1/298.15)+LN(Minerals!$C$4)))),"")</f>
        <v>-2.7643652521954887</v>
      </c>
      <c r="HL72" s="199"/>
      <c r="HM72" s="199"/>
    </row>
    <row r="73" spans="1:221" x14ac:dyDescent="0.25">
      <c r="A73" s="267" t="str">
        <f>'WC samples'!B44</f>
        <v>ISSR 4</v>
      </c>
      <c r="C73" s="266">
        <f>'WC samples'!A44</f>
        <v>41546</v>
      </c>
      <c r="D73" s="4">
        <f>'WC samples'!I44</f>
        <v>21.8</v>
      </c>
      <c r="E73" s="4">
        <f>'WC samples'!F44</f>
        <v>7.9</v>
      </c>
      <c r="AD73" s="83">
        <f>IF(E73&lt;&gt;"",10^(-2*$E73)/(10^(-2*$E73)+10^(-$E73-pKa!$B$2)+(10^(-pKa!$B$2-pKa!$C$2))),"")</f>
        <v>2.4408576306229692E-2</v>
      </c>
      <c r="AE73" s="84">
        <f>IF(E73&lt;&gt;"",10^(-$E73-pKa!$B$2)/(10^(-2*$E73)+10^(-$E73-pKa!$B$2)+10^(-pKa!$B$2-pKa!$C$2)),"")</f>
        <v>0.97172292505122937</v>
      </c>
      <c r="AF73" s="212">
        <f>IF(E73&lt;&gt;"",10^(-pKa!$B$2-pKa!$C$2)/(10^(-2*$E73)+10^(-$E73-pKa!$B$2)+10^(-pKa!$B$2-pKa!$C$2)),"")</f>
        <v>3.8684986425411082E-3</v>
      </c>
      <c r="AG73" s="152"/>
      <c r="AH73" s="222">
        <f>IF($AK73&lt;&gt;"",$AK73/'Elements and ions'!$G$3,IF($E73="","",""))</f>
        <v>4.1300073881243282</v>
      </c>
      <c r="AI73" s="85">
        <f t="shared" si="688"/>
        <v>4.2166162312532581E-3</v>
      </c>
      <c r="AJ73" s="84">
        <f>IF(AI73&lt;&gt;"",AI73*1000*'Elements and ions'!$B$7,"")</f>
        <v>50.644512568713509</v>
      </c>
      <c r="AK73" s="99">
        <f>'WC samples'!H44</f>
        <v>252</v>
      </c>
      <c r="AL73" s="88">
        <f>IF($AK73&lt;&gt;"",$AK73/'Elements and ions'!$G$3*Minerals!$B$6/2,IF($E73="","","Enter Alk(HCO3-)"))</f>
        <v>206.67981822723041</v>
      </c>
      <c r="AM73" s="199"/>
      <c r="AN73" s="101">
        <f t="shared" si="755"/>
        <v>1.0292159903463182E-4</v>
      </c>
      <c r="AO73" s="94">
        <f t="shared" si="756"/>
        <v>4.0973826580519073E-3</v>
      </c>
      <c r="AP73" s="95">
        <f t="shared" si="757"/>
        <v>1.6311974166720033E-5</v>
      </c>
      <c r="AQ73" s="199"/>
      <c r="AR73" s="199"/>
      <c r="AS73" s="83">
        <f t="shared" si="760"/>
        <v>0.30271058539597595</v>
      </c>
      <c r="AT73" s="83">
        <f>IF(AN73&lt;&gt;"",AN73/'Henrys law constants'!$B$7*1000000,"")</f>
        <v>3027.1058539597593</v>
      </c>
      <c r="AU73" s="268">
        <f>'WC samples'!K44</f>
        <v>3.3138000000000001</v>
      </c>
      <c r="AV73" s="269">
        <f>'WC samples'!M44</f>
        <v>1.0945</v>
      </c>
      <c r="AW73" s="269">
        <f>'WC samples'!O44</f>
        <v>88.539000000000001</v>
      </c>
      <c r="AX73" s="269">
        <f>'WC samples'!N44</f>
        <v>3.9060000000000001</v>
      </c>
      <c r="AY73" s="226">
        <f>AO73*'Elements and ions'!$G$3*1000</f>
        <v>250.00934206512792</v>
      </c>
      <c r="AZ73" s="269">
        <f>'WC samples'!Q44</f>
        <v>5.8221999999999996</v>
      </c>
      <c r="BA73" s="269">
        <f>'WC samples'!T44</f>
        <v>16.479600000000001</v>
      </c>
      <c r="BB73" s="270">
        <f>'WC samples'!V44</f>
        <v>10.1213</v>
      </c>
      <c r="BC73" s="222">
        <f>IF($E73&lt;&gt;"",10^-$E73*'Elements and ions'!B74*1000,"")</f>
        <v>0</v>
      </c>
      <c r="BE73" s="6"/>
      <c r="BF73" s="6"/>
      <c r="BG73" s="270">
        <f>'WC samples'!L44</f>
        <v>0</v>
      </c>
      <c r="BH73" s="3"/>
      <c r="BJ73" s="92">
        <f>IF($AN73&lt;&gt;"",$AN73*'Elements and ions'!$G$2*1000,"")</f>
        <v>6.3836895373712501</v>
      </c>
      <c r="BK73" s="229"/>
      <c r="BL73" s="230"/>
      <c r="BM73" s="101">
        <f>IF($E73&lt;&gt;"",(10^-14+$E73)*'Elements and ions'!$G$8,"")</f>
        <v>134.35798600000015</v>
      </c>
      <c r="BO73" s="102">
        <f>IF($AP73&lt;&gt;"",$AP73*'Elements and ions'!$G$4*1000,"")</f>
        <v>0.97886362657328563</v>
      </c>
      <c r="BP73" s="269">
        <f>'WC samples'!P44</f>
        <v>0.1152</v>
      </c>
      <c r="BQ73" s="270">
        <f>'WC samples'!R44</f>
        <v>0</v>
      </c>
      <c r="BR73" s="195"/>
      <c r="BS73" s="238">
        <f>IF($AU73&lt;&gt;"",$AU73/'Elements and ions'!$B$12,"")</f>
        <v>0.1441423774044939</v>
      </c>
      <c r="BT73" s="239">
        <f>IF($AV73&lt;&gt;"",$AV73/'Elements and ions'!$B$20,"")</f>
        <v>2.7993544476358306E-2</v>
      </c>
      <c r="BU73" s="239">
        <f>IF($AW73&lt;&gt;"",$AW73/'Elements and ions'!$B$21, "")</f>
        <v>2.2091671241079891</v>
      </c>
      <c r="BV73" s="240">
        <f>IF($AX73&lt;&gt;"",$AX73/'Elements and ions'!$B$13, "")</f>
        <v>0.16070767331824728</v>
      </c>
      <c r="BW73" s="238">
        <f>IF($AY73&lt;&gt;"",$AY73/'Elements and ions'!$G$3,"")</f>
        <v>4.0973826580519077</v>
      </c>
      <c r="BX73" s="239">
        <f>IF($AZ73&lt;&gt;"",$AZ73/'Elements and ions'!$B$18,"")</f>
        <v>0.16422305587679462</v>
      </c>
      <c r="BY73" s="239">
        <f>IF($BA73&lt;&gt;"",$BA73/'Elements and ions'!$G$7,"")</f>
        <v>0.26577899488588808</v>
      </c>
      <c r="BZ73" s="241">
        <f>IF($BB73&lt;&gt;"",$BB73/'Elements and ions'!$G$5,"")</f>
        <v>0.10536150385269605</v>
      </c>
      <c r="CA73" s="91">
        <f t="shared" si="761"/>
        <v>1.2589254117941637E-5</v>
      </c>
      <c r="CB73" s="163" t="str">
        <f>IF($BD73&lt;&gt;"",$BD73/'Elements and ions'!$B$14,"")</f>
        <v/>
      </c>
      <c r="CC73" s="89" t="str">
        <f>IF($BE73&lt;&gt;"",$BE73/'Elements and ions'!$B$27, "")</f>
        <v/>
      </c>
      <c r="CD73" s="249" t="str">
        <f>IF($BF73&lt;&gt;"",$BF73/'Elements and ions'!$B$26,"")</f>
        <v/>
      </c>
      <c r="CE73" s="250">
        <f>IF($BG73&lt;&gt;"",$BG73/'Elements and ions'!$G$6,"")</f>
        <v>0</v>
      </c>
      <c r="CF73" s="91" t="str">
        <f>IF($BH73&lt;&gt;"",$BH73/'Elements and ions'!$G$15,"")</f>
        <v/>
      </c>
      <c r="CG73" s="89" t="str">
        <f>IF($BI73&lt;&gt;"",$BI73/'Elements and ions'!$G$16,"")</f>
        <v/>
      </c>
      <c r="CH73" s="90">
        <f>IF($BJ73&lt;&gt;"",$BJ73/'Elements and ions'!$G$2,"")</f>
        <v>0.10292159903463181</v>
      </c>
      <c r="CI73" s="91" t="str">
        <f>IF($BK73&lt;&gt;"",$BK73/'Elements and ions'!$B$15, "")</f>
        <v/>
      </c>
      <c r="CJ73" s="88" t="str">
        <f>IF($BL73&lt;&gt;"", $BL73/'Elements and ions'!$G$17,"")</f>
        <v/>
      </c>
      <c r="CK73" s="89">
        <f t="shared" si="762"/>
        <v>7.943282347242811E-4</v>
      </c>
      <c r="CL73" s="163" t="str">
        <f>IF($BN73&lt;&gt;"", $BN73/'Elements and ions'!$G$19,"")</f>
        <v/>
      </c>
      <c r="CM73" s="89">
        <f>IF($BO73&lt;&gt;"",$BO73/'Elements and ions'!$G$4,"")</f>
        <v>1.631197416672003E-2</v>
      </c>
      <c r="CN73" s="89">
        <f>IF($BP73&lt;&gt;"",$BP73/'Elements and ions'!$B$10,"")</f>
        <v>6.0636674981190001E-3</v>
      </c>
      <c r="CO73" s="104">
        <f>IF($BQ73&lt;&gt;"",$BQ73/'Elements and ions'!$G$18,"")</f>
        <v>0</v>
      </c>
      <c r="CP73" s="242"/>
      <c r="CQ73" s="238">
        <f t="shared" si="689"/>
        <v>1.441423774044939E-4</v>
      </c>
      <c r="CR73" s="239">
        <f t="shared" si="690"/>
        <v>2.7993544476358305E-5</v>
      </c>
      <c r="CS73" s="239">
        <f t="shared" si="691"/>
        <v>2.2091671241079892E-3</v>
      </c>
      <c r="CT73" s="241">
        <f t="shared" si="692"/>
        <v>1.6070767331824727E-4</v>
      </c>
      <c r="CU73" s="238">
        <f t="shared" si="693"/>
        <v>4.0973826580519073E-3</v>
      </c>
      <c r="CV73" s="239">
        <f t="shared" si="694"/>
        <v>1.6422305587679461E-4</v>
      </c>
      <c r="CW73" s="239">
        <f t="shared" si="695"/>
        <v>2.6577899488588807E-4</v>
      </c>
      <c r="CX73" s="241">
        <f t="shared" si="696"/>
        <v>1.0536150385269605E-4</v>
      </c>
      <c r="CY73" s="258">
        <f t="shared" si="763"/>
        <v>1.2589254117941638E-8</v>
      </c>
      <c r="CZ73" s="259" t="str">
        <f t="shared" si="697"/>
        <v/>
      </c>
      <c r="DA73" s="260" t="str">
        <f t="shared" si="698"/>
        <v/>
      </c>
      <c r="DB73" s="261" t="str">
        <f t="shared" si="699"/>
        <v/>
      </c>
      <c r="DC73" s="262">
        <f t="shared" si="700"/>
        <v>0</v>
      </c>
      <c r="DD73" s="263" t="str">
        <f t="shared" si="701"/>
        <v/>
      </c>
      <c r="DE73" s="259" t="str">
        <f t="shared" si="702"/>
        <v/>
      </c>
      <c r="DF73" s="260">
        <f t="shared" si="703"/>
        <v>1.0292159903463181E-4</v>
      </c>
      <c r="DG73" s="260" t="str">
        <f t="shared" si="704"/>
        <v/>
      </c>
      <c r="DH73" s="264" t="str">
        <f t="shared" si="705"/>
        <v/>
      </c>
      <c r="DI73" s="258">
        <f t="shared" si="764"/>
        <v>7.9432823472428114E-7</v>
      </c>
      <c r="DJ73" s="260" t="str">
        <f t="shared" si="706"/>
        <v/>
      </c>
      <c r="DK73" s="260">
        <f t="shared" si="707"/>
        <v>1.6311974166720029E-5</v>
      </c>
      <c r="DL73" s="260">
        <f t="shared" si="708"/>
        <v>6.0636674981190002E-6</v>
      </c>
      <c r="DM73" s="265">
        <f t="shared" si="709"/>
        <v>0</v>
      </c>
      <c r="DN73" s="242"/>
      <c r="DO73" s="238">
        <f t="shared" si="710"/>
        <v>0.1441423774044939</v>
      </c>
      <c r="DP73" s="239">
        <f t="shared" si="711"/>
        <v>2.7993544476358306E-2</v>
      </c>
      <c r="DQ73" s="239">
        <f t="shared" si="712"/>
        <v>4.4183342482159782</v>
      </c>
      <c r="DR73" s="241">
        <f t="shared" si="713"/>
        <v>0.32141534663649457</v>
      </c>
      <c r="DS73" s="238">
        <f t="shared" si="714"/>
        <v>-4.0973826580519077</v>
      </c>
      <c r="DT73" s="239">
        <f t="shared" si="715"/>
        <v>-0.16422305587679462</v>
      </c>
      <c r="DU73" s="239">
        <f t="shared" si="716"/>
        <v>-0.26577899488588808</v>
      </c>
      <c r="DV73" s="241">
        <f t="shared" si="717"/>
        <v>-0.2107230077053921</v>
      </c>
      <c r="DW73" s="91">
        <f t="shared" si="765"/>
        <v>1.2589254117941637E-5</v>
      </c>
      <c r="DX73" s="89">
        <f t="shared" si="718"/>
        <v>0</v>
      </c>
      <c r="DY73" s="89">
        <f t="shared" si="719"/>
        <v>0</v>
      </c>
      <c r="DZ73" s="89">
        <f t="shared" si="720"/>
        <v>0</v>
      </c>
      <c r="EA73" s="90">
        <f t="shared" si="721"/>
        <v>0</v>
      </c>
      <c r="EB73" s="91">
        <f t="shared" si="766"/>
        <v>-7.943282347242811E-4</v>
      </c>
      <c r="EC73" s="89">
        <f t="shared" si="722"/>
        <v>0</v>
      </c>
      <c r="ED73" s="89">
        <f t="shared" si="723"/>
        <v>-3.262394833344006E-2</v>
      </c>
      <c r="EE73" s="89">
        <f t="shared" si="724"/>
        <v>-6.0636674981190001E-3</v>
      </c>
      <c r="EF73" s="90">
        <f t="shared" si="725"/>
        <v>0</v>
      </c>
      <c r="EG73" s="242"/>
      <c r="EH73" s="245">
        <f t="shared" si="726"/>
        <v>4.9118981059874436</v>
      </c>
      <c r="EI73" s="246">
        <f t="shared" si="727"/>
        <v>-4.7775896605862664</v>
      </c>
      <c r="EJ73" s="198">
        <f t="shared" si="728"/>
        <v>1.3861253415738592</v>
      </c>
      <c r="EK73" s="198">
        <f t="shared" si="729"/>
        <v>1.2253737354212509E-2</v>
      </c>
      <c r="EL73" s="101">
        <f>IF(AND(CS73&lt;&gt;"",DK73&lt;&gt;""),LOG(CS73*DK73/Minerals!$C$6),"")</f>
        <v>1.0369071028152566</v>
      </c>
      <c r="EM73" s="94">
        <f>IF(AND(CS73&lt;&gt;"",DK73&lt;&gt;""),LOG(CS73*DK73/Minerals!$C$5),"")</f>
        <v>0.9064275734590389</v>
      </c>
      <c r="EN73" s="94">
        <f>IF(AND(CS73&lt;&gt;"",DL73&lt;&gt;""),LOG(CS73*DL73^2/Minerals!$C$2),"")</f>
        <v>-2.5203757265577664</v>
      </c>
      <c r="EO73" s="94">
        <f>IF(AND(CS73&lt;&gt;"",CX73&lt;&gt;""),LOG($CS73*$CX73/Minerals!$C$3),"")</f>
        <v>-2.0331091026541461</v>
      </c>
      <c r="EP73" s="95">
        <f>IF(AND(CS73&lt;&gt;"",CX73&lt;&gt;""),LOG($CS73*$CX73/Minerals!$C$4),"")</f>
        <v>-2.2730936141200488</v>
      </c>
      <c r="EQ73" s="199"/>
      <c r="ER73" s="101">
        <f t="shared" si="767"/>
        <v>0.89159564697533056</v>
      </c>
      <c r="ES73" s="94">
        <f t="shared" si="767"/>
        <v>0.89159564697533056</v>
      </c>
      <c r="ET73" s="94">
        <f t="shared" si="768"/>
        <v>0.63193405162362215</v>
      </c>
      <c r="EU73" s="94">
        <f t="shared" si="768"/>
        <v>0.63193405162362215</v>
      </c>
      <c r="EV73" s="95">
        <f t="shared" si="768"/>
        <v>0.63193405162362215</v>
      </c>
      <c r="EW73" s="101">
        <f t="shared" si="769"/>
        <v>0.89159564697533056</v>
      </c>
      <c r="EX73" s="94">
        <f t="shared" si="758"/>
        <v>0.63193405162362215</v>
      </c>
      <c r="EY73" s="94">
        <f t="shared" si="769"/>
        <v>0.89159564697533056</v>
      </c>
      <c r="EZ73" s="94">
        <f t="shared" si="769"/>
        <v>0.89159564697533056</v>
      </c>
      <c r="FA73" s="94">
        <f t="shared" si="165"/>
        <v>0.89159564697533056</v>
      </c>
      <c r="FB73" s="95">
        <f t="shared" si="759"/>
        <v>0.63193405162362215</v>
      </c>
      <c r="FC73" s="199"/>
      <c r="FD73" s="101">
        <f t="shared" si="730"/>
        <v>1.2851671623852201E-4</v>
      </c>
      <c r="FE73" s="94">
        <f t="shared" si="731"/>
        <v>2.4958922398531373E-5</v>
      </c>
      <c r="FF73" s="94">
        <f t="shared" si="732"/>
        <v>1.3960479314512669E-3</v>
      </c>
      <c r="FG73" s="94">
        <f t="shared" si="733"/>
        <v>1.0155665112700548E-4</v>
      </c>
      <c r="FH73" s="95" t="str">
        <f t="shared" si="734"/>
        <v/>
      </c>
      <c r="FI73" s="101">
        <f t="shared" si="735"/>
        <v>3.6532085419112899E-3</v>
      </c>
      <c r="FJ73" s="94">
        <f t="shared" si="736"/>
        <v>1.0308091925155246E-5</v>
      </c>
      <c r="FK73" s="94">
        <f t="shared" si="737"/>
        <v>1.4642056175273656E-4</v>
      </c>
      <c r="FL73" s="94">
        <f t="shared" si="738"/>
        <v>2.3696739489773646E-4</v>
      </c>
      <c r="FM73" s="94">
        <f t="shared" si="739"/>
        <v>5.4063395460286936E-6</v>
      </c>
      <c r="FN73" s="95">
        <f t="shared" si="740"/>
        <v>6.6581522014792088E-5</v>
      </c>
      <c r="FO73" s="199"/>
      <c r="FP73" s="101">
        <f>IF(EL73&lt;&gt;"",LOG(FF73*FJ73/Minerals!$C$6),"")</f>
        <v>0.63825061852438847</v>
      </c>
      <c r="FQ73" s="94">
        <f>IF(EL73&lt;&gt;"",LOG(FF73*FJ73/Minerals!$C$5),"")</f>
        <v>0.50777108916817071</v>
      </c>
      <c r="FR73" s="94">
        <f>IF(EN73&lt;&gt;"",LOG(FF73*FM73^2/Minerals!$C$2),"")</f>
        <v>-2.8193680897759177</v>
      </c>
      <c r="FS73" s="94">
        <f>IF(EO73&lt;&gt;"",LOG($FF73*$FN73/Minerals!$C$3),"")</f>
        <v>-2.4317655869450148</v>
      </c>
      <c r="FT73" s="95">
        <f>IF(EP73&lt;&gt;"",LOG($FF73*$FN73/Minerals!$C$4),"")</f>
        <v>-2.671750098410917</v>
      </c>
      <c r="FU73" s="96"/>
      <c r="FV73" s="101">
        <f>IF(FP73&lt;&gt;"",LOG(FF73*FJ73/(EXP(-1*Minerals!$E$6/'Other Constants'!$B$2*(1/(273.15+'ppm-mgL-1'!$D73)-1/298.15)+LN(Minerals!$C$6)))),"")</f>
        <v>-0.62331385541955764</v>
      </c>
      <c r="FW73" s="94">
        <f>IF(FP73&lt;&gt;"",LOG(FF73*FJ73/(EXP(-1*Minerals!$E$5/'Other Constants'!$B$2*(1/(273.15+'ppm-mgL-1'!$D73)-1/298.15)+LN(Minerals!$C$5)))),"")</f>
        <v>-0.75390743399215887</v>
      </c>
      <c r="FX73" s="94">
        <f>IF(FR73&lt;&gt;"",LOG(FF73*FM73^2/(EXP(-1*Minerals!$E$2/'Other Constants'!$B$2*(1/(273.15+'ppm-mgL-1'!$D73)-1/298.15)+LN(Minerals!$C$2)))),"")</f>
        <v>-2.7660310729136826</v>
      </c>
      <c r="FY73" s="94">
        <f>IF(FS73&lt;&gt;"",LOG($FF73*$FN73/(EXP(-1*Minerals!$E$3/'Other Constants'!$B$2*(1/(273.15+'ppm-mgL-1'!$D73)-1/298.15)+LN(Minerals!$C$3)))),"")</f>
        <v>-1.3442530857562491</v>
      </c>
      <c r="FZ73" s="95">
        <f>IF(FT73&lt;&gt;"",LOG($FF73*$FN73/(EXP(-1*Minerals!$E$4/'Other Constants'!$B$2*(1/(273.15+'ppm-mgL-1'!$D73)-1/298.15)+LN(Minerals!$C$4)))),"")</f>
        <v>-2.7029045426864702</v>
      </c>
      <c r="GA73" s="96"/>
      <c r="GB73" s="96"/>
      <c r="GC73" s="101">
        <f>10^(-1825000*(79.755*EXP(-0.0046*($D73-20))*($D73+273.15))^-1.5*$EK73^0.5/(1+'Elements and ions'!$D$12*$EK73^0.5/(2*(79.755*EXP(-0.0046*($D73-20))*($D73+273.15))^0.5)))</f>
        <v>0.89224458603654866</v>
      </c>
      <c r="GD73" s="94">
        <f>10^(-1825000*(79.755*EXP(-0.0046*($D73-20))*($D73+273.15))^-1.5*$EK73^0.5/(1+'Elements and ions'!$D$20*$EK73^0.5/(2*(79.755*EXP(-0.0046*($D73-20))*($D73+273.15))^0.5)))</f>
        <v>0.88892588616517809</v>
      </c>
      <c r="GE73" s="94">
        <f>10^(-1825000*(79.755*EXP(-0.0046*($D73-20))*($D73+273.15))^-1.5*4*$EK73^0.5/(1+'Elements and ions'!$D$21*$EK73^0.5/(2*(79.755*EXP(-0.0046*($D73-20))*($D73+273.15))^0.5)))</f>
        <v>0.65121819441015072</v>
      </c>
      <c r="GF73" s="94">
        <f>10^(-1825000*(79.755*EXP(-0.0046*($D73-20))*($D73+273.15))^-1.5*4*$EK73^0.5/(1+'Elements and ions'!$D$13*$EK73^0.5/(2*(79.755*EXP(-0.0046*($D73-20))*($D73+273.15))^0.5)))</f>
        <v>0.66710226442150256</v>
      </c>
      <c r="GG73" s="95">
        <f>10^(-1825000*(79.755*EXP(-0.0046*($D73-20))*($D73+273.15))^-1.5*4*$EK73^0.5/(1+'Elements and ions'!$D$27*$EK73^0.5/(2*(79.755*EXP(-0.0046*($D73-20))*($D73+273.15))^0.5)))</f>
        <v>0.65121819441015072</v>
      </c>
      <c r="GH73" s="101">
        <f>10^(-1825000*(79.755*EXP(-0.0046*($D73-20))*($D73+273.15))^-1.5*$EK73^0.5/(1+'Elements and ions'!$G$3*$EK73^0.5/(2*(79.755*EXP(-0.0046*($D73-20))*($D73+273.15))^0.5)))</f>
        <v>0.88010222267401284</v>
      </c>
      <c r="GI73" s="94">
        <f>10^(-1825000*(79.755*EXP(-0.0046*($D73-20))*($D73+273.15))^-1.5*4*$EK73^0.5/(1+'Elements and ions'!$G$4*$EK73^0.5/(2*(79.755*EXP(-0.0046*($D73-20))*($D73+273.15))^0.5)))</f>
        <v>0.59986449829117783</v>
      </c>
      <c r="GJ73" s="94">
        <f>10^(-1825000*(79.755*EXP(-0.0046*($D73-20))*($D73+273.15))^-1.5*$EK73^0.5/(1+'Elements and ions'!$D$18*$EK73^0.5/(2*(79.755*EXP(-0.0046*($D73-20))*($D73+273.15))^0.5)))</f>
        <v>0.88892588616517809</v>
      </c>
      <c r="GK73" s="94">
        <f>10^(-1825000*(79.755*EXP(-0.0046*($D73-20))*($D73+273.15))^-1.5*$EK73^0.5/(1+'Elements and ions'!$I$7*$EK73^0.5/(2*(79.755*EXP(-0.0046*($D73-20))*($D73+273.15))^0.5)))</f>
        <v>0.88892588616517809</v>
      </c>
      <c r="GL73" s="94">
        <f>10^(-1825000*(79.755*EXP(-0.0046*($D73-20))*($D73+273.15))^-1.5*$EK73^0.5/(1+'Elements and ions'!$D$10*$EK73^0.5/(2*(79.755*EXP(-0.0046*($D73-20))*($D73+273.15))^0.5)))</f>
        <v>0.89061037144664157</v>
      </c>
      <c r="GM73" s="95">
        <f>10^(-1825000*(79.755*EXP(-0.0046*($D73-20))*($D73+273.15))^-1.5*4*$EK73^0.5/(1+'Elements and ions'!$I$5*$EK73^0.5/(2*(79.755*EXP(-0.0046*($D73-20))*($D73+273.15))^0.5)))</f>
        <v>0.63377584896838257</v>
      </c>
      <c r="GN73" s="96"/>
      <c r="GO73" s="101">
        <f t="shared" si="741"/>
        <v>1.2861025585759664E-4</v>
      </c>
      <c r="GP73" s="94">
        <f t="shared" si="742"/>
        <v>2.4884186330551131E-5</v>
      </c>
      <c r="GQ73" s="94">
        <f t="shared" si="743"/>
        <v>1.4386498257118701E-3</v>
      </c>
      <c r="GR73" s="94">
        <f t="shared" si="744"/>
        <v>1.0720845278051384E-4</v>
      </c>
      <c r="GS73" s="95" t="str">
        <f t="shared" si="745"/>
        <v/>
      </c>
      <c r="GT73" s="101">
        <f t="shared" si="746"/>
        <v>3.6061155844974383E-3</v>
      </c>
      <c r="GU73" s="94">
        <f t="shared" si="747"/>
        <v>9.7849741996581637E-6</v>
      </c>
      <c r="GV73" s="94">
        <f t="shared" si="748"/>
        <v>1.4598212547403319E-4</v>
      </c>
      <c r="GW73" s="94">
        <f t="shared" si="749"/>
        <v>2.3625782855302838E-4</v>
      </c>
      <c r="GX73" s="94">
        <f t="shared" si="750"/>
        <v>5.4003651628286909E-6</v>
      </c>
      <c r="GY73" s="102">
        <f t="shared" si="751"/>
        <v>6.6775576552827951E-5</v>
      </c>
      <c r="GZ73" s="199"/>
      <c r="HA73" s="92">
        <f>IF(AND(GQ73&lt;&gt;"",GU73&lt;&gt;""),LOG(GQ73*GU73/Minerals!$C$6),"")</f>
        <v>0.62868678853577453</v>
      </c>
      <c r="HB73" s="94">
        <f>IF(AND(GQ73&lt;&gt;"",GU73&lt;&gt;""),LOG(GQ73*GU73/Minerals!$C$5),"")</f>
        <v>0.49820725917955683</v>
      </c>
      <c r="HC73" s="94">
        <f>IF(AND(GQ73&lt;&gt;"",GX73&lt;&gt;""),LOG(GQ73*GX73^2/Minerals!$C$2),"")</f>
        <v>-2.8072737040873901</v>
      </c>
      <c r="HD73" s="94">
        <f>IF(AND(GQ73&lt;&gt;"",GY73&lt;&gt;""),LOG($GQ73*$GY73/Minerals!$C$3),"")</f>
        <v>-2.4174468911421503</v>
      </c>
      <c r="HE73" s="102">
        <f>IF(AND(GQ73&lt;&gt;"",GY73&lt;&gt;""),LOG($GQ73*$GY73/Minerals!$C$3),"")</f>
        <v>-2.4174468911421503</v>
      </c>
      <c r="HF73" s="199"/>
      <c r="HG73" s="92">
        <f>IF(HA73&lt;&gt;"",LOG(GQ73*GU73/(EXP(-1*Minerals!$E$6/'Other Constants'!$B$2*(1/(273.15+'ppm-mgL-1'!$D73)-1/298.15)+LN(Minerals!$C$6)))),"")</f>
        <v>-0.63287768540817158</v>
      </c>
      <c r="HH73" s="94">
        <f>IF(HA73&lt;&gt;"",LOG(GQ73*GU73/(EXP(-1*Minerals!$E$5/'Other Constants'!$B$2*(1/(273.15+'ppm-mgL-1'!$D73)-1/298.15)+LN(Minerals!$C$5)))),"")</f>
        <v>-0.76347126398077281</v>
      </c>
      <c r="HI73" s="94">
        <f>IF(HC73&lt;&gt;"",LOG(GQ73*GX73^2/(EXP(-1*Minerals!$E$2/'Other Constants'!$B$2*(1/(273.15+'ppm-mgL-1'!$D73)-1/298.15)+LN(Minerals!$C$2)))),"")</f>
        <v>-2.7539366872251549</v>
      </c>
      <c r="HJ73" s="94">
        <f>IF(HD73&lt;&gt;"",LOG($FF73*$FN73/(EXP(-1*Minerals!$E$3/'Other Constants'!$B$2*(1/(273.15+'ppm-mgL-1'!$D73)-1/298.15)+LN(Minerals!$C$3)))),"")</f>
        <v>-1.3442530857562491</v>
      </c>
      <c r="HK73" s="95">
        <f>IF(HE73&lt;&gt;"",LOG($FF73*$FN73/(EXP(-1*Minerals!$E$4/'Other Constants'!$B$2*(1/(273.15+'ppm-mgL-1'!$D73)-1/298.15)+LN(Minerals!$C$4)))),"")</f>
        <v>-2.7029045426864702</v>
      </c>
      <c r="HL73" s="199"/>
      <c r="HM73" s="199"/>
    </row>
    <row r="74" spans="1:221" x14ac:dyDescent="0.25">
      <c r="A74" s="267" t="str">
        <f>'WC samples'!B45</f>
        <v>ISSR 4</v>
      </c>
      <c r="C74" s="266">
        <f>'WC samples'!A45</f>
        <v>41566</v>
      </c>
      <c r="D74" s="4">
        <f>'WC samples'!I45</f>
        <v>22.4</v>
      </c>
      <c r="E74" s="4">
        <f>'WC samples'!F45</f>
        <v>7.98</v>
      </c>
      <c r="AD74" s="83">
        <f>IF(E74&lt;&gt;"",10^(-2*$E74)/(10^(-2*$E74)+10^(-$E74-pKa!$B$2)+(10^(-pKa!$B$2-pKa!$C$2))),"")</f>
        <v>2.0369877873010339E-2</v>
      </c>
      <c r="AE74" s="84">
        <f>IF(E74&lt;&gt;"",10^(-$E74-pKa!$B$2)/(10^(-2*$E74)+10^(-$E74-pKa!$B$2)+10^(-pKa!$B$2-pKa!$C$2)),"")</f>
        <v>0.97496365269597884</v>
      </c>
      <c r="AF74" s="212">
        <f>IF(E74&lt;&gt;"",10^(-pKa!$B$2-pKa!$C$2)/(10^(-2*$E74)+10^(-$E74-pKa!$B$2)+10^(-pKa!$B$2-pKa!$C$2)),"")</f>
        <v>4.6664694310109339E-3</v>
      </c>
      <c r="AG74" s="152"/>
      <c r="AH74" s="222">
        <f>IF($AK74&lt;&gt;"",$AK74/'Elements and ions'!$G$3,IF($E74="","",""))</f>
        <v>4.1136184699174851</v>
      </c>
      <c r="AI74" s="85">
        <f t="shared" ref="AI74:AI118" si="770">IF($AH74&lt;&gt;"",($AH74-10^(-14+$E74)+10^(-$E74))/1000/(AE74+2*AF74),IF($E74="","",""))</f>
        <v>4.1792459312339136E-3</v>
      </c>
      <c r="AJ74" s="84">
        <f>IF(AI74&lt;&gt;"",AI74*1000*'Elements and ions'!$B$7,"")</f>
        <v>50.195669106271168</v>
      </c>
      <c r="AK74" s="99">
        <f>'WC samples'!H45</f>
        <v>251</v>
      </c>
      <c r="AL74" s="88">
        <f>IF($AK74&lt;&gt;"",$AK74/'Elements and ions'!$G$3*Minerals!$B$6/2,IF($E74="","","Enter Alk(HCO3-)"))</f>
        <v>205.85966021839218</v>
      </c>
      <c r="AM74" s="199"/>
      <c r="AN74" s="101">
        <f t="shared" si="755"/>
        <v>8.5130729220510182E-5</v>
      </c>
      <c r="AO74" s="94">
        <f t="shared" si="756"/>
        <v>4.074612878630624E-3</v>
      </c>
      <c r="AP74" s="95">
        <f t="shared" si="757"/>
        <v>1.9502323382779882E-5</v>
      </c>
      <c r="AQ74" s="199"/>
      <c r="AR74" s="199"/>
      <c r="AS74" s="83">
        <f t="shared" si="760"/>
        <v>0.25038449770738291</v>
      </c>
      <c r="AT74" s="83">
        <f>IF(AN74&lt;&gt;"",AN74/'Henrys law constants'!$B$7*1000000,"")</f>
        <v>2503.8449770738289</v>
      </c>
      <c r="AU74" s="268">
        <f>'WC samples'!K45</f>
        <v>3.2801999999999998</v>
      </c>
      <c r="AV74" s="269">
        <f>'WC samples'!M45</f>
        <v>1.1297999999999999</v>
      </c>
      <c r="AW74" s="269">
        <f>'WC samples'!O45</f>
        <v>84.451400000000007</v>
      </c>
      <c r="AX74" s="269">
        <f>'WC samples'!N45</f>
        <v>3.8</v>
      </c>
      <c r="AY74" s="226">
        <f>AO74*'Elements and ions'!$G$3*1000</f>
        <v>248.6200020773442</v>
      </c>
      <c r="AZ74" s="269">
        <f>'WC samples'!Q45</f>
        <v>4.6787999999999998</v>
      </c>
      <c r="BA74" s="269">
        <f>'WC samples'!T45</f>
        <v>14.8271</v>
      </c>
      <c r="BB74" s="270">
        <f>'WC samples'!V45</f>
        <v>8.6605000000000008</v>
      </c>
      <c r="BC74" s="222">
        <f>IF($E74&lt;&gt;"",10^-$E74*'Elements and ions'!B75*1000,"")</f>
        <v>0</v>
      </c>
      <c r="BE74" s="6"/>
      <c r="BF74" s="6"/>
      <c r="BG74" s="270">
        <f>'WC samples'!L45</f>
        <v>0</v>
      </c>
      <c r="BH74" s="3"/>
      <c r="BJ74" s="92">
        <f>IF($AN74&lt;&gt;"",$AN74*'Elements and ions'!$G$2*1000,"")</f>
        <v>5.280214751141715</v>
      </c>
      <c r="BK74" s="229"/>
      <c r="BL74" s="230"/>
      <c r="BM74" s="101">
        <f>IF($E74&lt;&gt;"",(10^-14+$E74)*'Elements and ions'!$G$8,"")</f>
        <v>135.71857320000018</v>
      </c>
      <c r="BO74" s="102">
        <f>IF($AP74&lt;&gt;"",$AP74*'Elements and ions'!$G$4*1000,"")</f>
        <v>1.1703129736448996</v>
      </c>
      <c r="BP74" s="269">
        <f>'WC samples'!P45</f>
        <v>0.1086</v>
      </c>
      <c r="BQ74" s="270">
        <f>'WC samples'!R45</f>
        <v>0</v>
      </c>
      <c r="BR74" s="195"/>
      <c r="BS74" s="238">
        <f>IF($AU74&lt;&gt;"",$AU74/'Elements and ions'!$B$12,"")</f>
        <v>0.14268085773499331</v>
      </c>
      <c r="BT74" s="239">
        <f>IF($AV74&lt;&gt;"",$AV74/'Elements and ions'!$B$20,"")</f>
        <v>2.8896397030049897E-2</v>
      </c>
      <c r="BU74" s="239">
        <f>IF($AW74&lt;&gt;"",$AW74/'Elements and ions'!$B$21, "")</f>
        <v>2.1071760067867658</v>
      </c>
      <c r="BV74" s="240">
        <f>IF($AX74&lt;&gt;"",$AX74/'Elements and ions'!$B$13, "")</f>
        <v>0.15634643077556057</v>
      </c>
      <c r="BW74" s="238">
        <f>IF($AY74&lt;&gt;"",$AY74/'Elements and ions'!$G$3,"")</f>
        <v>4.0746128786306244</v>
      </c>
      <c r="BX74" s="239">
        <f>IF($AZ74&lt;&gt;"",$AZ74/'Elements and ions'!$B$18,"")</f>
        <v>0.13197190646771781</v>
      </c>
      <c r="BY74" s="239">
        <f>IF($BA74&lt;&gt;"",$BA74/'Elements and ions'!$G$7,"")</f>
        <v>0.23912787537759111</v>
      </c>
      <c r="BZ74" s="241">
        <f>IF($BB74&lt;&gt;"",$BB74/'Elements and ions'!$G$5,"")</f>
        <v>9.0154753254648543E-2</v>
      </c>
      <c r="CA74" s="91">
        <f t="shared" si="761"/>
        <v>1.0471285480508975E-5</v>
      </c>
      <c r="CB74" s="163" t="str">
        <f>IF($BD74&lt;&gt;"",$BD74/'Elements and ions'!$B$14,"")</f>
        <v/>
      </c>
      <c r="CC74" s="89" t="str">
        <f>IF($BE74&lt;&gt;"",$BE74/'Elements and ions'!$B$27, "")</f>
        <v/>
      </c>
      <c r="CD74" s="249" t="str">
        <f>IF($BF74&lt;&gt;"",$BF74/'Elements and ions'!$B$26,"")</f>
        <v/>
      </c>
      <c r="CE74" s="250">
        <f>IF($BG74&lt;&gt;"",$BG74/'Elements and ions'!$G$6,"")</f>
        <v>0</v>
      </c>
      <c r="CF74" s="91" t="str">
        <f>IF($BH74&lt;&gt;"",$BH74/'Elements and ions'!$G$15,"")</f>
        <v/>
      </c>
      <c r="CG74" s="89" t="str">
        <f>IF($BI74&lt;&gt;"",$BI74/'Elements and ions'!$G$16,"")</f>
        <v/>
      </c>
      <c r="CH74" s="90">
        <f>IF($BJ74&lt;&gt;"",$BJ74/'Elements and ions'!$G$2,"")</f>
        <v>8.5130729220510182E-2</v>
      </c>
      <c r="CI74" s="91" t="str">
        <f>IF($BK74&lt;&gt;"",$BK74/'Elements and ions'!$B$15, "")</f>
        <v/>
      </c>
      <c r="CJ74" s="88" t="str">
        <f>IF($BL74&lt;&gt;"", $BL74/'Elements and ions'!$G$17,"")</f>
        <v/>
      </c>
      <c r="CK74" s="89">
        <f t="shared" si="762"/>
        <v>9.5499258602143493E-4</v>
      </c>
      <c r="CL74" s="163" t="str">
        <f>IF($BN74&lt;&gt;"", $BN74/'Elements and ions'!$G$19,"")</f>
        <v/>
      </c>
      <c r="CM74" s="89">
        <f>IF($BO74&lt;&gt;"",$BO74/'Elements and ions'!$G$4,"")</f>
        <v>1.9502323382779883E-2</v>
      </c>
      <c r="CN74" s="89">
        <f>IF($BP74&lt;&gt;"",$BP74/'Elements and ions'!$B$10,"")</f>
        <v>5.7162698810392662E-3</v>
      </c>
      <c r="CO74" s="104">
        <f>IF($BQ74&lt;&gt;"",$BQ74/'Elements and ions'!$G$18,"")</f>
        <v>0</v>
      </c>
      <c r="CP74" s="242"/>
      <c r="CQ74" s="238">
        <f t="shared" ref="CQ74:CQ118" si="771">IF($BS74&lt;&gt;"",BS74/1000,"")</f>
        <v>1.4268085773499331E-4</v>
      </c>
      <c r="CR74" s="239">
        <f t="shared" ref="CR74:CR118" si="772">IF($BT74&lt;&gt;"",BT74/1000,"")</f>
        <v>2.8896397030049898E-5</v>
      </c>
      <c r="CS74" s="239">
        <f t="shared" ref="CS74:CS118" si="773">IF($BU74&lt;&gt;"",BU74/1000,"")</f>
        <v>2.1071760067867657E-3</v>
      </c>
      <c r="CT74" s="241">
        <f t="shared" ref="CT74:CT118" si="774">IF($BV74&lt;&gt;"",BV74/1000,"")</f>
        <v>1.5634643077556056E-4</v>
      </c>
      <c r="CU74" s="238">
        <f t="shared" ref="CU74:CU118" si="775">IF($BW74&lt;&gt;"",BW74/1000,"")</f>
        <v>4.074612878630624E-3</v>
      </c>
      <c r="CV74" s="239">
        <f t="shared" ref="CV74:CV118" si="776">IF($BX74&lt;&gt;"",BX74/1000,"")</f>
        <v>1.319719064677178E-4</v>
      </c>
      <c r="CW74" s="239">
        <f t="shared" ref="CW74:CW118" si="777">IF($BY74&lt;&gt;"",BY74/1000,"")</f>
        <v>2.3912787537759111E-4</v>
      </c>
      <c r="CX74" s="241">
        <f t="shared" ref="CX74:CX118" si="778">IF(BZ74&lt;&gt;"",BZ74/1000,"")</f>
        <v>9.0154753254648547E-5</v>
      </c>
      <c r="CY74" s="258">
        <f t="shared" si="763"/>
        <v>1.0471285480508974E-8</v>
      </c>
      <c r="CZ74" s="259" t="str">
        <f t="shared" ref="CZ74:CZ118" si="779">IF(CB74&lt;&gt;"",CB74/1000,"")</f>
        <v/>
      </c>
      <c r="DA74" s="260" t="str">
        <f t="shared" ref="DA74:DA118" si="780">IF(CC74&lt;&gt;"",CC74/1000,"")</f>
        <v/>
      </c>
      <c r="DB74" s="261" t="str">
        <f t="shared" ref="DB74:DB118" si="781">IF(CD74&lt;&gt;"",CD74/1000,"")</f>
        <v/>
      </c>
      <c r="DC74" s="262">
        <f t="shared" ref="DC74:DC118" si="782">IF(CE74&lt;&gt;"",CE74/1000,"")</f>
        <v>0</v>
      </c>
      <c r="DD74" s="263" t="str">
        <f t="shared" ref="DD74:DD118" si="783">IF(CF74&lt;&gt;"",CF74/1000,"")</f>
        <v/>
      </c>
      <c r="DE74" s="259" t="str">
        <f t="shared" ref="DE74:DE118" si="784">IF(CG74&lt;&gt;"",CG74/1000,"")</f>
        <v/>
      </c>
      <c r="DF74" s="260">
        <f t="shared" ref="DF74:DF118" si="785">IF(CH74&lt;&gt;"",CH74/1000,"")</f>
        <v>8.5130729220510182E-5</v>
      </c>
      <c r="DG74" s="260" t="str">
        <f t="shared" ref="DG74:DG118" si="786">IF(CI74&lt;&gt;"",CI74/1000,"")</f>
        <v/>
      </c>
      <c r="DH74" s="264" t="str">
        <f t="shared" ref="DH74:DH118" si="787">IF(CJ74&lt;&gt;"",CJ74/1000,"")</f>
        <v/>
      </c>
      <c r="DI74" s="258">
        <f t="shared" si="764"/>
        <v>9.5499258602143498E-7</v>
      </c>
      <c r="DJ74" s="260" t="str">
        <f t="shared" ref="DJ74:DJ118" si="788">IF(CL74&lt;&gt;"",CL74/1000,"")</f>
        <v/>
      </c>
      <c r="DK74" s="260">
        <f t="shared" ref="DK74:DK118" si="789">IF(CM74&lt;&gt;"",CM74/1000,"")</f>
        <v>1.9502323382779882E-5</v>
      </c>
      <c r="DL74" s="260">
        <f t="shared" ref="DL74:DL118" si="790">IF(CN74&lt;&gt;"",CN74/1000,"")</f>
        <v>5.716269881039266E-6</v>
      </c>
      <c r="DM74" s="265">
        <f t="shared" ref="DM74:DM118" si="791">IF(CO74&lt;&gt;"",CO74/1000,"")</f>
        <v>0</v>
      </c>
      <c r="DN74" s="242"/>
      <c r="DO74" s="238">
        <f t="shared" ref="DO74:DO118" si="792">IF($BS74&lt;&gt;"",BS74,0)</f>
        <v>0.14268085773499331</v>
      </c>
      <c r="DP74" s="239">
        <f t="shared" ref="DP74:DP118" si="793">IF($BT74&lt;&gt;"",BT74,0)</f>
        <v>2.8896397030049897E-2</v>
      </c>
      <c r="DQ74" s="239">
        <f t="shared" ref="DQ74:DQ118" si="794">IF($BU74&lt;&gt;"",BU74*2,0)</f>
        <v>4.2143520135735315</v>
      </c>
      <c r="DR74" s="241">
        <f t="shared" ref="DR74:DR118" si="795">IF($BV74&lt;&gt;"",BV74*2,0)</f>
        <v>0.31269286155112114</v>
      </c>
      <c r="DS74" s="238">
        <f t="shared" ref="DS74:DS118" si="796">IF($BW74&lt;&gt;"",BW74*-1,0)</f>
        <v>-4.0746128786306244</v>
      </c>
      <c r="DT74" s="239">
        <f t="shared" ref="DT74:DT118" si="797">IF($BX74&lt;&gt;"",BX74*-1,0)</f>
        <v>-0.13197190646771781</v>
      </c>
      <c r="DU74" s="239">
        <f t="shared" ref="DU74:DU118" si="798">IF($BY74&lt;&gt;"",BY74*-1,0)</f>
        <v>-0.23912787537759111</v>
      </c>
      <c r="DV74" s="241">
        <f t="shared" ref="DV74:DV118" si="799">IF($BZ74&lt;&gt;"",BZ74*-2,0)</f>
        <v>-0.18030950650929709</v>
      </c>
      <c r="DW74" s="91">
        <f t="shared" si="765"/>
        <v>1.0471285480508975E-5</v>
      </c>
      <c r="DX74" s="89">
        <f t="shared" ref="DX74:DX118" si="800">IF(CB74&lt;&gt;"",CB74*3,0)</f>
        <v>0</v>
      </c>
      <c r="DY74" s="89">
        <f t="shared" ref="DY74:DY118" si="801">IF(CC74&lt;&gt;"",CC74*2,0)</f>
        <v>0</v>
      </c>
      <c r="DZ74" s="89">
        <f t="shared" ref="DZ74:DZ118" si="802">IF(CD74&lt;&gt;"",CD74*2,0)</f>
        <v>0</v>
      </c>
      <c r="EA74" s="90">
        <f t="shared" ref="EA74:EA118" si="803">IF(CE74&lt;&gt;"",CE74,0)</f>
        <v>0</v>
      </c>
      <c r="EB74" s="91">
        <f t="shared" si="766"/>
        <v>-9.5499258602143493E-4</v>
      </c>
      <c r="EC74" s="89">
        <f t="shared" ref="EC74:EC118" si="804">IF(CL74&lt;&gt;"",CL74*-1,0)</f>
        <v>0</v>
      </c>
      <c r="ED74" s="89">
        <f t="shared" ref="ED74:ED118" si="805">IF(CM74&lt;&gt;"",CM74*-2,0)</f>
        <v>-3.9004646765559765E-2</v>
      </c>
      <c r="EE74" s="89">
        <f t="shared" ref="EE74:EE118" si="806">IF(CN74&lt;&gt;"",CN74*-1,0)</f>
        <v>-5.7162698810392662E-3</v>
      </c>
      <c r="EF74" s="90">
        <f t="shared" ref="EF74:EF118" si="807">IF(CO74&lt;&gt;"",CO74*-2,0)</f>
        <v>0</v>
      </c>
      <c r="EG74" s="242"/>
      <c r="EH74" s="245">
        <f t="shared" ref="EH74:EH118" si="808">SUM(DO74:DR74,DW74:EA74)</f>
        <v>4.6986326011751762</v>
      </c>
      <c r="EI74" s="246">
        <f t="shared" ref="EI74:EI118" si="809">SUM(DS74:DV74,EB74:EF74)</f>
        <v>-4.6716980762178499</v>
      </c>
      <c r="EJ74" s="198">
        <f t="shared" ref="EJ74:EJ118" si="810">IF(EH74&lt;&gt;EI74,(EH74+EI74)/(EH74-EI74)*100,0)</f>
        <v>0.28744476459415513</v>
      </c>
      <c r="EK74" s="198">
        <f t="shared" ref="EK74:EK118" si="811">0.5*(DO74+DP74+4*DQ74+4*DR74+4*DY74-DS74-DT74-4*DV74-DU74-EE74)/1000</f>
        <v>1.1726211855828908E-2</v>
      </c>
      <c r="EL74" s="101">
        <f>IF(AND(CS74&lt;&gt;"",DK74&lt;&gt;""),LOG(CS74*DK74/Minerals!$C$6),"")</f>
        <v>1.0939591723335</v>
      </c>
      <c r="EM74" s="94">
        <f>IF(AND(CS74&lt;&gt;"",DK74&lt;&gt;""),LOG(CS74*DK74/Minerals!$C$5),"")</f>
        <v>0.96347964297728239</v>
      </c>
      <c r="EN74" s="94">
        <f>IF(AND(CS74&lt;&gt;"",DL74&lt;&gt;""),LOG(CS74*DL74^2/Minerals!$C$2),"")</f>
        <v>-2.5921487932572775</v>
      </c>
      <c r="EO74" s="94">
        <f>IF(AND(CS74&lt;&gt;"",CX74&lt;&gt;""),LOG($CS74*$CX74/Minerals!$C$3),"")</f>
        <v>-2.1213301933899378</v>
      </c>
      <c r="EP74" s="95">
        <f>IF(AND(CS74&lt;&gt;"",CX74&lt;&gt;""),LOG($CS74*$CX74/Minerals!$C$4),"")</f>
        <v>-2.3613147048558401</v>
      </c>
      <c r="EQ74" s="199"/>
      <c r="ER74" s="101">
        <f t="shared" si="767"/>
        <v>0.89360670981013401</v>
      </c>
      <c r="ES74" s="94">
        <f t="shared" si="767"/>
        <v>0.89360670981013401</v>
      </c>
      <c r="ET74" s="94">
        <f t="shared" si="768"/>
        <v>0.63765487513867825</v>
      </c>
      <c r="EU74" s="94">
        <f t="shared" si="768"/>
        <v>0.63765487513867825</v>
      </c>
      <c r="EV74" s="95">
        <f t="shared" si="768"/>
        <v>0.63765487513867825</v>
      </c>
      <c r="EW74" s="101">
        <f t="shared" si="769"/>
        <v>0.89360670981013401</v>
      </c>
      <c r="EX74" s="94">
        <f t="shared" si="758"/>
        <v>0.63765487513867825</v>
      </c>
      <c r="EY74" s="94">
        <f t="shared" si="769"/>
        <v>0.89360670981013401</v>
      </c>
      <c r="EZ74" s="94">
        <f t="shared" si="769"/>
        <v>0.89360670981013401</v>
      </c>
      <c r="FA74" s="94">
        <f t="shared" si="769"/>
        <v>0.89360670981013401</v>
      </c>
      <c r="FB74" s="95">
        <f t="shared" si="759"/>
        <v>0.63765487513867825</v>
      </c>
      <c r="FC74" s="199"/>
      <c r="FD74" s="101">
        <f t="shared" ref="FD74:FD118" si="812">IF($CQ74&lt;&gt;"",ER74*$CQ74,"")</f>
        <v>1.2750057183345519E-4</v>
      </c>
      <c r="FE74" s="94">
        <f t="shared" ref="FE74:FE118" si="813">IF($CR74&lt;&gt;"",ES74*$CR74,"")</f>
        <v>2.5822014275390218E-5</v>
      </c>
      <c r="FF74" s="94">
        <f t="shared" ref="FF74:FF118" si="814">IF($CS74&lt;&gt;"",ET74*$CS74,"")</f>
        <v>1.3436510535028336E-3</v>
      </c>
      <c r="FG74" s="94">
        <f t="shared" ref="FG74:FG118" si="815">IF($CT74&lt;&gt;"",EU74*$CT74,"")</f>
        <v>9.9695063794568071E-5</v>
      </c>
      <c r="FH74" s="95" t="str">
        <f t="shared" ref="FH74:FH118" si="816">IF($DA74&lt;&gt;"",EV74*$DA74,"")</f>
        <v/>
      </c>
      <c r="FI74" s="101">
        <f t="shared" ref="FI74:FI118" si="817">IF($CU74&lt;&gt;"",EW74*$CU74,"")</f>
        <v>3.641101408223111E-3</v>
      </c>
      <c r="FJ74" s="94">
        <f t="shared" ref="FJ74:FJ118" si="818">IF($DK74&lt;&gt;"",EX74*$DK74,"")</f>
        <v>1.2435751581560631E-5</v>
      </c>
      <c r="FK74" s="94">
        <f t="shared" ref="FK74:FK118" si="819">IF($CV74&lt;&gt;"",EY74*$CV74,"")</f>
        <v>1.1793098112598805E-4</v>
      </c>
      <c r="FL74" s="94">
        <f t="shared" ref="FL74:FL118" si="820">IF($CW74&lt;&gt;"",EZ74*$CW74,"")</f>
        <v>2.1368627394005696E-4</v>
      </c>
      <c r="FM74" s="94">
        <f t="shared" ref="FM74:FM118" si="821">IF($DL74&lt;&gt;"",FA74*$DL74,"")</f>
        <v>5.1080971207822646E-6</v>
      </c>
      <c r="FN74" s="95">
        <f t="shared" ref="FN74:FN118" si="822">IF($CX74&lt;&gt;"",FB74*$CX74,"")</f>
        <v>5.7487617929751266E-5</v>
      </c>
      <c r="FO74" s="199"/>
      <c r="FP74" s="101">
        <f>IF(EL74&lt;&gt;"",LOG(FF74*FJ74/Minerals!$C$6),"")</f>
        <v>0.70313054113103435</v>
      </c>
      <c r="FQ74" s="94">
        <f>IF(EL74&lt;&gt;"",LOG(FF74*FJ74/Minerals!$C$5),"")</f>
        <v>0.57265101177481659</v>
      </c>
      <c r="FR74" s="94">
        <f>IF(EN74&lt;&gt;"",LOG(FF74*FM74^2/Minerals!$C$2),"")</f>
        <v>-2.885270266659127</v>
      </c>
      <c r="FS74" s="94">
        <f>IF(EO74&lt;&gt;"",LOG($FF74*$FN74/Minerals!$C$3),"")</f>
        <v>-2.5121588245924036</v>
      </c>
      <c r="FT74" s="95">
        <f>IF(EP74&lt;&gt;"",LOG($FF74*$FN74/Minerals!$C$4),"")</f>
        <v>-2.7521433360583059</v>
      </c>
      <c r="FU74" s="96"/>
      <c r="FV74" s="101">
        <f>IF(FP74&lt;&gt;"",LOG(FF74*FJ74/(EXP(-1*Minerals!$E$6/'Other Constants'!$B$2*(1/(273.15+'ppm-mgL-1'!$D74)-1/298.15)+LN(Minerals!$C$6)))),"")</f>
        <v>-0.31980968486013028</v>
      </c>
      <c r="FW74" s="94">
        <f>IF(FP74&lt;&gt;"",LOG(FF74*FJ74/(EXP(-1*Minerals!$E$5/'Other Constants'!$B$2*(1/(273.15+'ppm-mgL-1'!$D74)-1/298.15)+LN(Minerals!$C$5)))),"")</f>
        <v>-0.45038169108422943</v>
      </c>
      <c r="FX74" s="94">
        <f>IF(FR74&lt;&gt;"",LOG(FF74*FM74^2/(EXP(-1*Minerals!$E$2/'Other Constants'!$B$2*(1/(273.15+'ppm-mgL-1'!$D74)-1/298.15)+LN(Minerals!$C$2)))),"")</f>
        <v>-2.8420219181128341</v>
      </c>
      <c r="FY74" s="94">
        <f>IF(FS74&lt;&gt;"",LOG($FF74*$FN74/(EXP(-1*Minerals!$E$3/'Other Constants'!$B$2*(1/(273.15+'ppm-mgL-1'!$D74)-1/298.15)+LN(Minerals!$C$3)))),"")</f>
        <v>-1.6303487334629028</v>
      </c>
      <c r="FZ74" s="95">
        <f>IF(FT74&lt;&gt;"",LOG($FF74*$FN74/(EXP(-1*Minerals!$E$4/'Other Constants'!$B$2*(1/(273.15+'ppm-mgL-1'!$D74)-1/298.15)+LN(Minerals!$C$4)))),"")</f>
        <v>-2.7774049338014897</v>
      </c>
      <c r="GA74" s="96"/>
      <c r="GB74" s="96"/>
      <c r="GC74" s="101">
        <f>10^(-1825000*(79.755*EXP(-0.0046*($D74-20))*($D74+273.15))^-1.5*$EK74^0.5/(1+'Elements and ions'!$D$12*$EK74^0.5/(2*(79.755*EXP(-0.0046*($D74-20))*($D74+273.15))^0.5)))</f>
        <v>0.89408088212593562</v>
      </c>
      <c r="GD74" s="94">
        <f>10^(-1825000*(79.755*EXP(-0.0046*($D74-20))*($D74+273.15))^-1.5*$EK74^0.5/(1+'Elements and ions'!$D$20*$EK74^0.5/(2*(79.755*EXP(-0.0046*($D74-20))*($D74+273.15))^0.5)))</f>
        <v>0.89087827886656434</v>
      </c>
      <c r="GE74" s="94">
        <f>10^(-1825000*(79.755*EXP(-0.0046*($D74-20))*($D74+273.15))^-1.5*4*$EK74^0.5/(1+'Elements and ions'!$D$21*$EK74^0.5/(2*(79.755*EXP(-0.0046*($D74-20))*($D74+273.15))^0.5)))</f>
        <v>0.65596565094822989</v>
      </c>
      <c r="GF74" s="94">
        <f>10^(-1825000*(79.755*EXP(-0.0046*($D74-20))*($D74+273.15))^-1.5*4*$EK74^0.5/(1+'Elements and ions'!$D$13*$EK74^0.5/(2*(79.755*EXP(-0.0046*($D74-20))*($D74+273.15))^0.5)))</f>
        <v>0.6714260395444106</v>
      </c>
      <c r="GG74" s="95">
        <f>10^(-1825000*(79.755*EXP(-0.0046*($D74-20))*($D74+273.15))^-1.5*4*$EK74^0.5/(1+'Elements and ions'!$D$27*$EK74^0.5/(2*(79.755*EXP(-0.0046*($D74-20))*($D74+273.15))^0.5)))</f>
        <v>0.65596565094822989</v>
      </c>
      <c r="GH74" s="101">
        <f>10^(-1825000*(79.755*EXP(-0.0046*($D74-20))*($D74+273.15))^-1.5*$EK74^0.5/(1+'Elements and ions'!$G$3*$EK74^0.5/(2*(79.755*EXP(-0.0046*($D74-20))*($D74+273.15))^0.5)))</f>
        <v>0.88238018544123853</v>
      </c>
      <c r="GI74" s="94">
        <f>10^(-1825000*(79.755*EXP(-0.0046*($D74-20))*($D74+273.15))^-1.5*4*$EK74^0.5/(1+'Elements and ions'!$G$4*$EK74^0.5/(2*(79.755*EXP(-0.0046*($D74-20))*($D74+273.15))^0.5)))</f>
        <v>0.606103666369331</v>
      </c>
      <c r="GJ74" s="94">
        <f>10^(-1825000*(79.755*EXP(-0.0046*($D74-20))*($D74+273.15))^-1.5*$EK74^0.5/(1+'Elements and ions'!$D$18*$EK74^0.5/(2*(79.755*EXP(-0.0046*($D74-20))*($D74+273.15))^0.5)))</f>
        <v>0.89087827886656434</v>
      </c>
      <c r="GK74" s="94">
        <f>10^(-1825000*(79.755*EXP(-0.0046*($D74-20))*($D74+273.15))^-1.5*$EK74^0.5/(1+'Elements and ions'!$I$7*$EK74^0.5/(2*(79.755*EXP(-0.0046*($D74-20))*($D74+273.15))^0.5)))</f>
        <v>0.89087827886656434</v>
      </c>
      <c r="GL74" s="94">
        <f>10^(-1825000*(79.755*EXP(-0.0046*($D74-20))*($D74+273.15))^-1.5*$EK74^0.5/(1+'Elements and ions'!$D$10*$EK74^0.5/(2*(79.755*EXP(-0.0046*($D74-20))*($D74+273.15))^0.5)))</f>
        <v>0.89250340146519869</v>
      </c>
      <c r="GM74" s="95">
        <f>10^(-1825000*(79.755*EXP(-0.0046*($D74-20))*($D74+273.15))^-1.5*4*$EK74^0.5/(1+'Elements and ions'!$I$5*$EK74^0.5/(2*(79.755*EXP(-0.0046*($D74-20))*($D74+273.15))^0.5)))</f>
        <v>0.63900938167984411</v>
      </c>
      <c r="GN74" s="96"/>
      <c r="GO74" s="101">
        <f t="shared" ref="GO74:GO118" si="823">IF($CQ74&lt;&gt;"",GC74*$CQ74,"")</f>
        <v>1.2756822714618795E-4</v>
      </c>
      <c r="GP74" s="94">
        <f t="shared" ref="GP74:GP118" si="824">IF($CR74&lt;&gt;"",GD74*$CR74,"")</f>
        <v>2.5743172451575756E-5</v>
      </c>
      <c r="GQ74" s="94">
        <f t="shared" ref="GQ74:GQ118" si="825">IF($CS74&lt;&gt;"",GE74*$CS74,"")</f>
        <v>1.3822350809543724E-3</v>
      </c>
      <c r="GR74" s="94">
        <f t="shared" ref="GR74:GR118" si="826">IF($CT74&lt;&gt;"",GF74*$CT74,"")</f>
        <v>1.0497506481253898E-4</v>
      </c>
      <c r="GS74" s="95" t="str">
        <f t="shared" ref="GS74:GS118" si="827">IF($DA74&lt;&gt;"",GG74*$DA74,"")</f>
        <v/>
      </c>
      <c r="GT74" s="101">
        <f t="shared" ref="GT74:GT118" si="828">IF($CU74&lt;&gt;"",GH74*$CU74,"")</f>
        <v>3.5953576674473487E-3</v>
      </c>
      <c r="GU74" s="94">
        <f t="shared" ref="GU74:GU118" si="829">IF($DK74&lt;&gt;"",GI74*$DK74,"")</f>
        <v>1.1820429705023221E-5</v>
      </c>
      <c r="GV74" s="94">
        <f t="shared" ref="GV74:GV118" si="830">IF($CV74&lt;&gt;"",GJ74*$CV74,"")</f>
        <v>1.1757090489269964E-4</v>
      </c>
      <c r="GW74" s="94">
        <f t="shared" ref="GW74:GW118" si="831">IF($CW74&lt;&gt;"",GK74*$CW74,"")</f>
        <v>2.1303383004540665E-4</v>
      </c>
      <c r="GX74" s="94">
        <f t="shared" ref="GX74:GX118" si="832">IF($DL74&lt;&gt;"",GL74*$DL74,"")</f>
        <v>5.1017903125206115E-6</v>
      </c>
      <c r="GY74" s="102">
        <f t="shared" ref="GY74:GY118" si="833">IF($CX74&lt;&gt;"",GM74*$CX74,"")</f>
        <v>5.7609733132751884E-5</v>
      </c>
      <c r="GZ74" s="199"/>
      <c r="HA74" s="92">
        <f>IF(AND(GQ74&lt;&gt;"",GU74&lt;&gt;""),LOG(GQ74*GU74/Minerals!$C$6),"")</f>
        <v>0.69338718196418148</v>
      </c>
      <c r="HB74" s="94">
        <f>IF(AND(GQ74&lt;&gt;"",GU74&lt;&gt;""),LOG(GQ74*GU74/Minerals!$C$5),"")</f>
        <v>0.56290765260796372</v>
      </c>
      <c r="HC74" s="94">
        <f>IF(AND(GQ74&lt;&gt;"",GX74&lt;&gt;""),LOG(GQ74*GX74^2/Minerals!$C$2),"")</f>
        <v>-2.8740479348280119</v>
      </c>
      <c r="HD74" s="94">
        <f>IF(AND(GQ74&lt;&gt;"",GY74&lt;&gt;""),LOG($GQ74*$GY74/Minerals!$C$3),"")</f>
        <v>-2.4989418605162359</v>
      </c>
      <c r="HE74" s="102">
        <f>IF(AND(GQ74&lt;&gt;"",GY74&lt;&gt;""),LOG($GQ74*$GY74/Minerals!$C$3),"")</f>
        <v>-2.4989418605162359</v>
      </c>
      <c r="HF74" s="199"/>
      <c r="HG74" s="92">
        <f>IF(HA74&lt;&gt;"",LOG(GQ74*GU74/(EXP(-1*Minerals!$E$6/'Other Constants'!$B$2*(1/(273.15+'ppm-mgL-1'!$D74)-1/298.15)+LN(Minerals!$C$6)))),"")</f>
        <v>-0.32955304402698316</v>
      </c>
      <c r="HH74" s="94">
        <f>IF(HA74&lt;&gt;"",LOG(GQ74*GU74/(EXP(-1*Minerals!$E$5/'Other Constants'!$B$2*(1/(273.15+'ppm-mgL-1'!$D74)-1/298.15)+LN(Minerals!$C$5)))),"")</f>
        <v>-0.4601250502510823</v>
      </c>
      <c r="HI74" s="94">
        <f>IF(HC74&lt;&gt;"",LOG(GQ74*GX74^2/(EXP(-1*Minerals!$E$2/'Other Constants'!$B$2*(1/(273.15+'ppm-mgL-1'!$D74)-1/298.15)+LN(Minerals!$C$2)))),"")</f>
        <v>-2.830799586281719</v>
      </c>
      <c r="HJ74" s="94">
        <f>IF(HD74&lt;&gt;"",LOG($FF74*$FN74/(EXP(-1*Minerals!$E$3/'Other Constants'!$B$2*(1/(273.15+'ppm-mgL-1'!$D74)-1/298.15)+LN(Minerals!$C$3)))),"")</f>
        <v>-1.6303487334629028</v>
      </c>
      <c r="HK74" s="95">
        <f>IF(HE74&lt;&gt;"",LOG($FF74*$FN74/(EXP(-1*Minerals!$E$4/'Other Constants'!$B$2*(1/(273.15+'ppm-mgL-1'!$D74)-1/298.15)+LN(Minerals!$C$4)))),"")</f>
        <v>-2.7774049338014897</v>
      </c>
      <c r="HL74" s="199"/>
      <c r="HM74" s="199"/>
    </row>
    <row r="75" spans="1:221" x14ac:dyDescent="0.25">
      <c r="A75" s="267" t="str">
        <f>'WC samples'!B46</f>
        <v>ISSR 4</v>
      </c>
      <c r="C75" s="266">
        <f>'WC samples'!A46</f>
        <v>41594</v>
      </c>
      <c r="D75" s="4">
        <f>'WC samples'!I46</f>
        <v>21.8</v>
      </c>
      <c r="E75" s="4">
        <f>'WC samples'!F46</f>
        <v>8.39</v>
      </c>
      <c r="AD75" s="83">
        <f>IF(E75&lt;&gt;"",10^(-2*$E75)/(10^(-2*$E75)+10^(-$E75-pKa!$B$2)+(10^(-pKa!$B$2-pKa!$C$2))),"")</f>
        <v>7.9655608448169074E-3</v>
      </c>
      <c r="AE75" s="84">
        <f>IF(E75&lt;&gt;"",10^(-$E75-pKa!$B$2)/(10^(-2*$E75)+10^(-$E75-pKa!$B$2)+10^(-pKa!$B$2-pKa!$C$2)),"")</f>
        <v>0.97997807493840738</v>
      </c>
      <c r="AF75" s="212">
        <f>IF(E75&lt;&gt;"",10^(-pKa!$B$2-pKa!$C$2)/(10^(-2*$E75)+10^(-$E75-pKa!$B$2)+10^(-pKa!$B$2-pKa!$C$2)),"")</f>
        <v>1.2056364216775632E-2</v>
      </c>
      <c r="AG75" s="152"/>
      <c r="AH75" s="222">
        <f>IF($AK75&lt;&gt;"",$AK75/'Elements and ions'!$G$3,IF($E75="","",""))</f>
        <v>4.3102854883995967</v>
      </c>
      <c r="AI75" s="85">
        <f t="shared" si="770"/>
        <v>4.2927223546810724E-3</v>
      </c>
      <c r="AJ75" s="84">
        <f>IF(AI75&lt;&gt;"",AI75*1000*'Elements and ions'!$B$7,"")</f>
        <v>51.55860038536796</v>
      </c>
      <c r="AK75" s="99">
        <f>'WC samples'!H46</f>
        <v>263</v>
      </c>
      <c r="AL75" s="88">
        <f>IF($AK75&lt;&gt;"",$AK75/'Elements and ions'!$G$3*Minerals!$B$6/2,IF($E75="","","Enter Alk(HCO3-)"))</f>
        <v>215.70155632445079</v>
      </c>
      <c r="AM75" s="199"/>
      <c r="AN75" s="101">
        <f t="shared" si="755"/>
        <v>3.4193941106117789E-5</v>
      </c>
      <c r="AO75" s="94">
        <f t="shared" si="756"/>
        <v>4.2067737893854247E-3</v>
      </c>
      <c r="AP75" s="95">
        <f t="shared" si="757"/>
        <v>5.1754624189529714E-5</v>
      </c>
      <c r="AQ75" s="199"/>
      <c r="AR75" s="199"/>
      <c r="AS75" s="83">
        <f t="shared" si="760"/>
        <v>0.10057041501799349</v>
      </c>
      <c r="AT75" s="83">
        <f>IF(AN75&lt;&gt;"",AN75/'Henrys law constants'!$B$7*1000000,"")</f>
        <v>1005.7041501799349</v>
      </c>
      <c r="AU75" s="268">
        <f>'WC samples'!K46</f>
        <v>3.3751000000000002</v>
      </c>
      <c r="AV75" s="269">
        <f>'WC samples'!M46</f>
        <v>1.1115999999999999</v>
      </c>
      <c r="AW75" s="269">
        <f>'WC samples'!O46</f>
        <v>85.742999999999995</v>
      </c>
      <c r="AX75" s="269">
        <f>'WC samples'!N46</f>
        <v>4.0869999999999997</v>
      </c>
      <c r="AY75" s="226">
        <f>AO75*'Elements and ions'!$G$3*1000</f>
        <v>256.68404322312415</v>
      </c>
      <c r="AZ75" s="269">
        <f>'WC samples'!Q46</f>
        <v>5.1856</v>
      </c>
      <c r="BA75" s="269">
        <f>'WC samples'!T46</f>
        <v>17.604099999999999</v>
      </c>
      <c r="BB75" s="270">
        <f>'WC samples'!V46</f>
        <v>9.3018999999999998</v>
      </c>
      <c r="BC75" s="222">
        <f>IF($E75&lt;&gt;"",10^-$E75*'Elements and ions'!B76*1000,"")</f>
        <v>0</v>
      </c>
      <c r="BE75" s="6"/>
      <c r="BF75" s="6"/>
      <c r="BG75" s="270">
        <f>'WC samples'!L46</f>
        <v>0</v>
      </c>
      <c r="BH75" s="3"/>
      <c r="BJ75" s="92">
        <f>IF($AN75&lt;&gt;"",$AN75*'Elements and ions'!$G$2*1000,"")</f>
        <v>2.1208716744399121</v>
      </c>
      <c r="BK75" s="229"/>
      <c r="BL75" s="230"/>
      <c r="BM75" s="101">
        <f>IF($E75&lt;&gt;"",(10^-14+$E75)*'Elements and ions'!$G$8,"")</f>
        <v>142.69158260000017</v>
      </c>
      <c r="BO75" s="102">
        <f>IF($AP75&lt;&gt;"",$AP75*'Elements and ions'!$G$4*1000,"")</f>
        <v>3.1057380675270698</v>
      </c>
      <c r="BP75" s="269">
        <f>'WC samples'!P46</f>
        <v>0.1186</v>
      </c>
      <c r="BQ75" s="270">
        <f>'WC samples'!R46</f>
        <v>0</v>
      </c>
      <c r="BR75" s="195"/>
      <c r="BS75" s="238">
        <f>IF($AU75&lt;&gt;"",$AU75/'Elements and ions'!$B$12,"")</f>
        <v>0.14680878084914822</v>
      </c>
      <c r="BT75" s="239">
        <f>IF($AV75&lt;&gt;"",$AV75/'Elements and ions'!$B$20,"")</f>
        <v>2.8430903645427035E-2</v>
      </c>
      <c r="BU75" s="239">
        <f>IF($AW75&lt;&gt;"",$AW75/'Elements and ions'!$B$21, "")</f>
        <v>2.1394031638305302</v>
      </c>
      <c r="BV75" s="240">
        <f>IF($AX75&lt;&gt;"",$AX75/'Elements and ions'!$B$13, "")</f>
        <v>0.16815470067887264</v>
      </c>
      <c r="BW75" s="238">
        <f>IF($AY75&lt;&gt;"",$AY75/'Elements and ions'!$G$3,"")</f>
        <v>4.2067737893854247</v>
      </c>
      <c r="BX75" s="239">
        <f>IF($AZ75&lt;&gt;"",$AZ75/'Elements and ions'!$B$18,"")</f>
        <v>0.14626688855668066</v>
      </c>
      <c r="BY75" s="239">
        <f>IF($BA75&lt;&gt;"",$BA75/'Elements and ions'!$G$7,"")</f>
        <v>0.2839146583576459</v>
      </c>
      <c r="BZ75" s="241">
        <f>IF($BB75&lt;&gt;"",$BB75/'Elements and ions'!$G$5,"")</f>
        <v>9.6831649361978536E-2</v>
      </c>
      <c r="CA75" s="91">
        <f t="shared" si="761"/>
        <v>4.0738027780411213E-6</v>
      </c>
      <c r="CB75" s="163" t="str">
        <f>IF($BD75&lt;&gt;"",$BD75/'Elements and ions'!$B$14,"")</f>
        <v/>
      </c>
      <c r="CC75" s="89" t="str">
        <f>IF($BE75&lt;&gt;"",$BE75/'Elements and ions'!$B$27, "")</f>
        <v/>
      </c>
      <c r="CD75" s="249" t="str">
        <f>IF($BF75&lt;&gt;"",$BF75/'Elements and ions'!$B$26,"")</f>
        <v/>
      </c>
      <c r="CE75" s="250">
        <f>IF($BG75&lt;&gt;"",$BG75/'Elements and ions'!$G$6,"")</f>
        <v>0</v>
      </c>
      <c r="CF75" s="91" t="str">
        <f>IF($BH75&lt;&gt;"",$BH75/'Elements and ions'!$G$15,"")</f>
        <v/>
      </c>
      <c r="CG75" s="89" t="str">
        <f>IF($BI75&lt;&gt;"",$BI75/'Elements and ions'!$G$16,"")</f>
        <v/>
      </c>
      <c r="CH75" s="90">
        <f>IF($BJ75&lt;&gt;"",$BJ75/'Elements and ions'!$G$2,"")</f>
        <v>3.4193941106117787E-2</v>
      </c>
      <c r="CI75" s="91" t="str">
        <f>IF($BK75&lt;&gt;"",$BK75/'Elements and ions'!$B$15, "")</f>
        <v/>
      </c>
      <c r="CJ75" s="88" t="str">
        <f>IF($BL75&lt;&gt;"", $BL75/'Elements and ions'!$G$17,"")</f>
        <v/>
      </c>
      <c r="CK75" s="89">
        <f t="shared" si="762"/>
        <v>2.4547089156850312E-3</v>
      </c>
      <c r="CL75" s="163" t="str">
        <f>IF($BN75&lt;&gt;"", $BN75/'Elements and ions'!$G$19,"")</f>
        <v/>
      </c>
      <c r="CM75" s="89">
        <f>IF($BO75&lt;&gt;"",$BO75/'Elements and ions'!$G$4,"")</f>
        <v>5.1754624189529717E-2</v>
      </c>
      <c r="CN75" s="89">
        <f>IF($BP75&lt;&gt;"",$BP75/'Elements and ions'!$B$10,"")</f>
        <v>6.2426299069176508E-3</v>
      </c>
      <c r="CO75" s="104">
        <f>IF($BQ75&lt;&gt;"",$BQ75/'Elements and ions'!$G$18,"")</f>
        <v>0</v>
      </c>
      <c r="CP75" s="242"/>
      <c r="CQ75" s="238">
        <f t="shared" si="771"/>
        <v>1.4680878084914823E-4</v>
      </c>
      <c r="CR75" s="239">
        <f t="shared" si="772"/>
        <v>2.8430903645427035E-5</v>
      </c>
      <c r="CS75" s="239">
        <f t="shared" si="773"/>
        <v>2.1394031638305301E-3</v>
      </c>
      <c r="CT75" s="241">
        <f t="shared" si="774"/>
        <v>1.6815470067887265E-4</v>
      </c>
      <c r="CU75" s="238">
        <f t="shared" si="775"/>
        <v>4.2067737893854247E-3</v>
      </c>
      <c r="CV75" s="239">
        <f t="shared" si="776"/>
        <v>1.4626688855668067E-4</v>
      </c>
      <c r="CW75" s="239">
        <f t="shared" si="777"/>
        <v>2.8391465835764593E-4</v>
      </c>
      <c r="CX75" s="241">
        <f t="shared" si="778"/>
        <v>9.6831649361978531E-5</v>
      </c>
      <c r="CY75" s="258">
        <f t="shared" si="763"/>
        <v>4.0738027780411214E-9</v>
      </c>
      <c r="CZ75" s="259" t="str">
        <f t="shared" si="779"/>
        <v/>
      </c>
      <c r="DA75" s="260" t="str">
        <f t="shared" si="780"/>
        <v/>
      </c>
      <c r="DB75" s="261" t="str">
        <f t="shared" si="781"/>
        <v/>
      </c>
      <c r="DC75" s="262">
        <f t="shared" si="782"/>
        <v>0</v>
      </c>
      <c r="DD75" s="263" t="str">
        <f t="shared" si="783"/>
        <v/>
      </c>
      <c r="DE75" s="259" t="str">
        <f t="shared" si="784"/>
        <v/>
      </c>
      <c r="DF75" s="260">
        <f t="shared" si="785"/>
        <v>3.4193941106117789E-5</v>
      </c>
      <c r="DG75" s="260" t="str">
        <f t="shared" si="786"/>
        <v/>
      </c>
      <c r="DH75" s="264" t="str">
        <f t="shared" si="787"/>
        <v/>
      </c>
      <c r="DI75" s="258">
        <f t="shared" si="764"/>
        <v>2.4547089156850314E-6</v>
      </c>
      <c r="DJ75" s="260" t="str">
        <f t="shared" si="788"/>
        <v/>
      </c>
      <c r="DK75" s="260">
        <f t="shared" si="789"/>
        <v>5.175462418952972E-5</v>
      </c>
      <c r="DL75" s="260">
        <f t="shared" si="790"/>
        <v>6.242629906917651E-6</v>
      </c>
      <c r="DM75" s="265">
        <f t="shared" si="791"/>
        <v>0</v>
      </c>
      <c r="DN75" s="242"/>
      <c r="DO75" s="238">
        <f t="shared" si="792"/>
        <v>0.14680878084914822</v>
      </c>
      <c r="DP75" s="239">
        <f t="shared" si="793"/>
        <v>2.8430903645427035E-2</v>
      </c>
      <c r="DQ75" s="239">
        <f t="shared" si="794"/>
        <v>4.2788063276610604</v>
      </c>
      <c r="DR75" s="241">
        <f t="shared" si="795"/>
        <v>0.33630940135774529</v>
      </c>
      <c r="DS75" s="238">
        <f t="shared" si="796"/>
        <v>-4.2067737893854247</v>
      </c>
      <c r="DT75" s="239">
        <f t="shared" si="797"/>
        <v>-0.14626688855668066</v>
      </c>
      <c r="DU75" s="239">
        <f t="shared" si="798"/>
        <v>-0.2839146583576459</v>
      </c>
      <c r="DV75" s="241">
        <f t="shared" si="799"/>
        <v>-0.19366329872395707</v>
      </c>
      <c r="DW75" s="91">
        <f t="shared" si="765"/>
        <v>4.0738027780411213E-6</v>
      </c>
      <c r="DX75" s="89">
        <f t="shared" si="800"/>
        <v>0</v>
      </c>
      <c r="DY75" s="89">
        <f t="shared" si="801"/>
        <v>0</v>
      </c>
      <c r="DZ75" s="89">
        <f t="shared" si="802"/>
        <v>0</v>
      </c>
      <c r="EA75" s="90">
        <f t="shared" si="803"/>
        <v>0</v>
      </c>
      <c r="EB75" s="91">
        <f t="shared" si="766"/>
        <v>-2.4547089156850312E-3</v>
      </c>
      <c r="EC75" s="89">
        <f t="shared" si="804"/>
        <v>0</v>
      </c>
      <c r="ED75" s="89">
        <f t="shared" si="805"/>
        <v>-0.10350924837905943</v>
      </c>
      <c r="EE75" s="89">
        <f t="shared" si="806"/>
        <v>-6.2426299069176508E-3</v>
      </c>
      <c r="EF75" s="90">
        <f t="shared" si="807"/>
        <v>0</v>
      </c>
      <c r="EG75" s="242"/>
      <c r="EH75" s="245">
        <f t="shared" si="808"/>
        <v>4.7903594873161586</v>
      </c>
      <c r="EI75" s="246">
        <f t="shared" si="809"/>
        <v>-4.9428252222253715</v>
      </c>
      <c r="EJ75" s="198">
        <f t="shared" si="810"/>
        <v>-1.5664527023693424</v>
      </c>
      <c r="EK75" s="198">
        <f t="shared" si="811"/>
        <v>1.2026776880836148E-2</v>
      </c>
      <c r="EL75" s="101">
        <f>IF(AND(CS75&lt;&gt;"",DK75&lt;&gt;""),LOG(CS75*DK75/Minerals!$C$6),"")</f>
        <v>1.5244137992957423</v>
      </c>
      <c r="EM75" s="94">
        <f>IF(AND(CS75&lt;&gt;"",DK75&lt;&gt;""),LOG(CS75*DK75/Minerals!$C$5),"")</f>
        <v>1.3939342699395245</v>
      </c>
      <c r="EN75" s="94">
        <f>IF(AND(CS75&lt;&gt;"",DL75&lt;&gt;""),LOG(CS75*DL75^2/Minerals!$C$2),"")</f>
        <v>-2.5090472445685759</v>
      </c>
      <c r="EO75" s="94">
        <f>IF(AND(CS75&lt;&gt;"",CX75&lt;&gt;""),LOG($CS75*$CX75/Minerals!$C$3),"")</f>
        <v>-2.083709671963403</v>
      </c>
      <c r="EP75" s="95">
        <f>IF(AND(CS75&lt;&gt;"",CX75&lt;&gt;""),LOG($CS75*$CX75/Minerals!$C$4),"")</f>
        <v>-2.3236941834293052</v>
      </c>
      <c r="EQ75" s="199"/>
      <c r="ER75" s="101">
        <f t="shared" si="767"/>
        <v>0.89245384125156457</v>
      </c>
      <c r="ES75" s="94">
        <f t="shared" si="767"/>
        <v>0.89245384125156457</v>
      </c>
      <c r="ET75" s="94">
        <f t="shared" si="768"/>
        <v>0.63437060769548814</v>
      </c>
      <c r="EU75" s="94">
        <f t="shared" si="768"/>
        <v>0.63437060769548814</v>
      </c>
      <c r="EV75" s="95">
        <f t="shared" si="768"/>
        <v>0.63437060769548814</v>
      </c>
      <c r="EW75" s="101">
        <f t="shared" si="769"/>
        <v>0.89245384125156457</v>
      </c>
      <c r="EX75" s="94">
        <f t="shared" si="758"/>
        <v>0.63437060769548814</v>
      </c>
      <c r="EY75" s="94">
        <f t="shared" si="769"/>
        <v>0.89245384125156457</v>
      </c>
      <c r="EZ75" s="94">
        <f t="shared" si="769"/>
        <v>0.89245384125156457</v>
      </c>
      <c r="FA75" s="94">
        <f t="shared" si="769"/>
        <v>0.89245384125156457</v>
      </c>
      <c r="FB75" s="95">
        <f t="shared" si="759"/>
        <v>0.63437060769548814</v>
      </c>
      <c r="FC75" s="199"/>
      <c r="FD75" s="101">
        <f t="shared" si="812"/>
        <v>1.3102006039828146E-4</v>
      </c>
      <c r="FE75" s="94">
        <f t="shared" si="813"/>
        <v>2.5373269168614466E-5</v>
      </c>
      <c r="FF75" s="94">
        <f t="shared" si="814"/>
        <v>1.3571744851448235E-3</v>
      </c>
      <c r="FG75" s="94">
        <f t="shared" si="815"/>
        <v>1.0667239965650935E-4</v>
      </c>
      <c r="FH75" s="95" t="str">
        <f t="shared" si="816"/>
        <v/>
      </c>
      <c r="FI75" s="101">
        <f t="shared" si="817"/>
        <v>3.7543514276134225E-3</v>
      </c>
      <c r="FJ75" s="94">
        <f t="shared" si="818"/>
        <v>3.2831612398163577E-5</v>
      </c>
      <c r="FK75" s="94">
        <f t="shared" si="819"/>
        <v>1.3053644654032417E-4</v>
      </c>
      <c r="FL75" s="94">
        <f t="shared" si="820"/>
        <v>2.5338072743890674E-4</v>
      </c>
      <c r="FM75" s="94">
        <f t="shared" si="821"/>
        <v>5.5712590399405544E-6</v>
      </c>
      <c r="FN75" s="95">
        <f t="shared" si="822"/>
        <v>6.1427152249914749E-5</v>
      </c>
      <c r="FO75" s="199"/>
      <c r="FP75" s="101">
        <f>IF(EL75&lt;&gt;"",LOG(FF75*FJ75/Minerals!$C$6),"")</f>
        <v>1.1290999044994086</v>
      </c>
      <c r="FQ75" s="94">
        <f>IF(EL75&lt;&gt;"",LOG(FF75*FJ75/Minerals!$C$5),"")</f>
        <v>0.99862037514319091</v>
      </c>
      <c r="FR75" s="94">
        <f>IF(EN75&lt;&gt;"",LOG(FF75*FM75^2/Minerals!$C$2),"")</f>
        <v>-2.8055326656658259</v>
      </c>
      <c r="FS75" s="94">
        <f>IF(EO75&lt;&gt;"",LOG($FF75*$FN75/Minerals!$C$3),"")</f>
        <v>-2.4790235667597367</v>
      </c>
      <c r="FT75" s="95">
        <f>IF(EP75&lt;&gt;"",LOG($FF75*$FN75/Minerals!$C$4),"")</f>
        <v>-2.7190080782256389</v>
      </c>
      <c r="FU75" s="96"/>
      <c r="FV75" s="101">
        <f>IF(FP75&lt;&gt;"",LOG(FF75*FJ75/(EXP(-1*Minerals!$E$6/'Other Constants'!$B$2*(1/(273.15+'ppm-mgL-1'!$D75)-1/298.15)+LN(Minerals!$C$6)))),"")</f>
        <v>-0.13246456944453747</v>
      </c>
      <c r="FW75" s="94">
        <f>IF(FP75&lt;&gt;"",LOG(FF75*FJ75/(EXP(-1*Minerals!$E$5/'Other Constants'!$B$2*(1/(273.15+'ppm-mgL-1'!$D75)-1/298.15)+LN(Minerals!$C$5)))),"")</f>
        <v>-0.26305814801713867</v>
      </c>
      <c r="FX75" s="94">
        <f>IF(FR75&lt;&gt;"",LOG(FF75*FM75^2/(EXP(-1*Minerals!$E$2/'Other Constants'!$B$2*(1/(273.15+'ppm-mgL-1'!$D75)-1/298.15)+LN(Minerals!$C$2)))),"")</f>
        <v>-2.7521956488035908</v>
      </c>
      <c r="FY75" s="94">
        <f>IF(FS75&lt;&gt;"",LOG($FF75*$FN75/(EXP(-1*Minerals!$E$3/'Other Constants'!$B$2*(1/(273.15+'ppm-mgL-1'!$D75)-1/298.15)+LN(Minerals!$C$3)))),"")</f>
        <v>-1.391511065570971</v>
      </c>
      <c r="FZ75" s="95">
        <f>IF(FT75&lt;&gt;"",LOG($FF75*$FN75/(EXP(-1*Minerals!$E$4/'Other Constants'!$B$2*(1/(273.15+'ppm-mgL-1'!$D75)-1/298.15)+LN(Minerals!$C$4)))),"")</f>
        <v>-2.7501625225011921</v>
      </c>
      <c r="GA75" s="96"/>
      <c r="GB75" s="96"/>
      <c r="GC75" s="101">
        <f>10^(-1825000*(79.755*EXP(-0.0046*($D75-20))*($D75+273.15))^-1.5*$EK75^0.5/(1+'Elements and ions'!$D$12*$EK75^0.5/(2*(79.755*EXP(-0.0046*($D75-20))*($D75+273.15))^0.5)))</f>
        <v>0.89307262453312564</v>
      </c>
      <c r="GD75" s="94">
        <f>10^(-1825000*(79.755*EXP(-0.0046*($D75-20))*($D75+273.15))^-1.5*$EK75^0.5/(1+'Elements and ions'!$D$20*$EK75^0.5/(2*(79.755*EXP(-0.0046*($D75-20))*($D75+273.15))^0.5)))</f>
        <v>0.88980544451044075</v>
      </c>
      <c r="GE75" s="94">
        <f>10^(-1825000*(79.755*EXP(-0.0046*($D75-20))*($D75+273.15))^-1.5*4*$EK75^0.5/(1+'Elements and ions'!$D$21*$EK75^0.5/(2*(79.755*EXP(-0.0046*($D75-20))*($D75+273.15))^0.5)))</f>
        <v>0.65335992486219896</v>
      </c>
      <c r="GF75" s="94">
        <f>10^(-1825000*(79.755*EXP(-0.0046*($D75-20))*($D75+273.15))^-1.5*4*$EK75^0.5/(1+'Elements and ions'!$D$13*$EK75^0.5/(2*(79.755*EXP(-0.0046*($D75-20))*($D75+273.15))^0.5)))</f>
        <v>0.66905711285274416</v>
      </c>
      <c r="GG75" s="95">
        <f>10^(-1825000*(79.755*EXP(-0.0046*($D75-20))*($D75+273.15))^-1.5*4*$EK75^0.5/(1+'Elements and ions'!$D$27*$EK75^0.5/(2*(79.755*EXP(-0.0046*($D75-20))*($D75+273.15))^0.5)))</f>
        <v>0.65335992486219896</v>
      </c>
      <c r="GH75" s="101">
        <f>10^(-1825000*(79.755*EXP(-0.0046*($D75-20))*($D75+273.15))^-1.5*$EK75^0.5/(1+'Elements and ions'!$G$3*$EK75^0.5/(2*(79.755*EXP(-0.0046*($D75-20))*($D75+273.15))^0.5)))</f>
        <v>0.88112622608873159</v>
      </c>
      <c r="GI75" s="94">
        <f>10^(-1825000*(79.755*EXP(-0.0046*($D75-20))*($D75+273.15))^-1.5*4*$EK75^0.5/(1+'Elements and ions'!$G$4*$EK75^0.5/(2*(79.755*EXP(-0.0046*($D75-20))*($D75+273.15))^0.5)))</f>
        <v>0.60266315136998683</v>
      </c>
      <c r="GJ75" s="94">
        <f>10^(-1825000*(79.755*EXP(-0.0046*($D75-20))*($D75+273.15))^-1.5*$EK75^0.5/(1+'Elements and ions'!$D$18*$EK75^0.5/(2*(79.755*EXP(-0.0046*($D75-20))*($D75+273.15))^0.5)))</f>
        <v>0.88980544451044075</v>
      </c>
      <c r="GK75" s="94">
        <f>10^(-1825000*(79.755*EXP(-0.0046*($D75-20))*($D75+273.15))^-1.5*$EK75^0.5/(1+'Elements and ions'!$I$7*$EK75^0.5/(2*(79.755*EXP(-0.0046*($D75-20))*($D75+273.15))^0.5)))</f>
        <v>0.88980544451044075</v>
      </c>
      <c r="GL75" s="94">
        <f>10^(-1825000*(79.755*EXP(-0.0046*($D75-20))*($D75+273.15))^-1.5*$EK75^0.5/(1+'Elements and ions'!$D$10*$EK75^0.5/(2*(79.755*EXP(-0.0046*($D75-20))*($D75+273.15))^0.5)))</f>
        <v>0.89146358760294309</v>
      </c>
      <c r="GM75" s="95">
        <f>10^(-1825000*(79.755*EXP(-0.0046*($D75-20))*($D75+273.15))^-1.5*4*$EK75^0.5/(1+'Elements and ions'!$I$5*$EK75^0.5/(2*(79.755*EXP(-0.0046*($D75-20))*($D75+273.15))^0.5)))</f>
        <v>0.63613180293701121</v>
      </c>
      <c r="GN75" s="96"/>
      <c r="GO75" s="101">
        <f t="shared" si="823"/>
        <v>1.311109032174573E-4</v>
      </c>
      <c r="GP75" s="94">
        <f t="shared" si="824"/>
        <v>2.5297972856052714E-5</v>
      </c>
      <c r="GQ75" s="94">
        <f t="shared" si="825"/>
        <v>1.3978002903702659E-3</v>
      </c>
      <c r="GR75" s="94">
        <f t="shared" si="826"/>
        <v>1.1250509854882391E-4</v>
      </c>
      <c r="GS75" s="95" t="str">
        <f t="shared" si="827"/>
        <v/>
      </c>
      <c r="GT75" s="101">
        <f t="shared" si="828"/>
        <v>3.7066987130501719E-3</v>
      </c>
      <c r="GU75" s="94">
        <f t="shared" si="829"/>
        <v>3.1190604912031332E-5</v>
      </c>
      <c r="GV75" s="94">
        <f t="shared" si="830"/>
        <v>1.3014907378933633E-4</v>
      </c>
      <c r="GW75" s="94">
        <f t="shared" si="831"/>
        <v>2.5262880878295507E-4</v>
      </c>
      <c r="GX75" s="94">
        <f t="shared" si="832"/>
        <v>5.5650772528982356E-6</v>
      </c>
      <c r="GY75" s="102">
        <f t="shared" si="833"/>
        <v>6.15976916899999E-5</v>
      </c>
      <c r="GZ75" s="199"/>
      <c r="HA75" s="92">
        <f>IF(AND(GQ75&lt;&gt;"",GU75&lt;&gt;""),LOG(GQ75*GU75/Minerals!$C$6),"")</f>
        <v>1.1196409301457564</v>
      </c>
      <c r="HB75" s="94">
        <f>IF(AND(GQ75&lt;&gt;"",GU75&lt;&gt;""),LOG(GQ75*GU75/Minerals!$C$5),"")</f>
        <v>0.98916140078953851</v>
      </c>
      <c r="HC75" s="94">
        <f>IF(AND(GQ75&lt;&gt;"",GX75&lt;&gt;""),LOG(GQ75*GX75^2/Minerals!$C$2),"")</f>
        <v>-2.7936875342541438</v>
      </c>
      <c r="HD75" s="94">
        <f>IF(AND(GQ75&lt;&gt;"",GY75&lt;&gt;""),LOG($GQ75*$GY75/Minerals!$C$3),"")</f>
        <v>-2.4650100709784053</v>
      </c>
      <c r="HE75" s="102">
        <f>IF(AND(GQ75&lt;&gt;"",GY75&lt;&gt;""),LOG($GQ75*$GY75/Minerals!$C$3),"")</f>
        <v>-2.4650100709784053</v>
      </c>
      <c r="HF75" s="199"/>
      <c r="HG75" s="92">
        <f>IF(HA75&lt;&gt;"",LOG(GQ75*GU75/(EXP(-1*Minerals!$E$6/'Other Constants'!$B$2*(1/(273.15+'ppm-mgL-1'!$D75)-1/298.15)+LN(Minerals!$C$6)))),"")</f>
        <v>-0.14192354379818981</v>
      </c>
      <c r="HH75" s="94">
        <f>IF(HA75&lt;&gt;"",LOG(GQ75*GU75/(EXP(-1*Minerals!$E$5/'Other Constants'!$B$2*(1/(273.15+'ppm-mgL-1'!$D75)-1/298.15)+LN(Minerals!$C$5)))),"")</f>
        <v>-0.27251712237079101</v>
      </c>
      <c r="HI75" s="94">
        <f>IF(HC75&lt;&gt;"",LOG(GQ75*GX75^2/(EXP(-1*Minerals!$E$2/'Other Constants'!$B$2*(1/(273.15+'ppm-mgL-1'!$D75)-1/298.15)+LN(Minerals!$C$2)))),"")</f>
        <v>-2.7403505173919083</v>
      </c>
      <c r="HJ75" s="94">
        <f>IF(HD75&lt;&gt;"",LOG($FF75*$FN75/(EXP(-1*Minerals!$E$3/'Other Constants'!$B$2*(1/(273.15+'ppm-mgL-1'!$D75)-1/298.15)+LN(Minerals!$C$3)))),"")</f>
        <v>-1.391511065570971</v>
      </c>
      <c r="HK75" s="95">
        <f>IF(HE75&lt;&gt;"",LOG($FF75*$FN75/(EXP(-1*Minerals!$E$4/'Other Constants'!$B$2*(1/(273.15+'ppm-mgL-1'!$D75)-1/298.15)+LN(Minerals!$C$4)))),"")</f>
        <v>-2.7501625225011921</v>
      </c>
      <c r="HL75" s="199"/>
      <c r="HM75" s="199"/>
    </row>
    <row r="76" spans="1:221" x14ac:dyDescent="0.25">
      <c r="A76" s="267" t="str">
        <f>'WC samples'!B47</f>
        <v>ISSR 4</v>
      </c>
      <c r="C76" s="266">
        <f>'WC samples'!A47</f>
        <v>41624</v>
      </c>
      <c r="D76" s="4">
        <f>'WC samples'!I47</f>
        <v>22.1</v>
      </c>
      <c r="E76" s="4">
        <f>'WC samples'!F47</f>
        <v>8.19</v>
      </c>
      <c r="AD76" s="83">
        <f>IF(E76&lt;&gt;"",10^(-2*$E76)/(10^(-2*$E76)+10^(-$E76-pKa!$B$2)+(10^(-pKa!$B$2-pKa!$C$2))),"")</f>
        <v>1.2621916471890751E-2</v>
      </c>
      <c r="AE76" s="84">
        <f>IF(E76&lt;&gt;"",10^(-$E76-pKa!$B$2)/(10^(-2*$E76)+10^(-$E76-pKa!$B$2)+10^(-pKa!$B$2-pKa!$C$2)),"")</f>
        <v>0.97977262676334165</v>
      </c>
      <c r="AF76" s="212">
        <f>IF(E76&lt;&gt;"",10^(-pKa!$B$2-pKa!$C$2)/(10^(-2*$E76)+10^(-$E76-pKa!$B$2)+10^(-pKa!$B$2-pKa!$C$2)),"")</f>
        <v>7.6054567647675696E-3</v>
      </c>
      <c r="AG76" s="152"/>
      <c r="AH76" s="222">
        <f>IF($AK76&lt;&gt;"",$AK76/'Elements and ions'!$G$3,IF($E76="","",""))</f>
        <v>3.9333403696422171</v>
      </c>
      <c r="AI76" s="85">
        <f t="shared" si="770"/>
        <v>3.9531697440184279E-3</v>
      </c>
      <c r="AJ76" s="84">
        <f>IF(AI76&lt;&gt;"",AI76*1000*'Elements and ions'!$B$7,"")</f>
        <v>47.480335844482127</v>
      </c>
      <c r="AK76" s="99">
        <f>'WC samples'!H47</f>
        <v>240</v>
      </c>
      <c r="AL76" s="88">
        <f>IF($AK76&lt;&gt;"",$AK76/'Elements and ions'!$G$3*Minerals!$B$6/2,IF($E76="","","Enter Alk(HCO3-)"))</f>
        <v>196.8379221211718</v>
      </c>
      <c r="AM76" s="199"/>
      <c r="AN76" s="101">
        <f t="shared" si="755"/>
        <v>4.989657830820634E-5</v>
      </c>
      <c r="AO76" s="94">
        <f t="shared" si="756"/>
        <v>3.8732075041383019E-3</v>
      </c>
      <c r="AP76" s="95">
        <f t="shared" si="757"/>
        <v>3.0065661571919434E-5</v>
      </c>
      <c r="AQ76" s="199"/>
      <c r="AR76" s="199"/>
      <c r="AS76" s="83">
        <f t="shared" si="760"/>
        <v>0.1467546420829598</v>
      </c>
      <c r="AT76" s="83">
        <f>IF(AN76&lt;&gt;"",AN76/'Henrys law constants'!$B$7*1000000,"")</f>
        <v>1467.546420829598</v>
      </c>
      <c r="AU76" s="268">
        <f>'WC samples'!K47</f>
        <v>3.5276000000000001</v>
      </c>
      <c r="AV76" s="269">
        <f>'WC samples'!M47</f>
        <v>1.1008</v>
      </c>
      <c r="AW76" s="269">
        <f>'WC samples'!O47</f>
        <v>72.282300000000006</v>
      </c>
      <c r="AX76" s="269">
        <f>'WC samples'!N47</f>
        <v>4.1768999999999998</v>
      </c>
      <c r="AY76" s="226">
        <f>AO76*'Elements and ions'!$G$3*1000</f>
        <v>236.33088256680608</v>
      </c>
      <c r="AZ76" s="269">
        <f>'WC samples'!Q47</f>
        <v>5.9512</v>
      </c>
      <c r="BA76" s="269">
        <f>'WC samples'!T47</f>
        <v>18.709199999999999</v>
      </c>
      <c r="BB76" s="270">
        <f>'WC samples'!V47</f>
        <v>9.1106999999999996</v>
      </c>
      <c r="BC76" s="222">
        <f>IF($E76&lt;&gt;"",10^-$E76*'Elements and ions'!B77*1000,"")</f>
        <v>0</v>
      </c>
      <c r="BE76" s="6"/>
      <c r="BF76" s="6"/>
      <c r="BG76" s="270">
        <f>'WC samples'!L47</f>
        <v>0</v>
      </c>
      <c r="BH76" s="3"/>
      <c r="BJ76" s="92">
        <f>IF($AN76&lt;&gt;"",$AN76*'Elements and ions'!$G$2*1000,"")</f>
        <v>3.0948242923192701</v>
      </c>
      <c r="BK76" s="229"/>
      <c r="BL76" s="230"/>
      <c r="BM76" s="101">
        <f>IF($E76&lt;&gt;"",(10^-14+$E76)*'Elements and ions'!$G$8,"")</f>
        <v>139.29011460000018</v>
      </c>
      <c r="BO76" s="102">
        <f>IF($AP76&lt;&gt;"",$AP76*'Elements and ions'!$G$4*1000,"")</f>
        <v>1.804207278703156</v>
      </c>
      <c r="BP76" s="269">
        <f>'WC samples'!P47</f>
        <v>0.109</v>
      </c>
      <c r="BQ76" s="270">
        <f>'WC samples'!R47</f>
        <v>0</v>
      </c>
      <c r="BR76" s="195"/>
      <c r="BS76" s="238">
        <f>IF($AU76&lt;&gt;"",$AU76/'Elements and ions'!$B$12,"")</f>
        <v>0.15344216625387552</v>
      </c>
      <c r="BT76" s="239">
        <f>IF($AV76&lt;&gt;"",$AV76/'Elements and ions'!$B$20,"")</f>
        <v>2.8154676801804682E-2</v>
      </c>
      <c r="BU76" s="239">
        <f>IF($AW76&lt;&gt;"",$AW76/'Elements and ions'!$B$21, "")</f>
        <v>1.8035405958381157</v>
      </c>
      <c r="BV76" s="240">
        <f>IF($AX76&lt;&gt;"",$AX76/'Elements and ions'!$B$13, "")</f>
        <v>0.17185352808064183</v>
      </c>
      <c r="BW76" s="238">
        <f>IF($AY76&lt;&gt;"",$AY76/'Elements and ions'!$G$3,"")</f>
        <v>3.8732075041383021</v>
      </c>
      <c r="BX76" s="239">
        <f>IF($AZ76&lt;&gt;"",$AZ76/'Elements and ions'!$B$18,"")</f>
        <v>0.16786167602177529</v>
      </c>
      <c r="BY76" s="239">
        <f>IF($BA76&lt;&gt;"",$BA76/'Elements and ions'!$G$7,"")</f>
        <v>0.30173744333109159</v>
      </c>
      <c r="BZ76" s="241">
        <f>IF($BB76&lt;&gt;"",$BB76/'Elements and ions'!$G$5,"")</f>
        <v>9.4841280581620724E-2</v>
      </c>
      <c r="CA76" s="91">
        <f t="shared" si="761"/>
        <v>6.4565422903465549E-6</v>
      </c>
      <c r="CB76" s="163" t="str">
        <f>IF($BD76&lt;&gt;"",$BD76/'Elements and ions'!$B$14,"")</f>
        <v/>
      </c>
      <c r="CC76" s="89" t="str">
        <f>IF($BE76&lt;&gt;"",$BE76/'Elements and ions'!$B$27, "")</f>
        <v/>
      </c>
      <c r="CD76" s="249" t="str">
        <f>IF($BF76&lt;&gt;"",$BF76/'Elements and ions'!$B$26,"")</f>
        <v/>
      </c>
      <c r="CE76" s="250">
        <f>IF($BG76&lt;&gt;"",$BG76/'Elements and ions'!$G$6,"")</f>
        <v>0</v>
      </c>
      <c r="CF76" s="91" t="str">
        <f>IF($BH76&lt;&gt;"",$BH76/'Elements and ions'!$G$15,"")</f>
        <v/>
      </c>
      <c r="CG76" s="89" t="str">
        <f>IF($BI76&lt;&gt;"",$BI76/'Elements and ions'!$G$16,"")</f>
        <v/>
      </c>
      <c r="CH76" s="90">
        <f>IF($BJ76&lt;&gt;"",$BJ76/'Elements and ions'!$G$2,"")</f>
        <v>4.9896578308206339E-2</v>
      </c>
      <c r="CI76" s="91" t="str">
        <f>IF($BK76&lt;&gt;"",$BK76/'Elements and ions'!$B$15, "")</f>
        <v/>
      </c>
      <c r="CJ76" s="88" t="str">
        <f>IF($BL76&lt;&gt;"", $BL76/'Elements and ions'!$G$17,"")</f>
        <v/>
      </c>
      <c r="CK76" s="89">
        <f t="shared" si="762"/>
        <v>1.5488166189124766E-3</v>
      </c>
      <c r="CL76" s="163" t="str">
        <f>IF($BN76&lt;&gt;"", $BN76/'Elements and ions'!$G$19,"")</f>
        <v/>
      </c>
      <c r="CM76" s="89">
        <f>IF($BO76&lt;&gt;"",$BO76/'Elements and ions'!$G$4,"")</f>
        <v>3.0065661571919432E-2</v>
      </c>
      <c r="CN76" s="89">
        <f>IF($BP76&lt;&gt;"",$BP76/'Elements and ions'!$B$10,"")</f>
        <v>5.7373242820744014E-3</v>
      </c>
      <c r="CO76" s="104">
        <f>IF($BQ76&lt;&gt;"",$BQ76/'Elements and ions'!$G$18,"")</f>
        <v>0</v>
      </c>
      <c r="CP76" s="242"/>
      <c r="CQ76" s="238">
        <f t="shared" si="771"/>
        <v>1.5344216625387552E-4</v>
      </c>
      <c r="CR76" s="239">
        <f t="shared" si="772"/>
        <v>2.8154676801804682E-5</v>
      </c>
      <c r="CS76" s="239">
        <f t="shared" si="773"/>
        <v>1.8035405958381156E-3</v>
      </c>
      <c r="CT76" s="241">
        <f t="shared" si="774"/>
        <v>1.7185352808064182E-4</v>
      </c>
      <c r="CU76" s="238">
        <f t="shared" si="775"/>
        <v>3.8732075041383019E-3</v>
      </c>
      <c r="CV76" s="239">
        <f t="shared" si="776"/>
        <v>1.6786167602177529E-4</v>
      </c>
      <c r="CW76" s="239">
        <f t="shared" si="777"/>
        <v>3.0173744333109162E-4</v>
      </c>
      <c r="CX76" s="241">
        <f t="shared" si="778"/>
        <v>9.4841280581620718E-5</v>
      </c>
      <c r="CY76" s="258">
        <f t="shared" si="763"/>
        <v>6.456542290346555E-9</v>
      </c>
      <c r="CZ76" s="259" t="str">
        <f t="shared" si="779"/>
        <v/>
      </c>
      <c r="DA76" s="260" t="str">
        <f t="shared" si="780"/>
        <v/>
      </c>
      <c r="DB76" s="261" t="str">
        <f t="shared" si="781"/>
        <v/>
      </c>
      <c r="DC76" s="262">
        <f t="shared" si="782"/>
        <v>0</v>
      </c>
      <c r="DD76" s="263" t="str">
        <f t="shared" si="783"/>
        <v/>
      </c>
      <c r="DE76" s="259" t="str">
        <f t="shared" si="784"/>
        <v/>
      </c>
      <c r="DF76" s="260">
        <f t="shared" si="785"/>
        <v>4.989657830820634E-5</v>
      </c>
      <c r="DG76" s="260" t="str">
        <f t="shared" si="786"/>
        <v/>
      </c>
      <c r="DH76" s="264" t="str">
        <f t="shared" si="787"/>
        <v/>
      </c>
      <c r="DI76" s="258">
        <f t="shared" si="764"/>
        <v>1.5488166189124767E-6</v>
      </c>
      <c r="DJ76" s="260" t="str">
        <f t="shared" si="788"/>
        <v/>
      </c>
      <c r="DK76" s="260">
        <f t="shared" si="789"/>
        <v>3.0065661571919434E-5</v>
      </c>
      <c r="DL76" s="260">
        <f t="shared" si="790"/>
        <v>5.7373242820744016E-6</v>
      </c>
      <c r="DM76" s="265">
        <f t="shared" si="791"/>
        <v>0</v>
      </c>
      <c r="DN76" s="242"/>
      <c r="DO76" s="238">
        <f t="shared" si="792"/>
        <v>0.15344216625387552</v>
      </c>
      <c r="DP76" s="239">
        <f t="shared" si="793"/>
        <v>2.8154676801804682E-2</v>
      </c>
      <c r="DQ76" s="239">
        <f t="shared" si="794"/>
        <v>3.6070811916762313</v>
      </c>
      <c r="DR76" s="241">
        <f t="shared" si="795"/>
        <v>0.34370705616128366</v>
      </c>
      <c r="DS76" s="238">
        <f t="shared" si="796"/>
        <v>-3.8732075041383021</v>
      </c>
      <c r="DT76" s="239">
        <f t="shared" si="797"/>
        <v>-0.16786167602177529</v>
      </c>
      <c r="DU76" s="239">
        <f t="shared" si="798"/>
        <v>-0.30173744333109159</v>
      </c>
      <c r="DV76" s="241">
        <f t="shared" si="799"/>
        <v>-0.18968256116324145</v>
      </c>
      <c r="DW76" s="91">
        <f t="shared" si="765"/>
        <v>6.4565422903465549E-6</v>
      </c>
      <c r="DX76" s="89">
        <f t="shared" si="800"/>
        <v>0</v>
      </c>
      <c r="DY76" s="89">
        <f t="shared" si="801"/>
        <v>0</v>
      </c>
      <c r="DZ76" s="89">
        <f t="shared" si="802"/>
        <v>0</v>
      </c>
      <c r="EA76" s="90">
        <f t="shared" si="803"/>
        <v>0</v>
      </c>
      <c r="EB76" s="91">
        <f t="shared" si="766"/>
        <v>-1.5488166189124766E-3</v>
      </c>
      <c r="EC76" s="89">
        <f t="shared" si="804"/>
        <v>0</v>
      </c>
      <c r="ED76" s="89">
        <f t="shared" si="805"/>
        <v>-6.0131323143838865E-2</v>
      </c>
      <c r="EE76" s="89">
        <f t="shared" si="806"/>
        <v>-5.7373242820744014E-3</v>
      </c>
      <c r="EF76" s="90">
        <f t="shared" si="807"/>
        <v>0</v>
      </c>
      <c r="EG76" s="242"/>
      <c r="EH76" s="245">
        <f t="shared" si="808"/>
        <v>4.1323915474354855</v>
      </c>
      <c r="EI76" s="246">
        <f t="shared" si="809"/>
        <v>-4.5999066486992364</v>
      </c>
      <c r="EJ76" s="198">
        <f t="shared" si="810"/>
        <v>-5.3538609282799401</v>
      </c>
      <c r="EK76" s="198">
        <f t="shared" si="811"/>
        <v>1.0546012013415975E-2</v>
      </c>
      <c r="EL76" s="101">
        <f>IF(AND(CS76&lt;&gt;"",DK76&lt;&gt;""),LOG(CS76*DK76/Minerals!$C$6),"")</f>
        <v>1.2143686931144426</v>
      </c>
      <c r="EM76" s="94">
        <f>IF(AND(CS76&lt;&gt;"",DK76&lt;&gt;""),LOG(CS76*DK76/Minerals!$C$5),"")</f>
        <v>1.0838891637582249</v>
      </c>
      <c r="EN76" s="94">
        <f>IF(AND(CS76&lt;&gt;"",DL76&lt;&gt;""),LOG(CS76*DL76^2/Minerals!$C$2),"")</f>
        <v>-2.6565303381784648</v>
      </c>
      <c r="EO76" s="94">
        <f>IF(AND(CS76&lt;&gt;"",CX76&lt;&gt;""),LOG($CS76*$CX76/Minerals!$C$3),"")</f>
        <v>-2.1668963034315225</v>
      </c>
      <c r="EP76" s="95">
        <f>IF(AND(CS76&lt;&gt;"",CX76&lt;&gt;""),LOG($CS76*$CX76/Minerals!$C$4),"")</f>
        <v>-2.4068808148974248</v>
      </c>
      <c r="EQ76" s="199"/>
      <c r="ER76" s="101">
        <f t="shared" si="767"/>
        <v>0.89832821935359064</v>
      </c>
      <c r="ES76" s="94">
        <f t="shared" si="767"/>
        <v>0.89832821935359064</v>
      </c>
      <c r="ET76" s="94">
        <f t="shared" si="768"/>
        <v>0.65123865379589851</v>
      </c>
      <c r="EU76" s="94">
        <f t="shared" si="768"/>
        <v>0.65123865379589851</v>
      </c>
      <c r="EV76" s="95">
        <f t="shared" si="768"/>
        <v>0.65123865379589851</v>
      </c>
      <c r="EW76" s="101">
        <f t="shared" si="769"/>
        <v>0.89832821935359064</v>
      </c>
      <c r="EX76" s="94">
        <f t="shared" si="758"/>
        <v>0.65123865379589851</v>
      </c>
      <c r="EY76" s="94">
        <f t="shared" si="769"/>
        <v>0.89832821935359064</v>
      </c>
      <c r="EZ76" s="94">
        <f t="shared" si="769"/>
        <v>0.89832821935359064</v>
      </c>
      <c r="FA76" s="94">
        <f t="shared" si="769"/>
        <v>0.89832821935359064</v>
      </c>
      <c r="FB76" s="95">
        <f t="shared" si="759"/>
        <v>0.65123865379589851</v>
      </c>
      <c r="FC76" s="199"/>
      <c r="FD76" s="101">
        <f t="shared" si="812"/>
        <v>1.378414279846016E-4</v>
      </c>
      <c r="FE76" s="94">
        <f t="shared" si="813"/>
        <v>2.5292140677841048E-5</v>
      </c>
      <c r="FF76" s="94">
        <f t="shared" si="814"/>
        <v>1.1745353496998671E-3</v>
      </c>
      <c r="FG76" s="94">
        <f t="shared" si="815"/>
        <v>1.1191766027731283E-4</v>
      </c>
      <c r="FH76" s="95" t="str">
        <f t="shared" si="816"/>
        <v/>
      </c>
      <c r="FI76" s="101">
        <f t="shared" si="817"/>
        <v>3.4794116003795256E-3</v>
      </c>
      <c r="FJ76" s="94">
        <f t="shared" si="818"/>
        <v>1.9579920967579891E-5</v>
      </c>
      <c r="FK76" s="94">
        <f t="shared" si="819"/>
        <v>1.5079488051835072E-4</v>
      </c>
      <c r="FL76" s="94">
        <f t="shared" si="820"/>
        <v>2.7105926017992452E-4</v>
      </c>
      <c r="FM76" s="94">
        <f t="shared" si="821"/>
        <v>5.1540003061700149E-6</v>
      </c>
      <c r="FN76" s="95">
        <f t="shared" si="822"/>
        <v>6.1764307890253766E-5</v>
      </c>
      <c r="FO76" s="199"/>
      <c r="FP76" s="101">
        <f>IF(EL76&lt;&gt;"",LOG(FF76*FJ76/Minerals!$C$6),"")</f>
        <v>0.84184903287200119</v>
      </c>
      <c r="FQ76" s="94">
        <f>IF(EL76&lt;&gt;"",LOG(FF76*FJ76/Minerals!$C$5),"")</f>
        <v>0.71136950351578343</v>
      </c>
      <c r="FR76" s="94">
        <f>IF(EN76&lt;&gt;"",LOG(FF76*FM76^2/Minerals!$C$2),"")</f>
        <v>-2.9359200833602959</v>
      </c>
      <c r="FS76" s="94">
        <f>IF(EO76&lt;&gt;"",LOG($FF76*$FN76/Minerals!$C$3),"")</f>
        <v>-2.5394159636739637</v>
      </c>
      <c r="FT76" s="95">
        <f>IF(EP76&lt;&gt;"",LOG($FF76*$FN76/Minerals!$C$4),"")</f>
        <v>-2.7794004751398664</v>
      </c>
      <c r="FU76" s="96"/>
      <c r="FV76" s="101">
        <f>IF(FP76&lt;&gt;"",LOG(FF76*FJ76/(EXP(-1*Minerals!$E$6/'Other Constants'!$B$2*(1/(273.15+'ppm-mgL-1'!$D76)-1/298.15)+LN(Minerals!$C$6)))),"")</f>
        <v>-0.30028208547083529</v>
      </c>
      <c r="FW76" s="94">
        <f>IF(FP76&lt;&gt;"",LOG(FF76*FJ76/(EXP(-1*Minerals!$E$5/'Other Constants'!$B$2*(1/(273.15+'ppm-mgL-1'!$D76)-1/298.15)+LN(Minerals!$C$5)))),"")</f>
        <v>-0.43086486690948339</v>
      </c>
      <c r="FX76" s="94">
        <f>IF(FR76&lt;&gt;"",LOG(FF76*FM76^2/(EXP(-1*Minerals!$E$2/'Other Constants'!$B$2*(1/(273.15+'ppm-mgL-1'!$D76)-1/298.15)+LN(Minerals!$C$2)))),"")</f>
        <v>-2.8876325261437463</v>
      </c>
      <c r="FY76" s="94">
        <f>IF(FS76&lt;&gt;"",LOG($FF76*$FN76/(EXP(-1*Minerals!$E$3/'Other Constants'!$B$2*(1/(273.15+'ppm-mgL-1'!$D76)-1/298.15)+LN(Minerals!$C$3)))),"")</f>
        <v>-1.5548591733963326</v>
      </c>
      <c r="FZ76" s="95">
        <f>IF(FT76&lt;&gt;"",LOG($FF76*$FN76/(EXP(-1*Minerals!$E$4/'Other Constants'!$B$2*(1/(273.15+'ppm-mgL-1'!$D76)-1/298.15)+LN(Minerals!$C$4)))),"")</f>
        <v>-2.8076055023237312</v>
      </c>
      <c r="GA76" s="96"/>
      <c r="GB76" s="96"/>
      <c r="GC76" s="101">
        <f>10^(-1825000*(79.755*EXP(-0.0046*($D76-20))*($D76+273.15))^-1.5*$EK76^0.5/(1+'Elements and ions'!$D$12*$EK76^0.5/(2*(79.755*EXP(-0.0046*($D76-20))*($D76+273.15))^0.5)))</f>
        <v>0.89870075044577213</v>
      </c>
      <c r="GD76" s="94">
        <f>10^(-1825000*(79.755*EXP(-0.0046*($D76-20))*($D76+273.15))^-1.5*$EK76^0.5/(1+'Elements and ions'!$D$20*$EK76^0.5/(2*(79.755*EXP(-0.0046*($D76-20))*($D76+273.15))^0.5)))</f>
        <v>0.89577389474116809</v>
      </c>
      <c r="GE76" s="94">
        <f>10^(-1825000*(79.755*EXP(-0.0046*($D76-20))*($D76+273.15))^-1.5*4*$EK76^0.5/(1+'Elements and ions'!$D$21*$EK76^0.5/(2*(79.755*EXP(-0.0046*($D76-20))*($D76+273.15))^0.5)))</f>
        <v>0.66810194679828561</v>
      </c>
      <c r="GF76" s="94">
        <f>10^(-1825000*(79.755*EXP(-0.0046*($D76-20))*($D76+273.15))^-1.5*4*$EK76^0.5/(1+'Elements and ions'!$D$13*$EK76^0.5/(2*(79.755*EXP(-0.0046*($D76-20))*($D76+273.15))^0.5)))</f>
        <v>0.68253463523449953</v>
      </c>
      <c r="GG76" s="95">
        <f>10^(-1825000*(79.755*EXP(-0.0046*($D76-20))*($D76+273.15))^-1.5*4*$EK76^0.5/(1+'Elements and ions'!$D$27*$EK76^0.5/(2*(79.755*EXP(-0.0046*($D76-20))*($D76+273.15))^0.5)))</f>
        <v>0.66810194679828561</v>
      </c>
      <c r="GH76" s="101">
        <f>10^(-1825000*(79.755*EXP(-0.0046*($D76-20))*($D76+273.15))^-1.5*$EK76^0.5/(1+'Elements and ions'!$G$3*$EK76^0.5/(2*(79.755*EXP(-0.0046*($D76-20))*($D76+273.15))^0.5)))</f>
        <v>0.888044216612906</v>
      </c>
      <c r="GI76" s="94">
        <f>10^(-1825000*(79.755*EXP(-0.0046*($D76-20))*($D76+273.15))^-1.5*4*$EK76^0.5/(1+'Elements and ions'!$G$4*$EK76^0.5/(2*(79.755*EXP(-0.0046*($D76-20))*($D76+273.15))^0.5)))</f>
        <v>0.62182738088114387</v>
      </c>
      <c r="GJ76" s="94">
        <f>10^(-1825000*(79.755*EXP(-0.0046*($D76-20))*($D76+273.15))^-1.5*$EK76^0.5/(1+'Elements and ions'!$D$18*$EK76^0.5/(2*(79.755*EXP(-0.0046*($D76-20))*($D76+273.15))^0.5)))</f>
        <v>0.89577389474116809</v>
      </c>
      <c r="GK76" s="94">
        <f>10^(-1825000*(79.755*EXP(-0.0046*($D76-20))*($D76+273.15))^-1.5*$EK76^0.5/(1+'Elements and ions'!$I$7*$EK76^0.5/(2*(79.755*EXP(-0.0046*($D76-20))*($D76+273.15))^0.5)))</f>
        <v>0.89577389474116809</v>
      </c>
      <c r="GL76" s="94">
        <f>10^(-1825000*(79.755*EXP(-0.0046*($D76-20))*($D76+273.15))^-1.5*$EK76^0.5/(1+'Elements and ions'!$D$10*$EK76^0.5/(2*(79.755*EXP(-0.0046*($D76-20))*($D76+273.15))^0.5)))</f>
        <v>0.89725814149422012</v>
      </c>
      <c r="GM76" s="95">
        <f>10^(-1825000*(79.755*EXP(-0.0046*($D76-20))*($D76+273.15))^-1.5*4*$EK76^0.5/(1+'Elements and ions'!$I$5*$EK76^0.5/(2*(79.755*EXP(-0.0046*($D76-20))*($D76+273.15))^0.5)))</f>
        <v>0.65231958432731452</v>
      </c>
      <c r="GN76" s="96"/>
      <c r="GO76" s="101">
        <f t="shared" si="823"/>
        <v>1.3789858996238286E-4</v>
      </c>
      <c r="GP76" s="94">
        <f t="shared" si="824"/>
        <v>2.5220224493931395E-5</v>
      </c>
      <c r="GQ76" s="94">
        <f t="shared" si="825"/>
        <v>1.204948983209185E-3</v>
      </c>
      <c r="GR76" s="94">
        <f t="shared" si="826"/>
        <v>1.1729598510228269E-4</v>
      </c>
      <c r="GS76" s="95" t="str">
        <f t="shared" si="827"/>
        <v/>
      </c>
      <c r="GT76" s="101">
        <f t="shared" si="828"/>
        <v>3.4395795237917273E-3</v>
      </c>
      <c r="GU76" s="94">
        <f t="shared" si="829"/>
        <v>1.8695651589725518E-5</v>
      </c>
      <c r="GV76" s="94">
        <f t="shared" si="830"/>
        <v>1.5036610730780579E-4</v>
      </c>
      <c r="GW76" s="94">
        <f t="shared" si="831"/>
        <v>2.7028852480193442E-4</v>
      </c>
      <c r="GX76" s="94">
        <f t="shared" si="832"/>
        <v>5.1478609224837386E-6</v>
      </c>
      <c r="GY76" s="102">
        <f t="shared" si="833"/>
        <v>6.1866824726073032E-5</v>
      </c>
      <c r="GZ76" s="199"/>
      <c r="HA76" s="92">
        <f>IF(AND(GQ76&lt;&gt;"",GU76&lt;&gt;""),LOG(GQ76*GU76/Minerals!$C$6),"")</f>
        <v>0.83288127175755355</v>
      </c>
      <c r="HB76" s="94">
        <f>IF(AND(GQ76&lt;&gt;"",GU76&lt;&gt;""),LOG(GQ76*GU76/Minerals!$C$5),"")</f>
        <v>0.7024017424013359</v>
      </c>
      <c r="HC76" s="94">
        <f>IF(AND(GQ76&lt;&gt;"",GX76&lt;&gt;""),LOG(GQ76*GX76^2/Minerals!$C$2),"")</f>
        <v>-2.925852785518174</v>
      </c>
      <c r="HD76" s="94">
        <f>IF(AND(GQ76&lt;&gt;"",GY76&lt;&gt;""),LOG($GQ76*$GY76/Minerals!$C$3),"")</f>
        <v>-2.5275931488088967</v>
      </c>
      <c r="HE76" s="102">
        <f>IF(AND(GQ76&lt;&gt;"",GY76&lt;&gt;""),LOG($GQ76*$GY76/Minerals!$C$3),"")</f>
        <v>-2.5275931488088967</v>
      </c>
      <c r="HF76" s="199"/>
      <c r="HG76" s="92">
        <f>IF(HA76&lt;&gt;"",LOG(GQ76*GU76/(EXP(-1*Minerals!$E$6/'Other Constants'!$B$2*(1/(273.15+'ppm-mgL-1'!$D76)-1/298.15)+LN(Minerals!$C$6)))),"")</f>
        <v>-0.30924984658528287</v>
      </c>
      <c r="HH76" s="94">
        <f>IF(HA76&lt;&gt;"",LOG(GQ76*GU76/(EXP(-1*Minerals!$E$5/'Other Constants'!$B$2*(1/(273.15+'ppm-mgL-1'!$D76)-1/298.15)+LN(Minerals!$C$5)))),"")</f>
        <v>-0.43983262802393103</v>
      </c>
      <c r="HI76" s="94">
        <f>IF(HC76&lt;&gt;"",LOG(GQ76*GX76^2/(EXP(-1*Minerals!$E$2/'Other Constants'!$B$2*(1/(273.15+'ppm-mgL-1'!$D76)-1/298.15)+LN(Minerals!$C$2)))),"")</f>
        <v>-2.8775652283016249</v>
      </c>
      <c r="HJ76" s="94">
        <f>IF(HD76&lt;&gt;"",LOG($FF76*$FN76/(EXP(-1*Minerals!$E$3/'Other Constants'!$B$2*(1/(273.15+'ppm-mgL-1'!$D76)-1/298.15)+LN(Minerals!$C$3)))),"")</f>
        <v>-1.5548591733963326</v>
      </c>
      <c r="HK76" s="95">
        <f>IF(HE76&lt;&gt;"",LOG($FF76*$FN76/(EXP(-1*Minerals!$E$4/'Other Constants'!$B$2*(1/(273.15+'ppm-mgL-1'!$D76)-1/298.15)+LN(Minerals!$C$4)))),"")</f>
        <v>-2.8076055023237312</v>
      </c>
      <c r="HL76" s="199"/>
      <c r="HM76" s="199"/>
    </row>
    <row r="77" spans="1:221" x14ac:dyDescent="0.25">
      <c r="A77" s="267" t="str">
        <f>'WC samples'!B48</f>
        <v>ISSR 4</v>
      </c>
      <c r="C77" s="266">
        <f>'WC samples'!A48</f>
        <v>41659</v>
      </c>
      <c r="D77" s="4">
        <f>'WC samples'!I48</f>
        <v>22.2</v>
      </c>
      <c r="E77" s="4">
        <f>'WC samples'!F48</f>
        <v>8.18</v>
      </c>
      <c r="AD77" s="83">
        <f>IF(E77&lt;&gt;"",10^(-2*$E77)/(10^(-2*$E77)+10^(-$E77-pKa!$B$2)+(10^(-pKa!$B$2-pKa!$C$2))),"")</f>
        <v>1.291435757604566E-2</v>
      </c>
      <c r="AE77" s="84">
        <f>IF(E77&lt;&gt;"",10^(-$E77-pKa!$B$2)/(10^(-2*$E77)+10^(-$E77-pKa!$B$2)+10^(-pKa!$B$2-pKa!$C$2)),"")</f>
        <v>0.97965420530964509</v>
      </c>
      <c r="AF77" s="212">
        <f>IF(E77&lt;&gt;"",10^(-pKa!$B$2-pKa!$C$2)/(10^(-2*$E77)+10^(-$E77-pKa!$B$2)+10^(-pKa!$B$2-pKa!$C$2)),"")</f>
        <v>7.4314371143093172E-3</v>
      </c>
      <c r="AG77" s="152"/>
      <c r="AH77" s="222">
        <f>IF($AK77&lt;&gt;"",$AK77/'Elements and ions'!$G$3,IF($E77="","",""))</f>
        <v>4.097229551710643</v>
      </c>
      <c r="AI77" s="85">
        <f t="shared" si="770"/>
        <v>4.1198166718852099E-3</v>
      </c>
      <c r="AJ77" s="84">
        <f>IF(AI77&lt;&gt;"",AI77*1000*'Elements and ions'!$B$7,"")</f>
        <v>49.481882101011692</v>
      </c>
      <c r="AK77" s="99">
        <f>'WC samples'!H48</f>
        <v>250</v>
      </c>
      <c r="AL77" s="88">
        <f>IF($AK77&lt;&gt;"",$AK77/'Elements and ions'!$G$3*Minerals!$B$6/2,IF($E77="","","Enter Alk(HCO3-)"))</f>
        <v>205.03950220955397</v>
      </c>
      <c r="AM77" s="199"/>
      <c r="AN77" s="101">
        <f t="shared" si="755"/>
        <v>5.3204785648479976E-5</v>
      </c>
      <c r="AO77" s="94">
        <f t="shared" si="756"/>
        <v>4.0359957277171319E-3</v>
      </c>
      <c r="AP77" s="95">
        <f t="shared" si="757"/>
        <v>3.0616158519598042E-5</v>
      </c>
      <c r="AQ77" s="199"/>
      <c r="AR77" s="199"/>
      <c r="AS77" s="83">
        <f t="shared" si="760"/>
        <v>0.15648466367199992</v>
      </c>
      <c r="AT77" s="83">
        <f>IF(AN77&lt;&gt;"",AN77/'Henrys law constants'!$B$7*1000000,"")</f>
        <v>1564.8466367199992</v>
      </c>
      <c r="AU77" s="268">
        <f>'WC samples'!K48</f>
        <v>3.4127999999999998</v>
      </c>
      <c r="AV77" s="269">
        <f>'WC samples'!M48</f>
        <v>1.0907</v>
      </c>
      <c r="AW77" s="269">
        <f>'WC samples'!O48</f>
        <v>79.013400000000004</v>
      </c>
      <c r="AX77" s="269">
        <f>'WC samples'!N48</f>
        <v>4.1108000000000002</v>
      </c>
      <c r="AY77" s="226">
        <f>AO77*'Elements and ions'!$G$3*1000</f>
        <v>246.26370555879978</v>
      </c>
      <c r="AZ77" s="269">
        <f>'WC samples'!Q48</f>
        <v>5.2704000000000004</v>
      </c>
      <c r="BA77" s="269">
        <f>'WC samples'!T48</f>
        <v>17.447099999999999</v>
      </c>
      <c r="BB77" s="270">
        <f>'WC samples'!V48</f>
        <v>8.8877000000000006</v>
      </c>
      <c r="BC77" s="222">
        <f>IF($E77&lt;&gt;"",10^-$E77*'Elements and ions'!B78*1000,"")</f>
        <v>0</v>
      </c>
      <c r="BE77" s="6"/>
      <c r="BF77" s="6"/>
      <c r="BG77" s="270">
        <f>'WC samples'!L48</f>
        <v>0</v>
      </c>
      <c r="BH77" s="3"/>
      <c r="BJ77" s="92">
        <f>IF($AN77&lt;&gt;"",$AN77*'Elements and ions'!$G$2*1000,"")</f>
        <v>3.3000151247941276</v>
      </c>
      <c r="BK77" s="229"/>
      <c r="BL77" s="230"/>
      <c r="BM77" s="101">
        <f>IF($E77&lt;&gt;"",(10^-14+$E77)*'Elements and ions'!$G$8,"")</f>
        <v>139.12004120000017</v>
      </c>
      <c r="BO77" s="102">
        <f>IF($AP77&lt;&gt;"",$AP77*'Elements and ions'!$G$4*1000,"")</f>
        <v>1.8372419949867069</v>
      </c>
      <c r="BP77" s="269">
        <f>'WC samples'!P48</f>
        <v>0.113</v>
      </c>
      <c r="BQ77" s="270">
        <f>'WC samples'!R48</f>
        <v>0</v>
      </c>
      <c r="BR77" s="195"/>
      <c r="BS77" s="238">
        <f>IF($AU77&lt;&gt;"",$AU77/'Elements and ions'!$B$12,"")</f>
        <v>0.14844864071641523</v>
      </c>
      <c r="BT77" s="239">
        <f>IF($AV77&lt;&gt;"",$AV77/'Elements and ions'!$B$20,"")</f>
        <v>2.7896353549898587E-2</v>
      </c>
      <c r="BU77" s="239">
        <f>IF($AW77&lt;&gt;"",$AW77/'Elements and ions'!$B$21, "")</f>
        <v>1.9714905933429812</v>
      </c>
      <c r="BV77" s="240">
        <f>IF($AX77&lt;&gt;"",$AX77/'Elements and ions'!$B$13, "")</f>
        <v>0.16913392306109856</v>
      </c>
      <c r="BW77" s="238">
        <f>IF($AY77&lt;&gt;"",$AY77/'Elements and ions'!$G$3,"")</f>
        <v>4.0359957277171317</v>
      </c>
      <c r="BX77" s="239">
        <f>IF($AZ77&lt;&gt;"",$AZ77/'Elements and ions'!$B$18,"")</f>
        <v>0.1486587876907455</v>
      </c>
      <c r="BY77" s="239">
        <f>IF($BA77&lt;&gt;"",$BA77/'Elements and ions'!$G$7,"")</f>
        <v>0.28138260040738716</v>
      </c>
      <c r="BZ77" s="241">
        <f>IF($BB77&lt;&gt;"",$BB77/'Elements and ions'!$G$5,"")</f>
        <v>9.2519877663107181E-2</v>
      </c>
      <c r="CA77" s="91">
        <f t="shared" si="761"/>
        <v>6.6069344800759602E-6</v>
      </c>
      <c r="CB77" s="163" t="str">
        <f>IF($BD77&lt;&gt;"",$BD77/'Elements and ions'!$B$14,"")</f>
        <v/>
      </c>
      <c r="CC77" s="89" t="str">
        <f>IF($BE77&lt;&gt;"",$BE77/'Elements and ions'!$B$27, "")</f>
        <v/>
      </c>
      <c r="CD77" s="249" t="str">
        <f>IF($BF77&lt;&gt;"",$BF77/'Elements and ions'!$B$26,"")</f>
        <v/>
      </c>
      <c r="CE77" s="250">
        <f>IF($BG77&lt;&gt;"",$BG77/'Elements and ions'!$G$6,"")</f>
        <v>0</v>
      </c>
      <c r="CF77" s="91" t="str">
        <f>IF($BH77&lt;&gt;"",$BH77/'Elements and ions'!$G$15,"")</f>
        <v/>
      </c>
      <c r="CG77" s="89" t="str">
        <f>IF($BI77&lt;&gt;"",$BI77/'Elements and ions'!$G$16,"")</f>
        <v/>
      </c>
      <c r="CH77" s="90">
        <f>IF($BJ77&lt;&gt;"",$BJ77/'Elements and ions'!$G$2,"")</f>
        <v>5.3204785648479976E-2</v>
      </c>
      <c r="CI77" s="91" t="str">
        <f>IF($BK77&lt;&gt;"",$BK77/'Elements and ions'!$B$15, "")</f>
        <v/>
      </c>
      <c r="CJ77" s="88" t="str">
        <f>IF($BL77&lt;&gt;"", $BL77/'Elements and ions'!$G$17,"")</f>
        <v/>
      </c>
      <c r="CK77" s="89">
        <f t="shared" si="762"/>
        <v>1.5135612484362064E-3</v>
      </c>
      <c r="CL77" s="163" t="str">
        <f>IF($BN77&lt;&gt;"", $BN77/'Elements and ions'!$G$19,"")</f>
        <v/>
      </c>
      <c r="CM77" s="89">
        <f>IF($BO77&lt;&gt;"",$BO77/'Elements and ions'!$G$4,"")</f>
        <v>3.0616158519598043E-2</v>
      </c>
      <c r="CN77" s="89">
        <f>IF($BP77&lt;&gt;"",$BP77/'Elements and ions'!$B$10,"")</f>
        <v>5.9478682924257557E-3</v>
      </c>
      <c r="CO77" s="104">
        <f>IF($BQ77&lt;&gt;"",$BQ77/'Elements and ions'!$G$18,"")</f>
        <v>0</v>
      </c>
      <c r="CP77" s="242"/>
      <c r="CQ77" s="238">
        <f t="shared" si="771"/>
        <v>1.4844864071641523E-4</v>
      </c>
      <c r="CR77" s="239">
        <f t="shared" si="772"/>
        <v>2.7896353549898588E-5</v>
      </c>
      <c r="CS77" s="239">
        <f t="shared" si="773"/>
        <v>1.9714905933429813E-3</v>
      </c>
      <c r="CT77" s="241">
        <f t="shared" si="774"/>
        <v>1.6913392306109855E-4</v>
      </c>
      <c r="CU77" s="238">
        <f t="shared" si="775"/>
        <v>4.0359957277171319E-3</v>
      </c>
      <c r="CV77" s="239">
        <f t="shared" si="776"/>
        <v>1.486587876907455E-4</v>
      </c>
      <c r="CW77" s="239">
        <f t="shared" si="777"/>
        <v>2.8138260040738716E-4</v>
      </c>
      <c r="CX77" s="241">
        <f t="shared" si="778"/>
        <v>9.2519877663107175E-5</v>
      </c>
      <c r="CY77" s="258">
        <f t="shared" si="763"/>
        <v>6.6069344800759602E-9</v>
      </c>
      <c r="CZ77" s="259" t="str">
        <f t="shared" si="779"/>
        <v/>
      </c>
      <c r="DA77" s="260" t="str">
        <f t="shared" si="780"/>
        <v/>
      </c>
      <c r="DB77" s="261" t="str">
        <f t="shared" si="781"/>
        <v/>
      </c>
      <c r="DC77" s="262">
        <f t="shared" si="782"/>
        <v>0</v>
      </c>
      <c r="DD77" s="263" t="str">
        <f t="shared" si="783"/>
        <v/>
      </c>
      <c r="DE77" s="259" t="str">
        <f t="shared" si="784"/>
        <v/>
      </c>
      <c r="DF77" s="260">
        <f t="shared" si="785"/>
        <v>5.3204785648479976E-5</v>
      </c>
      <c r="DG77" s="260" t="str">
        <f t="shared" si="786"/>
        <v/>
      </c>
      <c r="DH77" s="264" t="str">
        <f t="shared" si="787"/>
        <v/>
      </c>
      <c r="DI77" s="258">
        <f t="shared" si="764"/>
        <v>1.5135612484362063E-6</v>
      </c>
      <c r="DJ77" s="260" t="str">
        <f t="shared" si="788"/>
        <v/>
      </c>
      <c r="DK77" s="260">
        <f t="shared" si="789"/>
        <v>3.0616158519598042E-5</v>
      </c>
      <c r="DL77" s="260">
        <f t="shared" si="790"/>
        <v>5.947868292425756E-6</v>
      </c>
      <c r="DM77" s="265">
        <f t="shared" si="791"/>
        <v>0</v>
      </c>
      <c r="DN77" s="242"/>
      <c r="DO77" s="238">
        <f t="shared" si="792"/>
        <v>0.14844864071641523</v>
      </c>
      <c r="DP77" s="239">
        <f t="shared" si="793"/>
        <v>2.7896353549898587E-2</v>
      </c>
      <c r="DQ77" s="239">
        <f t="shared" si="794"/>
        <v>3.9429811866859623</v>
      </c>
      <c r="DR77" s="241">
        <f t="shared" si="795"/>
        <v>0.33826784612219712</v>
      </c>
      <c r="DS77" s="238">
        <f t="shared" si="796"/>
        <v>-4.0359957277171317</v>
      </c>
      <c r="DT77" s="239">
        <f t="shared" si="797"/>
        <v>-0.1486587876907455</v>
      </c>
      <c r="DU77" s="239">
        <f t="shared" si="798"/>
        <v>-0.28138260040738716</v>
      </c>
      <c r="DV77" s="241">
        <f t="shared" si="799"/>
        <v>-0.18503975532621436</v>
      </c>
      <c r="DW77" s="91">
        <f t="shared" si="765"/>
        <v>6.6069344800759602E-6</v>
      </c>
      <c r="DX77" s="89">
        <f t="shared" si="800"/>
        <v>0</v>
      </c>
      <c r="DY77" s="89">
        <f t="shared" si="801"/>
        <v>0</v>
      </c>
      <c r="DZ77" s="89">
        <f t="shared" si="802"/>
        <v>0</v>
      </c>
      <c r="EA77" s="90">
        <f t="shared" si="803"/>
        <v>0</v>
      </c>
      <c r="EB77" s="91">
        <f t="shared" si="766"/>
        <v>-1.5135612484362064E-3</v>
      </c>
      <c r="EC77" s="89">
        <f t="shared" si="804"/>
        <v>0</v>
      </c>
      <c r="ED77" s="89">
        <f t="shared" si="805"/>
        <v>-6.1232317039196085E-2</v>
      </c>
      <c r="EE77" s="89">
        <f t="shared" si="806"/>
        <v>-5.9478682924257557E-3</v>
      </c>
      <c r="EF77" s="90">
        <f t="shared" si="807"/>
        <v>0</v>
      </c>
      <c r="EG77" s="242"/>
      <c r="EH77" s="245">
        <f t="shared" si="808"/>
        <v>4.457600634008954</v>
      </c>
      <c r="EI77" s="246">
        <f t="shared" si="809"/>
        <v>-4.7197706177215375</v>
      </c>
      <c r="EJ77" s="198">
        <f t="shared" si="810"/>
        <v>-2.8567002088223088</v>
      </c>
      <c r="EK77" s="198">
        <f t="shared" si="811"/>
        <v>1.125674256545575E-2</v>
      </c>
      <c r="EL77" s="101">
        <f>IF(AND(CS77&lt;&gt;"",DK77&lt;&gt;""),LOG(CS77*DK77/Minerals!$C$6),"")</f>
        <v>1.2609174133156</v>
      </c>
      <c r="EM77" s="94">
        <f>IF(AND(CS77&lt;&gt;"",DK77&lt;&gt;""),LOG(CS77*DK77/Minerals!$C$5),"")</f>
        <v>1.1304378839593823</v>
      </c>
      <c r="EN77" s="94">
        <f>IF(AND(CS77&lt;&gt;"",DL77&lt;&gt;""),LOG(CS77*DL77^2/Minerals!$C$2),"")</f>
        <v>-2.5865576601315738</v>
      </c>
      <c r="EO77" s="94">
        <f>IF(AND(CS77&lt;&gt;"",CX77&lt;&gt;""),LOG($CS77*$CX77/Minerals!$C$3),"")</f>
        <v>-2.1389898759773081</v>
      </c>
      <c r="EP77" s="95">
        <f>IF(AND(CS77&lt;&gt;"",CX77&lt;&gt;""),LOG($CS77*$CX77/Minerals!$C$4),"")</f>
        <v>-2.3789743874432103</v>
      </c>
      <c r="EQ77" s="199"/>
      <c r="ER77" s="101">
        <f t="shared" si="767"/>
        <v>0.8954463999487281</v>
      </c>
      <c r="ES77" s="94">
        <f t="shared" si="767"/>
        <v>0.8954463999487281</v>
      </c>
      <c r="ET77" s="94">
        <f t="shared" si="768"/>
        <v>0.64292213619678595</v>
      </c>
      <c r="EU77" s="94">
        <f t="shared" si="768"/>
        <v>0.64292213619678595</v>
      </c>
      <c r="EV77" s="95">
        <f t="shared" si="768"/>
        <v>0.64292213619678595</v>
      </c>
      <c r="EW77" s="101">
        <f t="shared" si="769"/>
        <v>0.8954463999487281</v>
      </c>
      <c r="EX77" s="94">
        <f t="shared" si="758"/>
        <v>0.64292213619678595</v>
      </c>
      <c r="EY77" s="94">
        <f t="shared" si="769"/>
        <v>0.8954463999487281</v>
      </c>
      <c r="EZ77" s="94">
        <f t="shared" si="769"/>
        <v>0.8954463999487281</v>
      </c>
      <c r="FA77" s="94">
        <f t="shared" si="769"/>
        <v>0.8954463999487281</v>
      </c>
      <c r="FB77" s="95">
        <f t="shared" si="759"/>
        <v>0.64292213619678595</v>
      </c>
      <c r="FC77" s="199"/>
      <c r="FD77" s="101">
        <f t="shared" si="812"/>
        <v>1.329278009067962E-4</v>
      </c>
      <c r="FE77" s="94">
        <f t="shared" si="813"/>
        <v>2.497968935795361E-5</v>
      </c>
      <c r="FF77" s="94">
        <f t="shared" si="814"/>
        <v>1.2675149437639385E-3</v>
      </c>
      <c r="FG77" s="94">
        <f t="shared" si="815"/>
        <v>1.0873994311778433E-4</v>
      </c>
      <c r="FH77" s="95" t="str">
        <f t="shared" si="816"/>
        <v/>
      </c>
      <c r="FI77" s="101">
        <f t="shared" si="817"/>
        <v>3.6140178445927527E-3</v>
      </c>
      <c r="FJ77" s="94">
        <f t="shared" si="818"/>
        <v>1.9683806037559402E-5</v>
      </c>
      <c r="FK77" s="94">
        <f t="shared" si="819"/>
        <v>1.3311597625842035E-4</v>
      </c>
      <c r="FL77" s="94">
        <f t="shared" si="820"/>
        <v>2.5196303654300637E-4</v>
      </c>
      <c r="FM77" s="94">
        <f t="shared" si="821"/>
        <v>5.325997249821832E-6</v>
      </c>
      <c r="FN77" s="95">
        <f t="shared" si="822"/>
        <v>5.9483077387830166E-5</v>
      </c>
      <c r="FO77" s="199"/>
      <c r="FP77" s="101">
        <f>IF(EL77&lt;&gt;"",LOG(FF77*FJ77/Minerals!$C$6),"")</f>
        <v>0.87723417139515736</v>
      </c>
      <c r="FQ77" s="94">
        <f>IF(EL77&lt;&gt;"",LOG(FF77*FJ77/Minerals!$C$5),"")</f>
        <v>0.7467546420389396</v>
      </c>
      <c r="FR77" s="94">
        <f>IF(EN77&lt;&gt;"",LOG(FF77*FM77^2/Minerals!$C$2),"")</f>
        <v>-2.8743200915719056</v>
      </c>
      <c r="FS77" s="94">
        <f>IF(EO77&lt;&gt;"",LOG($FF77*$FN77/Minerals!$C$3),"")</f>
        <v>-2.5226731178977504</v>
      </c>
      <c r="FT77" s="95">
        <f>IF(EP77&lt;&gt;"",LOG($FF77*$FN77/Minerals!$C$4),"")</f>
        <v>-2.7626576293636531</v>
      </c>
      <c r="FU77" s="96"/>
      <c r="FV77" s="101">
        <f>IF(FP77&lt;&gt;"",LOG(FF77*FJ77/(EXP(-1*Minerals!$E$6/'Other Constants'!$B$2*(1/(273.15+'ppm-mgL-1'!$D77)-1/298.15)+LN(Minerals!$C$6)))),"")</f>
        <v>-0.22513974562209904</v>
      </c>
      <c r="FW77" s="94">
        <f>IF(FP77&lt;&gt;"",LOG(FF77*FJ77/(EXP(-1*Minerals!$E$5/'Other Constants'!$B$2*(1/(273.15+'ppm-mgL-1'!$D77)-1/298.15)+LN(Minerals!$C$5)))),"")</f>
        <v>-0.35571893289037299</v>
      </c>
      <c r="FX77" s="94">
        <f>IF(FR77&lt;&gt;"",LOG(FF77*FM77^2/(EXP(-1*Minerals!$E$2/'Other Constants'!$B$2*(1/(273.15+'ppm-mgL-1'!$D77)-1/298.15)+LN(Minerals!$C$2)))),"")</f>
        <v>-2.8277134080334712</v>
      </c>
      <c r="FY77" s="94">
        <f>IF(FS77&lt;&gt;"",LOG($FF77*$FN77/(EXP(-1*Minerals!$E$3/'Other Constants'!$B$2*(1/(273.15+'ppm-mgL-1'!$D77)-1/298.15)+LN(Minerals!$C$3)))),"")</f>
        <v>-1.5723884194131612</v>
      </c>
      <c r="FZ77" s="95">
        <f>IF(FT77&lt;&gt;"",LOG($FF77*$FN77/(EXP(-1*Minerals!$E$4/'Other Constants'!$B$2*(1/(273.15+'ppm-mgL-1'!$D77)-1/298.15)+LN(Minerals!$C$4)))),"")</f>
        <v>-2.7898808490070937</v>
      </c>
      <c r="GA77" s="96"/>
      <c r="GB77" s="96"/>
      <c r="GC77" s="101">
        <f>10^(-1825000*(79.755*EXP(-0.0046*($D77-20))*($D77+273.15))^-1.5*$EK77^0.5/(1+'Elements and ions'!$D$12*$EK77^0.5/(2*(79.755*EXP(-0.0046*($D77-20))*($D77+273.15))^0.5)))</f>
        <v>0.89589437791558368</v>
      </c>
      <c r="GD77" s="94">
        <f>10^(-1825000*(79.755*EXP(-0.0046*($D77-20))*($D77+273.15))^-1.5*$EK77^0.5/(1+'Elements and ions'!$D$20*$EK77^0.5/(2*(79.755*EXP(-0.0046*($D77-20))*($D77+273.15))^0.5)))</f>
        <v>0.89280120442818889</v>
      </c>
      <c r="GE77" s="94">
        <f>10^(-1825000*(79.755*EXP(-0.0046*($D77-20))*($D77+273.15))^-1.5*4*$EK77^0.5/(1+'Elements and ions'!$D$21*$EK77^0.5/(2*(79.755*EXP(-0.0046*($D77-20))*($D77+273.15))^0.5)))</f>
        <v>0.66070450870621544</v>
      </c>
      <c r="GF77" s="94">
        <f>10^(-1825000*(79.755*EXP(-0.0046*($D77-20))*($D77+273.15))^-1.5*4*$EK77^0.5/(1+'Elements and ions'!$D$13*$EK77^0.5/(2*(79.755*EXP(-0.0046*($D77-20))*($D77+273.15))^0.5)))</f>
        <v>0.6757613426356891</v>
      </c>
      <c r="GG77" s="95">
        <f>10^(-1825000*(79.755*EXP(-0.0046*($D77-20))*($D77+273.15))^-1.5*4*$EK77^0.5/(1+'Elements and ions'!$D$27*$EK77^0.5/(2*(79.755*EXP(-0.0046*($D77-20))*($D77+273.15))^0.5)))</f>
        <v>0.66070450870621544</v>
      </c>
      <c r="GH77" s="101">
        <f>10^(-1825000*(79.755*EXP(-0.0046*($D77-20))*($D77+273.15))^-1.5*$EK77^0.5/(1+'Elements and ions'!$G$3*$EK77^0.5/(2*(79.755*EXP(-0.0046*($D77-20))*($D77+273.15))^0.5)))</f>
        <v>0.8846086641804749</v>
      </c>
      <c r="GI77" s="94">
        <f>10^(-1825000*(79.755*EXP(-0.0046*($D77-20))*($D77+273.15))^-1.5*4*$EK77^0.5/(1+'Elements and ions'!$G$4*$EK77^0.5/(2*(79.755*EXP(-0.0046*($D77-20))*($D77+273.15))^0.5)))</f>
        <v>0.61225409188150814</v>
      </c>
      <c r="GJ77" s="94">
        <f>10^(-1825000*(79.755*EXP(-0.0046*($D77-20))*($D77+273.15))^-1.5*$EK77^0.5/(1+'Elements and ions'!$D$18*$EK77^0.5/(2*(79.755*EXP(-0.0046*($D77-20))*($D77+273.15))^0.5)))</f>
        <v>0.89280120442818889</v>
      </c>
      <c r="GK77" s="94">
        <f>10^(-1825000*(79.755*EXP(-0.0046*($D77-20))*($D77+273.15))^-1.5*$EK77^0.5/(1+'Elements and ions'!$I$7*$EK77^0.5/(2*(79.755*EXP(-0.0046*($D77-20))*($D77+273.15))^0.5)))</f>
        <v>0.89280120442818889</v>
      </c>
      <c r="GL77" s="94">
        <f>10^(-1825000*(79.755*EXP(-0.0046*($D77-20))*($D77+273.15))^-1.5*$EK77^0.5/(1+'Elements and ions'!$D$10*$EK77^0.5/(2*(79.755*EXP(-0.0046*($D77-20))*($D77+273.15))^0.5)))</f>
        <v>0.89437040596612016</v>
      </c>
      <c r="GM77" s="95">
        <f>10^(-1825000*(79.755*EXP(-0.0046*($D77-20))*($D77+273.15))^-1.5*4*$EK77^0.5/(1+'Elements and ions'!$I$5*$EK77^0.5/(2*(79.755*EXP(-0.0046*($D77-20))*($D77+273.15))^0.5)))</f>
        <v>0.64420967795321504</v>
      </c>
      <c r="GN77" s="96"/>
      <c r="GO77" s="101">
        <f t="shared" si="823"/>
        <v>1.3299430262704682E-4</v>
      </c>
      <c r="GP77" s="94">
        <f t="shared" si="824"/>
        <v>2.4905898048504043E-5</v>
      </c>
      <c r="GQ77" s="94">
        <f t="shared" si="825"/>
        <v>1.3025727238935997E-3</v>
      </c>
      <c r="GR77" s="94">
        <f t="shared" si="826"/>
        <v>1.142941669330093E-4</v>
      </c>
      <c r="GS77" s="95" t="str">
        <f t="shared" si="827"/>
        <v/>
      </c>
      <c r="GT77" s="101">
        <f t="shared" si="828"/>
        <v>3.5702767893339557E-3</v>
      </c>
      <c r="GU77" s="94">
        <f t="shared" si="829"/>
        <v>1.8744868331316798E-5</v>
      </c>
      <c r="GV77" s="94">
        <f t="shared" si="830"/>
        <v>1.32722744699132E-4</v>
      </c>
      <c r="GW77" s="94">
        <f t="shared" si="831"/>
        <v>2.5121872454885103E-4</v>
      </c>
      <c r="GX77" s="94">
        <f t="shared" si="832"/>
        <v>5.3195973793298369E-6</v>
      </c>
      <c r="GY77" s="102">
        <f t="shared" si="833"/>
        <v>5.960220059362113E-5</v>
      </c>
      <c r="GZ77" s="199"/>
      <c r="HA77" s="92">
        <f>IF(AND(GQ77&lt;&gt;"",GU77&lt;&gt;""),LOG(GQ77*GU77/Minerals!$C$6),"")</f>
        <v>0.86785638012753707</v>
      </c>
      <c r="HB77" s="94">
        <f>IF(AND(GQ77&lt;&gt;"",GU77&lt;&gt;""),LOG(GQ77*GU77/Minerals!$C$5),"")</f>
        <v>0.73737685077131931</v>
      </c>
      <c r="HC77" s="94">
        <f>IF(AND(GQ77&lt;&gt;"",GX77&lt;&gt;""),LOG(GQ77*GX77^2/Minerals!$C$2),"")</f>
        <v>-2.8635155490344979</v>
      </c>
      <c r="HD77" s="94">
        <f>IF(AND(GQ77&lt;&gt;"",GY77&lt;&gt;""),LOG($GQ77*$GY77/Minerals!$C$3),"")</f>
        <v>-2.5099553605620168</v>
      </c>
      <c r="HE77" s="102">
        <f>IF(AND(GQ77&lt;&gt;"",GY77&lt;&gt;""),LOG($GQ77*$GY77/Minerals!$C$3),"")</f>
        <v>-2.5099553605620168</v>
      </c>
      <c r="HF77" s="199"/>
      <c r="HG77" s="92">
        <f>IF(HA77&lt;&gt;"",LOG(GQ77*GU77/(EXP(-1*Minerals!$E$6/'Other Constants'!$B$2*(1/(273.15+'ppm-mgL-1'!$D77)-1/298.15)+LN(Minerals!$C$6)))),"")</f>
        <v>-0.23451753688971927</v>
      </c>
      <c r="HH77" s="94">
        <f>IF(HA77&lt;&gt;"",LOG(GQ77*GU77/(EXP(-1*Minerals!$E$5/'Other Constants'!$B$2*(1/(273.15+'ppm-mgL-1'!$D77)-1/298.15)+LN(Minerals!$C$5)))),"")</f>
        <v>-0.36509672415799327</v>
      </c>
      <c r="HI77" s="94">
        <f>IF(HC77&lt;&gt;"",LOG(GQ77*GX77^2/(EXP(-1*Minerals!$E$2/'Other Constants'!$B$2*(1/(273.15+'ppm-mgL-1'!$D77)-1/298.15)+LN(Minerals!$C$2)))),"")</f>
        <v>-2.816908865496063</v>
      </c>
      <c r="HJ77" s="94">
        <f>IF(HD77&lt;&gt;"",LOG($FF77*$FN77/(EXP(-1*Minerals!$E$3/'Other Constants'!$B$2*(1/(273.15+'ppm-mgL-1'!$D77)-1/298.15)+LN(Minerals!$C$3)))),"")</f>
        <v>-1.5723884194131612</v>
      </c>
      <c r="HK77" s="95">
        <f>IF(HE77&lt;&gt;"",LOG($FF77*$FN77/(EXP(-1*Minerals!$E$4/'Other Constants'!$B$2*(1/(273.15+'ppm-mgL-1'!$D77)-1/298.15)+LN(Minerals!$C$4)))),"")</f>
        <v>-2.7898808490070937</v>
      </c>
      <c r="HL77" s="199"/>
      <c r="HM77" s="199"/>
    </row>
    <row r="78" spans="1:221" x14ac:dyDescent="0.25">
      <c r="A78" s="267" t="str">
        <f>'WC samples'!B49</f>
        <v>ISSR 4</v>
      </c>
      <c r="C78" s="266">
        <f>'WC samples'!A49</f>
        <v>41685</v>
      </c>
      <c r="D78" s="4">
        <f>'WC samples'!I49</f>
        <v>21.8</v>
      </c>
      <c r="E78" s="4">
        <f>'WC samples'!F49</f>
        <v>8.1</v>
      </c>
      <c r="AD78" s="83">
        <f>IF(E78&lt;&gt;"",10^(-2*$E78)/(10^(-2*$E78)+10^(-$E78-pKa!$B$2)+(10^(-pKa!$B$2-pKa!$C$2))),"")</f>
        <v>1.5505356401533039E-2</v>
      </c>
      <c r="AE78" s="84">
        <f>IF(E78&lt;&gt;"",10^(-$E78-pKa!$B$2)/(10^(-2*$E78)+10^(-$E78-pKa!$B$2)+10^(-pKa!$B$2-pKa!$C$2)),"")</f>
        <v>0.97832185003302907</v>
      </c>
      <c r="AF78" s="212">
        <f>IF(E78&lt;&gt;"",10^(-pKa!$B$2-pKa!$C$2)/(10^(-2*$E78)+10^(-$E78-pKa!$B$2)+10^(-pKa!$B$2-pKa!$C$2)),"")</f>
        <v>6.172793565437853E-3</v>
      </c>
      <c r="AG78" s="152"/>
      <c r="AH78" s="222">
        <f>IF($AK78&lt;&gt;"",$AK78/'Elements and ions'!$G$3,IF($E78="","",""))</f>
        <v>4.703619525363818</v>
      </c>
      <c r="AI78" s="85">
        <f t="shared" si="770"/>
        <v>4.7479286165368131E-3</v>
      </c>
      <c r="AJ78" s="84">
        <f>IF(AI78&lt;&gt;"",AI78*1000*'Elements and ions'!$B$7,"")</f>
        <v>57.025946234638702</v>
      </c>
      <c r="AK78" s="99">
        <f>'WC samples'!H49</f>
        <v>287</v>
      </c>
      <c r="AL78" s="88">
        <f>IF($AK78&lt;&gt;"",$AK78/'Elements and ions'!$G$3*Minerals!$B$6/2,IF($E78="","","Enter Alk(HCO3-)"))</f>
        <v>235.38534853656796</v>
      </c>
      <c r="AM78" s="199"/>
      <c r="AN78" s="101">
        <f t="shared" si="755"/>
        <v>7.3618325368440983E-5</v>
      </c>
      <c r="AO78" s="94">
        <f t="shared" si="756"/>
        <v>4.6450023079550552E-3</v>
      </c>
      <c r="AP78" s="95">
        <f t="shared" si="757"/>
        <v>2.9307983213316687E-5</v>
      </c>
      <c r="AQ78" s="199"/>
      <c r="AR78" s="199"/>
      <c r="AS78" s="83">
        <f t="shared" si="760"/>
        <v>0.21652448637776761</v>
      </c>
      <c r="AT78" s="83">
        <f>IF(AN78&lt;&gt;"",AN78/'Henrys law constants'!$B$7*1000000,"")</f>
        <v>2165.2448637776761</v>
      </c>
      <c r="AU78" s="268">
        <f>'WC samples'!K49</f>
        <v>3.4076</v>
      </c>
      <c r="AV78" s="269">
        <f>'WC samples'!M49</f>
        <v>1.0878000000000001</v>
      </c>
      <c r="AW78" s="269">
        <f>'WC samples'!O49</f>
        <v>87.117099999999994</v>
      </c>
      <c r="AX78" s="269">
        <f>'WC samples'!N49</f>
        <v>4.4185999999999996</v>
      </c>
      <c r="AY78" s="226">
        <f>AO78*'Elements and ions'!$G$3*1000</f>
        <v>283.42336262412431</v>
      </c>
      <c r="AZ78" s="269">
        <f>'WC samples'!Q49</f>
        <v>5.2142999999999997</v>
      </c>
      <c r="BA78" s="269">
        <f>'WC samples'!T49</f>
        <v>17.654</v>
      </c>
      <c r="BB78" s="270">
        <f>'WC samples'!V49</f>
        <v>8.8445</v>
      </c>
      <c r="BC78" s="222">
        <f>IF($E78&lt;&gt;"",10^-$E78*'Elements and ions'!B79*1000,"")</f>
        <v>0</v>
      </c>
      <c r="BE78" s="6"/>
      <c r="BF78" s="6"/>
      <c r="BG78" s="270">
        <f>'WC samples'!L49</f>
        <v>0</v>
      </c>
      <c r="BH78" s="3"/>
      <c r="BJ78" s="92">
        <f>IF($AN78&lt;&gt;"",$AN78*'Elements and ions'!$G$2*1000,"")</f>
        <v>4.5661604349459708</v>
      </c>
      <c r="BK78" s="229"/>
      <c r="BL78" s="230"/>
      <c r="BM78" s="101">
        <f>IF($E78&lt;&gt;"",(10^-14+$E78)*'Elements and ions'!$G$8,"")</f>
        <v>137.75945400000018</v>
      </c>
      <c r="BO78" s="102">
        <f>IF($AP78&lt;&gt;"",$AP78*'Elements and ions'!$G$4*1000,"")</f>
        <v>1.7587398338495996</v>
      </c>
      <c r="BP78" s="269">
        <f>'WC samples'!P49</f>
        <v>0.1101</v>
      </c>
      <c r="BQ78" s="270">
        <f>'WC samples'!R49</f>
        <v>0</v>
      </c>
      <c r="BR78" s="195"/>
      <c r="BS78" s="238">
        <f>IF($AU78&lt;&gt;"",$AU78/'Elements and ions'!$B$12,"")</f>
        <v>0.14822245314851631</v>
      </c>
      <c r="BT78" s="239">
        <f>IF($AV78&lt;&gt;"",$AV78/'Elements and ions'!$B$20,"")</f>
        <v>2.782218152707407E-2</v>
      </c>
      <c r="BU78" s="239">
        <f>IF($AW78&lt;&gt;"",$AW78/'Elements and ions'!$B$21, "")</f>
        <v>2.1736888068266875</v>
      </c>
      <c r="BV78" s="240">
        <f>IF($AX78&lt;&gt;"",$AX78/'Elements and ions'!$B$13, "")</f>
        <v>0.18179798395391894</v>
      </c>
      <c r="BW78" s="238">
        <f>IF($AY78&lt;&gt;"",$AY78/'Elements and ions'!$G$3,"")</f>
        <v>4.6450023079550551</v>
      </c>
      <c r="BX78" s="239">
        <f>IF($AZ78&lt;&gt;"",$AZ78/'Elements and ions'!$B$18,"")</f>
        <v>0.14707641102304458</v>
      </c>
      <c r="BY78" s="239">
        <f>IF($BA78&lt;&gt;"",$BA78/'Elements and ions'!$G$7,"")</f>
        <v>0.28471943346412942</v>
      </c>
      <c r="BZ78" s="241">
        <f>IF($BB78&lt;&gt;"",$BB78/'Elements and ions'!$G$5,"")</f>
        <v>9.207017090938617E-2</v>
      </c>
      <c r="CA78" s="91">
        <f t="shared" si="761"/>
        <v>7.9432823472428082E-6</v>
      </c>
      <c r="CB78" s="163" t="str">
        <f>IF($BD78&lt;&gt;"",$BD78/'Elements and ions'!$B$14,"")</f>
        <v/>
      </c>
      <c r="CC78" s="89" t="str">
        <f>IF($BE78&lt;&gt;"",$BE78/'Elements and ions'!$B$27, "")</f>
        <v/>
      </c>
      <c r="CD78" s="249" t="str">
        <f>IF($BF78&lt;&gt;"",$BF78/'Elements and ions'!$B$26,"")</f>
        <v/>
      </c>
      <c r="CE78" s="250">
        <f>IF($BG78&lt;&gt;"",$BG78/'Elements and ions'!$G$6,"")</f>
        <v>0</v>
      </c>
      <c r="CF78" s="91" t="str">
        <f>IF($BH78&lt;&gt;"",$BH78/'Elements and ions'!$G$15,"")</f>
        <v/>
      </c>
      <c r="CG78" s="89" t="str">
        <f>IF($BI78&lt;&gt;"",$BI78/'Elements and ions'!$G$16,"")</f>
        <v/>
      </c>
      <c r="CH78" s="90">
        <f>IF($BJ78&lt;&gt;"",$BJ78/'Elements and ions'!$G$2,"")</f>
        <v>7.3618325368440984E-2</v>
      </c>
      <c r="CI78" s="91" t="str">
        <f>IF($BK78&lt;&gt;"",$BK78/'Elements and ions'!$B$15, "")</f>
        <v/>
      </c>
      <c r="CJ78" s="88" t="str">
        <f>IF($BL78&lt;&gt;"", $BL78/'Elements and ions'!$G$17,"")</f>
        <v/>
      </c>
      <c r="CK78" s="89">
        <f t="shared" si="762"/>
        <v>1.2589254117941642E-3</v>
      </c>
      <c r="CL78" s="163" t="str">
        <f>IF($BN78&lt;&gt;"", $BN78/'Elements and ions'!$G$19,"")</f>
        <v/>
      </c>
      <c r="CM78" s="89">
        <f>IF($BO78&lt;&gt;"",$BO78/'Elements and ions'!$G$4,"")</f>
        <v>2.9307983213316686E-2</v>
      </c>
      <c r="CN78" s="89">
        <f>IF($BP78&lt;&gt;"",$BP78/'Elements and ions'!$B$10,"")</f>
        <v>5.795223884921024E-3</v>
      </c>
      <c r="CO78" s="104">
        <f>IF($BQ78&lt;&gt;"",$BQ78/'Elements and ions'!$G$18,"")</f>
        <v>0</v>
      </c>
      <c r="CP78" s="242"/>
      <c r="CQ78" s="238">
        <f t="shared" si="771"/>
        <v>1.4822245314851631E-4</v>
      </c>
      <c r="CR78" s="239">
        <f t="shared" si="772"/>
        <v>2.7822181527074069E-5</v>
      </c>
      <c r="CS78" s="239">
        <f t="shared" si="773"/>
        <v>2.1736888068266875E-3</v>
      </c>
      <c r="CT78" s="241">
        <f t="shared" si="774"/>
        <v>1.8179798395391895E-4</v>
      </c>
      <c r="CU78" s="238">
        <f t="shared" si="775"/>
        <v>4.6450023079550552E-3</v>
      </c>
      <c r="CV78" s="239">
        <f t="shared" si="776"/>
        <v>1.4707641102304459E-4</v>
      </c>
      <c r="CW78" s="239">
        <f t="shared" si="777"/>
        <v>2.847194334641294E-4</v>
      </c>
      <c r="CX78" s="241">
        <f t="shared" si="778"/>
        <v>9.2070170909386176E-5</v>
      </c>
      <c r="CY78" s="258">
        <f t="shared" si="763"/>
        <v>7.9432823472428087E-9</v>
      </c>
      <c r="CZ78" s="259" t="str">
        <f t="shared" si="779"/>
        <v/>
      </c>
      <c r="DA78" s="260" t="str">
        <f t="shared" si="780"/>
        <v/>
      </c>
      <c r="DB78" s="261" t="str">
        <f t="shared" si="781"/>
        <v/>
      </c>
      <c r="DC78" s="262">
        <f t="shared" si="782"/>
        <v>0</v>
      </c>
      <c r="DD78" s="263" t="str">
        <f t="shared" si="783"/>
        <v/>
      </c>
      <c r="DE78" s="259" t="str">
        <f t="shared" si="784"/>
        <v/>
      </c>
      <c r="DF78" s="260">
        <f t="shared" si="785"/>
        <v>7.3618325368440983E-5</v>
      </c>
      <c r="DG78" s="260" t="str">
        <f t="shared" si="786"/>
        <v/>
      </c>
      <c r="DH78" s="264" t="str">
        <f t="shared" si="787"/>
        <v/>
      </c>
      <c r="DI78" s="258">
        <f t="shared" si="764"/>
        <v>1.2589254117941642E-6</v>
      </c>
      <c r="DJ78" s="260" t="str">
        <f t="shared" si="788"/>
        <v/>
      </c>
      <c r="DK78" s="260">
        <f t="shared" si="789"/>
        <v>2.9307983213316687E-5</v>
      </c>
      <c r="DL78" s="260">
        <f t="shared" si="790"/>
        <v>5.7952238849210236E-6</v>
      </c>
      <c r="DM78" s="265">
        <f t="shared" si="791"/>
        <v>0</v>
      </c>
      <c r="DN78" s="242"/>
      <c r="DO78" s="238">
        <f t="shared" si="792"/>
        <v>0.14822245314851631</v>
      </c>
      <c r="DP78" s="239">
        <f t="shared" si="793"/>
        <v>2.782218152707407E-2</v>
      </c>
      <c r="DQ78" s="239">
        <f t="shared" si="794"/>
        <v>4.3473776136533751</v>
      </c>
      <c r="DR78" s="241">
        <f t="shared" si="795"/>
        <v>0.36359596790783788</v>
      </c>
      <c r="DS78" s="238">
        <f t="shared" si="796"/>
        <v>-4.6450023079550551</v>
      </c>
      <c r="DT78" s="239">
        <f t="shared" si="797"/>
        <v>-0.14707641102304458</v>
      </c>
      <c r="DU78" s="239">
        <f t="shared" si="798"/>
        <v>-0.28471943346412942</v>
      </c>
      <c r="DV78" s="241">
        <f t="shared" si="799"/>
        <v>-0.18414034181877234</v>
      </c>
      <c r="DW78" s="91">
        <f t="shared" si="765"/>
        <v>7.9432823472428082E-6</v>
      </c>
      <c r="DX78" s="89">
        <f t="shared" si="800"/>
        <v>0</v>
      </c>
      <c r="DY78" s="89">
        <f t="shared" si="801"/>
        <v>0</v>
      </c>
      <c r="DZ78" s="89">
        <f t="shared" si="802"/>
        <v>0</v>
      </c>
      <c r="EA78" s="90">
        <f t="shared" si="803"/>
        <v>0</v>
      </c>
      <c r="EB78" s="91">
        <f t="shared" si="766"/>
        <v>-1.2589254117941642E-3</v>
      </c>
      <c r="EC78" s="89">
        <f t="shared" si="804"/>
        <v>0</v>
      </c>
      <c r="ED78" s="89">
        <f t="shared" si="805"/>
        <v>-5.8615966426633373E-2</v>
      </c>
      <c r="EE78" s="89">
        <f t="shared" si="806"/>
        <v>-5.795223884921024E-3</v>
      </c>
      <c r="EF78" s="90">
        <f t="shared" si="807"/>
        <v>0</v>
      </c>
      <c r="EG78" s="242"/>
      <c r="EH78" s="245">
        <f t="shared" si="808"/>
        <v>4.8870261595191504</v>
      </c>
      <c r="EI78" s="246">
        <f t="shared" si="809"/>
        <v>-5.3266086099843504</v>
      </c>
      <c r="EJ78" s="198">
        <f t="shared" si="810"/>
        <v>-4.3038786914305209</v>
      </c>
      <c r="EK78" s="198">
        <f t="shared" si="811"/>
        <v>1.241954685226134E-2</v>
      </c>
      <c r="EL78" s="101">
        <f>IF(AND(CS78&lt;&gt;"",DK78&lt;&gt;""),LOG(CS78*DK78/Minerals!$C$6),"")</f>
        <v>1.2843553093685101</v>
      </c>
      <c r="EM78" s="94">
        <f>IF(AND(CS78&lt;&gt;"",DK78&lt;&gt;""),LOG(CS78*DK78/Minerals!$C$5),"")</f>
        <v>1.1538757800122923</v>
      </c>
      <c r="EN78" s="94">
        <f>IF(AND(CS78&lt;&gt;"",DL78&lt;&gt;""),LOG(CS78*DL78^2/Minerals!$C$2),"")</f>
        <v>-2.5667372493740448</v>
      </c>
      <c r="EO78" s="94">
        <f>IF(AND(CS78&lt;&gt;"",CX78&lt;&gt;""),LOG($CS78*$CX78/Minerals!$C$3),"")</f>
        <v>-2.0987033167070095</v>
      </c>
      <c r="EP78" s="95">
        <f>IF(AND(CS78&lt;&gt;"",CX78&lt;&gt;""),LOG($CS78*$CX78/Minerals!$C$4),"")</f>
        <v>-2.3386878281729122</v>
      </c>
      <c r="EQ78" s="199"/>
      <c r="ER78" s="101">
        <f t="shared" si="767"/>
        <v>0.89097520208530889</v>
      </c>
      <c r="ES78" s="94">
        <f t="shared" si="767"/>
        <v>0.89097520208530889</v>
      </c>
      <c r="ET78" s="94">
        <f t="shared" si="768"/>
        <v>0.63017688207149725</v>
      </c>
      <c r="EU78" s="94">
        <f t="shared" si="768"/>
        <v>0.63017688207149725</v>
      </c>
      <c r="EV78" s="95">
        <f t="shared" si="768"/>
        <v>0.63017688207149725</v>
      </c>
      <c r="EW78" s="101">
        <f t="shared" si="769"/>
        <v>0.89097520208530889</v>
      </c>
      <c r="EX78" s="94">
        <f t="shared" si="758"/>
        <v>0.63017688207149725</v>
      </c>
      <c r="EY78" s="94">
        <f t="shared" si="769"/>
        <v>0.89097520208530889</v>
      </c>
      <c r="EZ78" s="94">
        <f t="shared" si="769"/>
        <v>0.89097520208530889</v>
      </c>
      <c r="FA78" s="94">
        <f t="shared" si="769"/>
        <v>0.89097520208530889</v>
      </c>
      <c r="FB78" s="95">
        <f t="shared" si="759"/>
        <v>0.63017688207149725</v>
      </c>
      <c r="FC78" s="199"/>
      <c r="FD78" s="101">
        <f t="shared" si="812"/>
        <v>1.3206253014757955E-4</v>
      </c>
      <c r="FE78" s="94">
        <f t="shared" si="813"/>
        <v>2.4788873808538968E-5</v>
      </c>
      <c r="FF78" s="94">
        <f t="shared" si="814"/>
        <v>1.369808434879755E-3</v>
      </c>
      <c r="FG78" s="94">
        <f t="shared" si="815"/>
        <v>1.1456488669496474E-4</v>
      </c>
      <c r="FH78" s="95" t="str">
        <f t="shared" si="816"/>
        <v/>
      </c>
      <c r="FI78" s="101">
        <f t="shared" si="817"/>
        <v>4.1385818700169818E-3</v>
      </c>
      <c r="FJ78" s="94">
        <f t="shared" si="818"/>
        <v>1.846921348117169E-5</v>
      </c>
      <c r="FK78" s="94">
        <f t="shared" si="819"/>
        <v>1.310414350332391E-4</v>
      </c>
      <c r="FL78" s="94">
        <f t="shared" si="820"/>
        <v>2.5367795476831736E-4</v>
      </c>
      <c r="FM78" s="94">
        <f t="shared" si="821"/>
        <v>5.1634007719971178E-6</v>
      </c>
      <c r="FN78" s="95">
        <f t="shared" si="822"/>
        <v>5.802049323546685E-5</v>
      </c>
      <c r="FO78" s="199"/>
      <c r="FP78" s="101">
        <f>IF(EL78&lt;&gt;"",LOG(FF78*FJ78/Minerals!$C$6),"")</f>
        <v>0.8832802435949727</v>
      </c>
      <c r="FQ78" s="94">
        <f>IF(EL78&lt;&gt;"",LOG(FF78*FJ78/Minerals!$C$5),"")</f>
        <v>0.75280071423875494</v>
      </c>
      <c r="FR78" s="94">
        <f>IF(EN78&lt;&gt;"",LOG(FF78*FM78^2/Minerals!$C$2),"")</f>
        <v>-2.8675435487041976</v>
      </c>
      <c r="FS78" s="94">
        <f>IF(EO78&lt;&gt;"",LOG($FF78*$FN78/Minerals!$C$3),"")</f>
        <v>-2.4997783824805468</v>
      </c>
      <c r="FT78" s="95">
        <f>IF(EP78&lt;&gt;"",LOG($FF78*$FN78/Minerals!$C$4),"")</f>
        <v>-2.7397628939464491</v>
      </c>
      <c r="FU78" s="96"/>
      <c r="FV78" s="101">
        <f>IF(FP78&lt;&gt;"",LOG(FF78*FJ78/(EXP(-1*Minerals!$E$6/'Other Constants'!$B$2*(1/(273.15+'ppm-mgL-1'!$D78)-1/298.15)+LN(Minerals!$C$6)))),"")</f>
        <v>-0.3782842303489734</v>
      </c>
      <c r="FW78" s="94">
        <f>IF(FP78&lt;&gt;"",LOG(FF78*FJ78/(EXP(-1*Minerals!$E$5/'Other Constants'!$B$2*(1/(273.15+'ppm-mgL-1'!$D78)-1/298.15)+LN(Minerals!$C$5)))),"")</f>
        <v>-0.50887780892157464</v>
      </c>
      <c r="FX78" s="94">
        <f>IF(FR78&lt;&gt;"",LOG(FF78*FM78^2/(EXP(-1*Minerals!$E$2/'Other Constants'!$B$2*(1/(273.15+'ppm-mgL-1'!$D78)-1/298.15)+LN(Minerals!$C$2)))),"")</f>
        <v>-2.8142065318419625</v>
      </c>
      <c r="FY78" s="94">
        <f>IF(FS78&lt;&gt;"",LOG($FF78*$FN78/(EXP(-1*Minerals!$E$3/'Other Constants'!$B$2*(1/(273.15+'ppm-mgL-1'!$D78)-1/298.15)+LN(Minerals!$C$3)))),"")</f>
        <v>-1.4122658812917814</v>
      </c>
      <c r="FZ78" s="95">
        <f>IF(FT78&lt;&gt;"",LOG($FF78*$FN78/(EXP(-1*Minerals!$E$4/'Other Constants'!$B$2*(1/(273.15+'ppm-mgL-1'!$D78)-1/298.15)+LN(Minerals!$C$4)))),"")</f>
        <v>-2.7709173382220027</v>
      </c>
      <c r="GA78" s="96"/>
      <c r="GB78" s="96"/>
      <c r="GC78" s="101">
        <f>10^(-1825000*(79.755*EXP(-0.0046*($D78-20))*($D78+273.15))^-1.5*$EK78^0.5/(1+'Elements and ions'!$D$12*$EK78^0.5/(2*(79.755*EXP(-0.0046*($D78-20))*($D78+273.15))^0.5)))</f>
        <v>0.89164618362574566</v>
      </c>
      <c r="GD78" s="94">
        <f>10^(-1825000*(79.755*EXP(-0.0046*($D78-20))*($D78+273.15))^-1.5*$EK78^0.5/(1+'Elements and ions'!$D$20*$EK78^0.5/(2*(79.755*EXP(-0.0046*($D78-20))*($D78+273.15))^0.5)))</f>
        <v>0.88828999407202536</v>
      </c>
      <c r="GE78" s="94">
        <f>10^(-1825000*(79.755*EXP(-0.0046*($D78-20))*($D78+273.15))^-1.5*4*$EK78^0.5/(1+'Elements and ions'!$D$21*$EK78^0.5/(2*(79.755*EXP(-0.0046*($D78-20))*($D78+273.15))^0.5)))</f>
        <v>0.64967484618666149</v>
      </c>
      <c r="GF78" s="94">
        <f>10^(-1825000*(79.755*EXP(-0.0046*($D78-20))*($D78+273.15))^-1.5*4*$EK78^0.5/(1+'Elements and ions'!$D$13*$EK78^0.5/(2*(79.755*EXP(-0.0046*($D78-20))*($D78+273.15))^0.5)))</f>
        <v>0.66569419382647432</v>
      </c>
      <c r="GG78" s="95">
        <f>10^(-1825000*(79.755*EXP(-0.0046*($D78-20))*($D78+273.15))^-1.5*4*$EK78^0.5/(1+'Elements and ions'!$D$27*$EK78^0.5/(2*(79.755*EXP(-0.0046*($D78-20))*($D78+273.15))^0.5)))</f>
        <v>0.64967484618666149</v>
      </c>
      <c r="GH78" s="101">
        <f>10^(-1825000*(79.755*EXP(-0.0046*($D78-20))*($D78+273.15))^-1.5*$EK78^0.5/(1+'Elements and ions'!$G$3*$EK78^0.5/(2*(79.755*EXP(-0.0046*($D78-20))*($D78+273.15))^0.5)))</f>
        <v>0.87936110437508386</v>
      </c>
      <c r="GI78" s="94">
        <f>10^(-1825000*(79.755*EXP(-0.0046*($D78-20))*($D78+273.15))^-1.5*4*$EK78^0.5/(1+'Elements and ions'!$G$4*$EK78^0.5/(2*(79.755*EXP(-0.0046*($D78-20))*($D78+273.15))^0.5)))</f>
        <v>0.59784506317670827</v>
      </c>
      <c r="GJ78" s="94">
        <f>10^(-1825000*(79.755*EXP(-0.0046*($D78-20))*($D78+273.15))^-1.5*$EK78^0.5/(1+'Elements and ions'!$D$18*$EK78^0.5/(2*(79.755*EXP(-0.0046*($D78-20))*($D78+273.15))^0.5)))</f>
        <v>0.88828999407202536</v>
      </c>
      <c r="GK78" s="94">
        <f>10^(-1825000*(79.755*EXP(-0.0046*($D78-20))*($D78+273.15))^-1.5*$EK78^0.5/(1+'Elements and ions'!$I$7*$EK78^0.5/(2*(79.755*EXP(-0.0046*($D78-20))*($D78+273.15))^0.5)))</f>
        <v>0.88828999407202536</v>
      </c>
      <c r="GL78" s="94">
        <f>10^(-1825000*(79.755*EXP(-0.0046*($D78-20))*($D78+273.15))^-1.5*$EK78^0.5/(1+'Elements and ions'!$D$10*$EK78^0.5/(2*(79.755*EXP(-0.0046*($D78-20))*($D78+273.15))^0.5)))</f>
        <v>0.88999365072788594</v>
      </c>
      <c r="GM78" s="95">
        <f>10^(-1825000*(79.755*EXP(-0.0046*($D78-20))*($D78+273.15))^-1.5*4*$EK78^0.5/(1+'Elements and ions'!$I$5*$EK78^0.5/(2*(79.755*EXP(-0.0046*($D78-20))*($D78+273.15))^0.5)))</f>
        <v>0.63207733875474148</v>
      </c>
      <c r="GN78" s="96"/>
      <c r="GO78" s="101">
        <f t="shared" si="823"/>
        <v>1.3216198467752045E-4</v>
      </c>
      <c r="GP78" s="94">
        <f t="shared" si="824"/>
        <v>2.4714165463755437E-5</v>
      </c>
      <c r="GQ78" s="94">
        <f t="shared" si="825"/>
        <v>1.4121909412327959E-3</v>
      </c>
      <c r="GR78" s="94">
        <f t="shared" si="826"/>
        <v>1.2102186236748239E-4</v>
      </c>
      <c r="GS78" s="95" t="str">
        <f t="shared" si="827"/>
        <v/>
      </c>
      <c r="GT78" s="101">
        <f t="shared" si="828"/>
        <v>4.0846343593481703E-3</v>
      </c>
      <c r="GU78" s="94">
        <f t="shared" si="829"/>
        <v>1.7521633075747221E-5</v>
      </c>
      <c r="GV78" s="94">
        <f t="shared" si="830"/>
        <v>1.3064650427579505E-4</v>
      </c>
      <c r="GW78" s="94">
        <f t="shared" si="831"/>
        <v>2.5291342386404191E-4</v>
      </c>
      <c r="GX78" s="94">
        <f t="shared" si="832"/>
        <v>5.1577124621263039E-6</v>
      </c>
      <c r="GY78" s="102">
        <f t="shared" si="833"/>
        <v>5.8195468607099028E-5</v>
      </c>
      <c r="GZ78" s="199"/>
      <c r="HA78" s="92">
        <f>IF(AND(GQ78&lt;&gt;"",GU78&lt;&gt;""),LOG(GQ78*GU78/Minerals!$C$6),"")</f>
        <v>0.87364000896758343</v>
      </c>
      <c r="HB78" s="94">
        <f>IF(AND(GQ78&lt;&gt;"",GU78&lt;&gt;""),LOG(GQ78*GU78/Minerals!$C$5),"")</f>
        <v>0.74316047961136567</v>
      </c>
      <c r="HC78" s="94">
        <f>IF(AND(GQ78&lt;&gt;"",GX78&lt;&gt;""),LOG(GQ78*GX78^2/Minerals!$C$2),"")</f>
        <v>-2.8552673803559121</v>
      </c>
      <c r="HD78" s="94">
        <f>IF(AND(GQ78&lt;&gt;"",GY78&lt;&gt;""),LOG($GQ78*$GY78/Minerals!$C$3),"")</f>
        <v>-2.4852370441558511</v>
      </c>
      <c r="HE78" s="102">
        <f>IF(AND(GQ78&lt;&gt;"",GY78&lt;&gt;""),LOG($GQ78*$GY78/Minerals!$C$3),"")</f>
        <v>-2.4852370441558511</v>
      </c>
      <c r="HF78" s="199"/>
      <c r="HG78" s="92">
        <f>IF(HA78&lt;&gt;"",LOG(GQ78*GU78/(EXP(-1*Minerals!$E$6/'Other Constants'!$B$2*(1/(273.15+'ppm-mgL-1'!$D78)-1/298.15)+LN(Minerals!$C$6)))),"")</f>
        <v>-0.38792446497636268</v>
      </c>
      <c r="HH78" s="94">
        <f>IF(HA78&lt;&gt;"",LOG(GQ78*GU78/(EXP(-1*Minerals!$E$5/'Other Constants'!$B$2*(1/(273.15+'ppm-mgL-1'!$D78)-1/298.15)+LN(Minerals!$C$5)))),"")</f>
        <v>-0.51851804354896391</v>
      </c>
      <c r="HI78" s="94">
        <f>IF(HC78&lt;&gt;"",LOG(GQ78*GX78^2/(EXP(-1*Minerals!$E$2/'Other Constants'!$B$2*(1/(273.15+'ppm-mgL-1'!$D78)-1/298.15)+LN(Minerals!$C$2)))),"")</f>
        <v>-2.8019303634936765</v>
      </c>
      <c r="HJ78" s="94">
        <f>IF(HD78&lt;&gt;"",LOG($FF78*$FN78/(EXP(-1*Minerals!$E$3/'Other Constants'!$B$2*(1/(273.15+'ppm-mgL-1'!$D78)-1/298.15)+LN(Minerals!$C$3)))),"")</f>
        <v>-1.4122658812917814</v>
      </c>
      <c r="HK78" s="95">
        <f>IF(HE78&lt;&gt;"",LOG($FF78*$FN78/(EXP(-1*Minerals!$E$4/'Other Constants'!$B$2*(1/(273.15+'ppm-mgL-1'!$D78)-1/298.15)+LN(Minerals!$C$4)))),"")</f>
        <v>-2.7709173382220027</v>
      </c>
      <c r="HL78" s="199"/>
      <c r="HM78" s="199"/>
    </row>
    <row r="79" spans="1:221" x14ac:dyDescent="0.25">
      <c r="A79" s="267" t="str">
        <f>'WC samples'!B50</f>
        <v>ISSR 4</v>
      </c>
      <c r="C79" s="266">
        <f>'WC samples'!A50</f>
        <v>41727</v>
      </c>
      <c r="D79" s="4">
        <f>'WC samples'!I50</f>
        <v>21.6</v>
      </c>
      <c r="E79" s="4">
        <f>'WC samples'!F50</f>
        <v>8.11</v>
      </c>
      <c r="AD79" s="83">
        <f>IF(E79&lt;&gt;"",10^(-2*$E79)/(10^(-2*$E79)+10^(-$E79-pKa!$B$2)+(10^(-pKa!$B$2-pKa!$C$2))),"")</f>
        <v>1.5155581374034766E-2</v>
      </c>
      <c r="AE79" s="84">
        <f>IF(E79&lt;&gt;"",10^(-$E79-pKa!$B$2)/(10^(-2*$E79)+10^(-$E79-pKa!$B$2)+10^(-pKa!$B$2-pKa!$C$2)),"")</f>
        <v>0.97852652076243707</v>
      </c>
      <c r="AF79" s="212">
        <f>IF(E79&lt;&gt;"",10^(-pKa!$B$2-pKa!$C$2)/(10^(-2*$E79)+10^(-$E79-pKa!$B$2)+10^(-pKa!$B$2-pKa!$C$2)),"")</f>
        <v>6.3178978635283489E-3</v>
      </c>
      <c r="AG79" s="152"/>
      <c r="AH79" s="222">
        <f>IF($AK79&lt;&gt;"",$AK79/'Elements and ions'!$G$3,IF($E79="","",""))</f>
        <v>4.1046045649037222</v>
      </c>
      <c r="AI79" s="85">
        <f t="shared" si="770"/>
        <v>4.1412019163060568E-3</v>
      </c>
      <c r="AJ79" s="84">
        <f>IF(AI79&lt;&gt;"",AI79*1000*'Elements and ions'!$B$7,"")</f>
        <v>49.738733856177156</v>
      </c>
      <c r="AK79" s="99">
        <f>'WC samples'!H50</f>
        <v>250.45</v>
      </c>
      <c r="AL79" s="88">
        <f>IF($AK79&lt;&gt;"",$AK79/'Elements and ions'!$G$3*Minerals!$B$6/2,IF($E79="","","Enter Alk(HCO3-)"))</f>
        <v>205.40857331353118</v>
      </c>
      <c r="AM79" s="199"/>
      <c r="AN79" s="101">
        <f t="shared" si="755"/>
        <v>6.2762322628885162E-5</v>
      </c>
      <c r="AO79" s="94">
        <f t="shared" si="756"/>
        <v>4.0522759029377031E-3</v>
      </c>
      <c r="AP79" s="95">
        <f t="shared" si="757"/>
        <v>2.6163690739469542E-5</v>
      </c>
      <c r="AQ79" s="199"/>
      <c r="AR79" s="199"/>
      <c r="AS79" s="83">
        <f t="shared" si="760"/>
        <v>0.18459506655554461</v>
      </c>
      <c r="AT79" s="83">
        <f>IF(AN79&lt;&gt;"",AN79/'Henrys law constants'!$B$7*1000000,"")</f>
        <v>1845.950665555446</v>
      </c>
      <c r="AU79" s="268">
        <f>'WC samples'!K50</f>
        <v>3.4563999999999999</v>
      </c>
      <c r="AV79" s="269">
        <f>'WC samples'!M50</f>
        <v>1.0728</v>
      </c>
      <c r="AW79" s="269">
        <f>'WC samples'!O50</f>
        <v>83.991</v>
      </c>
      <c r="AX79" s="269">
        <f>'WC samples'!N50</f>
        <v>4.2911999999999999</v>
      </c>
      <c r="AY79" s="226">
        <f>AO79*'Elements and ions'!$G$3*1000</f>
        <v>247.25707040540533</v>
      </c>
      <c r="AZ79" s="269">
        <f>'WC samples'!Q50</f>
        <v>5.5151000000000003</v>
      </c>
      <c r="BA79" s="269">
        <f>'WC samples'!T50</f>
        <v>17.653199999999998</v>
      </c>
      <c r="BB79" s="270">
        <f>'WC samples'!V50</f>
        <v>9.0335000000000001</v>
      </c>
      <c r="BC79" s="222">
        <f>IF($E79&lt;&gt;"",10^-$E79*'Elements and ions'!B80*1000,"")</f>
        <v>0</v>
      </c>
      <c r="BE79" s="6"/>
      <c r="BF79" s="6"/>
      <c r="BG79" s="270">
        <f>'WC samples'!L50</f>
        <v>0</v>
      </c>
      <c r="BH79" s="3"/>
      <c r="BJ79" s="92">
        <f>IF($AN79&lt;&gt;"",$AN79*'Elements and ions'!$G$2*1000,"")</f>
        <v>3.8928192533456234</v>
      </c>
      <c r="BK79" s="229"/>
      <c r="BL79" s="230"/>
      <c r="BM79" s="101">
        <f>IF($E79&lt;&gt;"",(10^-14+$E79)*'Elements and ions'!$G$8,"")</f>
        <v>137.92952740000015</v>
      </c>
      <c r="BO79" s="102">
        <f>IF($AP79&lt;&gt;"",$AP79*'Elements and ions'!$G$4*1000,"")</f>
        <v>1.5700543012157537</v>
      </c>
      <c r="BP79" s="269">
        <f>'WC samples'!P50</f>
        <v>0.1061</v>
      </c>
      <c r="BQ79" s="270">
        <f>'WC samples'!R50</f>
        <v>0</v>
      </c>
      <c r="BR79" s="195"/>
      <c r="BS79" s="238">
        <f>IF($AU79&lt;&gt;"",$AU79/'Elements and ions'!$B$12,"")</f>
        <v>0.15034513647802905</v>
      </c>
      <c r="BT79" s="239">
        <f>IF($AV79&lt;&gt;"",$AV79/'Elements and ions'!$B$20,"")</f>
        <v>2.7438533133154124E-2</v>
      </c>
      <c r="BU79" s="239">
        <f>IF($AW79&lt;&gt;"",$AW79/'Elements and ions'!$B$21, "")</f>
        <v>2.0956884076051696</v>
      </c>
      <c r="BV79" s="240">
        <f>IF($AX79&lt;&gt;"",$AX79/'Elements and ions'!$B$13, "")</f>
        <v>0.1765562641431804</v>
      </c>
      <c r="BW79" s="238">
        <f>IF($AY79&lt;&gt;"",$AY79/'Elements and ions'!$G$3,"")</f>
        <v>4.0522759029377031</v>
      </c>
      <c r="BX79" s="239">
        <f>IF($AZ79&lt;&gt;"",$AZ79/'Elements and ions'!$B$18,"")</f>
        <v>0.15556088342312357</v>
      </c>
      <c r="BY79" s="239">
        <f>IF($BA79&lt;&gt;"",$BA79/'Elements and ions'!$G$7,"")</f>
        <v>0.28470653125801343</v>
      </c>
      <c r="BZ79" s="241">
        <f>IF($BB79&lt;&gt;"",$BB79/'Elements and ions'!$G$5,"")</f>
        <v>9.4037637956915596E-2</v>
      </c>
      <c r="CA79" s="91">
        <f t="shared" si="761"/>
        <v>7.7624711662869125E-6</v>
      </c>
      <c r="CB79" s="163" t="str">
        <f>IF($BD79&lt;&gt;"",$BD79/'Elements and ions'!$B$14,"")</f>
        <v/>
      </c>
      <c r="CC79" s="89" t="str">
        <f>IF($BE79&lt;&gt;"",$BE79/'Elements and ions'!$B$27, "")</f>
        <v/>
      </c>
      <c r="CD79" s="249" t="str">
        <f>IF($BF79&lt;&gt;"",$BF79/'Elements and ions'!$B$26,"")</f>
        <v/>
      </c>
      <c r="CE79" s="250">
        <f>IF($BG79&lt;&gt;"",$BG79/'Elements and ions'!$G$6,"")</f>
        <v>0</v>
      </c>
      <c r="CF79" s="91" t="str">
        <f>IF($BH79&lt;&gt;"",$BH79/'Elements and ions'!$G$15,"")</f>
        <v/>
      </c>
      <c r="CG79" s="89" t="str">
        <f>IF($BI79&lt;&gt;"",$BI79/'Elements and ions'!$G$16,"")</f>
        <v/>
      </c>
      <c r="CH79" s="90">
        <f>IF($BJ79&lt;&gt;"",$BJ79/'Elements and ions'!$G$2,"")</f>
        <v>6.2762322628885162E-2</v>
      </c>
      <c r="CI79" s="91" t="str">
        <f>IF($BK79&lt;&gt;"",$BK79/'Elements and ions'!$B$15, "")</f>
        <v/>
      </c>
      <c r="CJ79" s="88" t="str">
        <f>IF($BL79&lt;&gt;"", $BL79/'Elements and ions'!$G$17,"")</f>
        <v/>
      </c>
      <c r="CK79" s="89">
        <f t="shared" si="762"/>
        <v>1.2882495516931308E-3</v>
      </c>
      <c r="CL79" s="163" t="str">
        <f>IF($BN79&lt;&gt;"", $BN79/'Elements and ions'!$G$19,"")</f>
        <v/>
      </c>
      <c r="CM79" s="89">
        <f>IF($BO79&lt;&gt;"",$BO79/'Elements and ions'!$G$4,"")</f>
        <v>2.6163690739469541E-2</v>
      </c>
      <c r="CN79" s="89">
        <f>IF($BP79&lt;&gt;"",$BP79/'Elements and ions'!$B$10,"")</f>
        <v>5.5846798745696697E-3</v>
      </c>
      <c r="CO79" s="104">
        <f>IF($BQ79&lt;&gt;"",$BQ79/'Elements and ions'!$G$18,"")</f>
        <v>0</v>
      </c>
      <c r="CP79" s="242"/>
      <c r="CQ79" s="238">
        <f t="shared" si="771"/>
        <v>1.5034513647802904E-4</v>
      </c>
      <c r="CR79" s="239">
        <f t="shared" si="772"/>
        <v>2.7438533133154123E-5</v>
      </c>
      <c r="CS79" s="239">
        <f t="shared" si="773"/>
        <v>2.0956884076051697E-3</v>
      </c>
      <c r="CT79" s="241">
        <f t="shared" si="774"/>
        <v>1.7655626414318041E-4</v>
      </c>
      <c r="CU79" s="238">
        <f t="shared" si="775"/>
        <v>4.0522759029377031E-3</v>
      </c>
      <c r="CV79" s="239">
        <f t="shared" si="776"/>
        <v>1.5556088342312356E-4</v>
      </c>
      <c r="CW79" s="239">
        <f t="shared" si="777"/>
        <v>2.8470653125801341E-4</v>
      </c>
      <c r="CX79" s="241">
        <f t="shared" si="778"/>
        <v>9.4037637956915601E-5</v>
      </c>
      <c r="CY79" s="258">
        <f t="shared" si="763"/>
        <v>7.7624711662869124E-9</v>
      </c>
      <c r="CZ79" s="259" t="str">
        <f t="shared" si="779"/>
        <v/>
      </c>
      <c r="DA79" s="260" t="str">
        <f t="shared" si="780"/>
        <v/>
      </c>
      <c r="DB79" s="261" t="str">
        <f t="shared" si="781"/>
        <v/>
      </c>
      <c r="DC79" s="262">
        <f t="shared" si="782"/>
        <v>0</v>
      </c>
      <c r="DD79" s="263" t="str">
        <f t="shared" si="783"/>
        <v/>
      </c>
      <c r="DE79" s="259" t="str">
        <f t="shared" si="784"/>
        <v/>
      </c>
      <c r="DF79" s="260">
        <f t="shared" si="785"/>
        <v>6.2762322628885162E-5</v>
      </c>
      <c r="DG79" s="260" t="str">
        <f t="shared" si="786"/>
        <v/>
      </c>
      <c r="DH79" s="264" t="str">
        <f t="shared" si="787"/>
        <v/>
      </c>
      <c r="DI79" s="258">
        <f t="shared" si="764"/>
        <v>1.2882495516931309E-6</v>
      </c>
      <c r="DJ79" s="260" t="str">
        <f t="shared" si="788"/>
        <v/>
      </c>
      <c r="DK79" s="260">
        <f t="shared" si="789"/>
        <v>2.6163690739469542E-5</v>
      </c>
      <c r="DL79" s="260">
        <f t="shared" si="790"/>
        <v>5.58467987456967E-6</v>
      </c>
      <c r="DM79" s="265">
        <f t="shared" si="791"/>
        <v>0</v>
      </c>
      <c r="DN79" s="242"/>
      <c r="DO79" s="238">
        <f t="shared" si="792"/>
        <v>0.15034513647802905</v>
      </c>
      <c r="DP79" s="239">
        <f t="shared" si="793"/>
        <v>2.7438533133154124E-2</v>
      </c>
      <c r="DQ79" s="239">
        <f t="shared" si="794"/>
        <v>4.1913768152103392</v>
      </c>
      <c r="DR79" s="241">
        <f t="shared" si="795"/>
        <v>0.35311252828636081</v>
      </c>
      <c r="DS79" s="238">
        <f t="shared" si="796"/>
        <v>-4.0522759029377031</v>
      </c>
      <c r="DT79" s="239">
        <f t="shared" si="797"/>
        <v>-0.15556088342312357</v>
      </c>
      <c r="DU79" s="239">
        <f t="shared" si="798"/>
        <v>-0.28470653125801343</v>
      </c>
      <c r="DV79" s="241">
        <f t="shared" si="799"/>
        <v>-0.18807527591383119</v>
      </c>
      <c r="DW79" s="91">
        <f t="shared" si="765"/>
        <v>7.7624711662869125E-6</v>
      </c>
      <c r="DX79" s="89">
        <f t="shared" si="800"/>
        <v>0</v>
      </c>
      <c r="DY79" s="89">
        <f t="shared" si="801"/>
        <v>0</v>
      </c>
      <c r="DZ79" s="89">
        <f t="shared" si="802"/>
        <v>0</v>
      </c>
      <c r="EA79" s="90">
        <f t="shared" si="803"/>
        <v>0</v>
      </c>
      <c r="EB79" s="91">
        <f t="shared" si="766"/>
        <v>-1.2882495516931308E-3</v>
      </c>
      <c r="EC79" s="89">
        <f t="shared" si="804"/>
        <v>0</v>
      </c>
      <c r="ED79" s="89">
        <f t="shared" si="805"/>
        <v>-5.2327381478939082E-2</v>
      </c>
      <c r="EE79" s="89">
        <f t="shared" si="806"/>
        <v>-5.5846798745696697E-3</v>
      </c>
      <c r="EF79" s="90">
        <f t="shared" si="807"/>
        <v>0</v>
      </c>
      <c r="EG79" s="242"/>
      <c r="EH79" s="245">
        <f t="shared" si="808"/>
        <v>4.7222807755790495</v>
      </c>
      <c r="EI79" s="246">
        <f t="shared" si="809"/>
        <v>-4.7398189044378727</v>
      </c>
      <c r="EJ79" s="198">
        <f t="shared" si="810"/>
        <v>-0.1853513432738626</v>
      </c>
      <c r="EK79" s="198">
        <f t="shared" si="811"/>
        <v>1.180308507237336E-2</v>
      </c>
      <c r="EL79" s="101">
        <f>IF(AND(CS79&lt;&gt;"",DK79&lt;&gt;""),LOG(CS79*DK79/Minerals!$C$6),"")</f>
        <v>1.2191977243392322</v>
      </c>
      <c r="EM79" s="94">
        <f>IF(AND(CS79&lt;&gt;"",DK79&lt;&gt;""),LOG(CS79*DK79/Minerals!$C$5),"")</f>
        <v>1.0887181949830147</v>
      </c>
      <c r="EN79" s="94">
        <f>IF(AND(CS79&lt;&gt;"",DL79&lt;&gt;""),LOG(CS79*DL79^2/Minerals!$C$2),"")</f>
        <v>-2.6147517774619891</v>
      </c>
      <c r="EO79" s="94">
        <f>IF(AND(CS79&lt;&gt;"",CX79&lt;&gt;""),LOG($CS79*$CX79/Minerals!$C$3),"")</f>
        <v>-2.1053912120301774</v>
      </c>
      <c r="EP79" s="95">
        <f>IF(AND(CS79&lt;&gt;"",CX79&lt;&gt;""),LOG($CS79*$CX79/Minerals!$C$4),"")</f>
        <v>-2.3453757234960797</v>
      </c>
      <c r="EQ79" s="199"/>
      <c r="ER79" s="101">
        <f t="shared" si="767"/>
        <v>0.89331004068144004</v>
      </c>
      <c r="ES79" s="94">
        <f t="shared" si="767"/>
        <v>0.89331004068144004</v>
      </c>
      <c r="ET79" s="94">
        <f t="shared" si="768"/>
        <v>0.63680851474451428</v>
      </c>
      <c r="EU79" s="94">
        <f t="shared" si="768"/>
        <v>0.63680851474451428</v>
      </c>
      <c r="EV79" s="95">
        <f t="shared" si="768"/>
        <v>0.63680851474451428</v>
      </c>
      <c r="EW79" s="101">
        <f t="shared" si="769"/>
        <v>0.89331004068144004</v>
      </c>
      <c r="EX79" s="94">
        <f t="shared" si="758"/>
        <v>0.63680851474451428</v>
      </c>
      <c r="EY79" s="94">
        <f t="shared" si="769"/>
        <v>0.89331004068144004</v>
      </c>
      <c r="EZ79" s="94">
        <f t="shared" si="769"/>
        <v>0.89331004068144004</v>
      </c>
      <c r="FA79" s="94">
        <f t="shared" si="769"/>
        <v>0.89331004068144004</v>
      </c>
      <c r="FB79" s="95">
        <f t="shared" si="759"/>
        <v>0.63680851474451428</v>
      </c>
      <c r="FC79" s="199"/>
      <c r="FD79" s="101">
        <f t="shared" si="812"/>
        <v>1.3430481998344477E-4</v>
      </c>
      <c r="FE79" s="94">
        <f t="shared" si="813"/>
        <v>2.451111714941695E-5</v>
      </c>
      <c r="FF79" s="94">
        <f t="shared" si="814"/>
        <v>1.3345522222143443E-3</v>
      </c>
      <c r="FG79" s="94">
        <f t="shared" si="815"/>
        <v>1.1243253233785886E-4</v>
      </c>
      <c r="FH79" s="95" t="str">
        <f t="shared" si="816"/>
        <v/>
      </c>
      <c r="FI79" s="101">
        <f t="shared" si="817"/>
        <v>3.6199387517056986E-3</v>
      </c>
      <c r="FJ79" s="94">
        <f t="shared" si="818"/>
        <v>1.6661261040036401E-5</v>
      </c>
      <c r="FK79" s="94">
        <f t="shared" si="819"/>
        <v>1.3896409909915127E-4</v>
      </c>
      <c r="FL79" s="94">
        <f t="shared" si="820"/>
        <v>2.5433120302036766E-4</v>
      </c>
      <c r="FM79" s="94">
        <f t="shared" si="821"/>
        <v>4.988850605944651E-6</v>
      </c>
      <c r="FN79" s="95">
        <f t="shared" si="822"/>
        <v>5.9883968557425786E-5</v>
      </c>
      <c r="FO79" s="199"/>
      <c r="FP79" s="101">
        <f>IF(EL79&lt;&gt;"",LOG(FF79*FJ79/Minerals!$C$6),"")</f>
        <v>0.82721544774894429</v>
      </c>
      <c r="FQ79" s="94">
        <f>IF(EL79&lt;&gt;"",LOG(FF79*FJ79/Minerals!$C$5),"")</f>
        <v>0.69673591839272653</v>
      </c>
      <c r="FR79" s="94">
        <f>IF(EN79&lt;&gt;"",LOG(FF79*FM79^2/Minerals!$C$2),"")</f>
        <v>-2.9087384849047049</v>
      </c>
      <c r="FS79" s="94">
        <f>IF(EO79&lt;&gt;"",LOG($FF79*$FN79/Minerals!$C$3),"")</f>
        <v>-2.4973734886204655</v>
      </c>
      <c r="FT79" s="95">
        <f>IF(EP79&lt;&gt;"",LOG($FF79*$FN79/Minerals!$C$4),"")</f>
        <v>-2.7373580000863678</v>
      </c>
      <c r="FU79" s="96"/>
      <c r="FV79" s="101">
        <f>IF(FP79&lt;&gt;"",LOG(FF79*FJ79/(EXP(-1*Minerals!$E$6/'Other Constants'!$B$2*(1/(273.15+'ppm-mgL-1'!$D79)-1/298.15)+LN(Minerals!$C$6)))),"")</f>
        <v>-0.51410633067047862</v>
      </c>
      <c r="FW79" s="94">
        <f>IF(FP79&lt;&gt;"",LOG(FF79*FJ79/(EXP(-1*Minerals!$E$5/'Other Constants'!$B$2*(1/(273.15+'ppm-mgL-1'!$D79)-1/298.15)+LN(Minerals!$C$5)))),"")</f>
        <v>-0.6447071195428824</v>
      </c>
      <c r="FX79" s="94">
        <f>IF(FR79&lt;&gt;"",LOG(FF79*FM79^2/(EXP(-1*Minerals!$E$2/'Other Constants'!$B$2*(1/(273.15+'ppm-mgL-1'!$D79)-1/298.15)+LN(Minerals!$C$2)))),"")</f>
        <v>-2.8520294511685353</v>
      </c>
      <c r="FY79" s="94">
        <f>IF(FS79&lt;&gt;"",LOG($FF79*$FN79/(EXP(-1*Minerals!$E$3/'Other Constants'!$B$2*(1/(273.15+'ppm-mgL-1'!$D79)-1/298.15)+LN(Minerals!$C$3)))),"")</f>
        <v>-1.3411074140157979</v>
      </c>
      <c r="FZ79" s="95">
        <f>IF(FT79&lt;&gt;"",LOG($FF79*$FN79/(EXP(-1*Minerals!$E$4/'Other Constants'!$B$2*(1/(273.15+'ppm-mgL-1'!$D79)-1/298.15)+LN(Minerals!$C$4)))),"")</f>
        <v>-2.770482057924422</v>
      </c>
      <c r="GA79" s="96"/>
      <c r="GB79" s="96"/>
      <c r="GC79" s="101">
        <f>10^(-1825000*(79.755*EXP(-0.0046*($D79-20))*($D79+273.15))^-1.5*$EK79^0.5/(1+'Elements and ions'!$D$12*$EK79^0.5/(2*(79.755*EXP(-0.0046*($D79-20))*($D79+273.15))^0.5)))</f>
        <v>0.89393395800594011</v>
      </c>
      <c r="GD79" s="94">
        <f>10^(-1825000*(79.755*EXP(-0.0046*($D79-20))*($D79+273.15))^-1.5*$EK79^0.5/(1+'Elements and ions'!$D$20*$EK79^0.5/(2*(79.755*EXP(-0.0046*($D79-20))*($D79+273.15))^0.5)))</f>
        <v>0.8907191301197096</v>
      </c>
      <c r="GE79" s="94">
        <f>10^(-1825000*(79.755*EXP(-0.0046*($D79-20))*($D79+273.15))^-1.5*4*$EK79^0.5/(1+'Elements and ions'!$D$21*$EK79^0.5/(2*(79.755*EXP(-0.0046*($D79-20))*($D79+273.15))^0.5)))</f>
        <v>0.65559926331416574</v>
      </c>
      <c r="GF79" s="94">
        <f>10^(-1825000*(79.755*EXP(-0.0046*($D79-20))*($D79+273.15))^-1.5*4*$EK79^0.5/(1+'Elements and ions'!$D$13*$EK79^0.5/(2*(79.755*EXP(-0.0046*($D79-20))*($D79+273.15))^0.5)))</f>
        <v>0.67110568691351991</v>
      </c>
      <c r="GG79" s="95">
        <f>10^(-1825000*(79.755*EXP(-0.0046*($D79-20))*($D79+273.15))^-1.5*4*$EK79^0.5/(1+'Elements and ions'!$D$27*$EK79^0.5/(2*(79.755*EXP(-0.0046*($D79-20))*($D79+273.15))^0.5)))</f>
        <v>0.65559926331416574</v>
      </c>
      <c r="GH79" s="101">
        <f>10^(-1825000*(79.755*EXP(-0.0046*($D79-20))*($D79+273.15))^-1.5*$EK79^0.5/(1+'Elements and ions'!$G$3*$EK79^0.5/(2*(79.755*EXP(-0.0046*($D79-20))*($D79+273.15))^0.5)))</f>
        <v>0.88218638540001693</v>
      </c>
      <c r="GI79" s="94">
        <f>10^(-1825000*(79.755*EXP(-0.0046*($D79-20))*($D79+273.15))^-1.5*4*$EK79^0.5/(1+'Elements and ions'!$G$4*$EK79^0.5/(2*(79.755*EXP(-0.0046*($D79-20))*($D79+273.15))^0.5)))</f>
        <v>0.60557088354603894</v>
      </c>
      <c r="GJ79" s="94">
        <f>10^(-1825000*(79.755*EXP(-0.0046*($D79-20))*($D79+273.15))^-1.5*$EK79^0.5/(1+'Elements and ions'!$D$18*$EK79^0.5/(2*(79.755*EXP(-0.0046*($D79-20))*($D79+273.15))^0.5)))</f>
        <v>0.8907191301197096</v>
      </c>
      <c r="GK79" s="94">
        <f>10^(-1825000*(79.755*EXP(-0.0046*($D79-20))*($D79+273.15))^-1.5*$EK79^0.5/(1+'Elements and ions'!$I$7*$EK79^0.5/(2*(79.755*EXP(-0.0046*($D79-20))*($D79+273.15))^0.5)))</f>
        <v>0.8907191301197096</v>
      </c>
      <c r="GL79" s="94">
        <f>10^(-1825000*(79.755*EXP(-0.0046*($D79-20))*($D79+273.15))^-1.5*$EK79^0.5/(1+'Elements and ions'!$D$10*$EK79^0.5/(2*(79.755*EXP(-0.0046*($D79-20))*($D79+273.15))^0.5)))</f>
        <v>0.89235051303174928</v>
      </c>
      <c r="GM79" s="95">
        <f>10^(-1825000*(79.755*EXP(-0.0046*($D79-20))*($D79+273.15))^-1.5*4*$EK79^0.5/(1+'Elements and ions'!$I$5*$EK79^0.5/(2*(79.755*EXP(-0.0046*($D79-20))*($D79+273.15))^0.5)))</f>
        <v>0.63858945210474027</v>
      </c>
      <c r="GN79" s="96"/>
      <c r="GO79" s="101">
        <f t="shared" si="823"/>
        <v>1.3439862291874776E-4</v>
      </c>
      <c r="GP79" s="94">
        <f t="shared" si="824"/>
        <v>2.4440026364123869E-5</v>
      </c>
      <c r="GQ79" s="94">
        <f t="shared" si="825"/>
        <v>1.3739317761619864E-3</v>
      </c>
      <c r="GR79" s="94">
        <f t="shared" si="826"/>
        <v>1.1848791292669395E-4</v>
      </c>
      <c r="GS79" s="95" t="str">
        <f t="shared" si="827"/>
        <v/>
      </c>
      <c r="GT79" s="101">
        <f t="shared" si="828"/>
        <v>3.5748626314562023E-3</v>
      </c>
      <c r="GU79" s="94">
        <f t="shared" si="829"/>
        <v>1.5843969317925886E-5</v>
      </c>
      <c r="GV79" s="94">
        <f t="shared" si="830"/>
        <v>1.3856105476329816E-4</v>
      </c>
      <c r="GW79" s="94">
        <f t="shared" si="831"/>
        <v>2.5359355386153762E-4</v>
      </c>
      <c r="GX79" s="94">
        <f t="shared" si="832"/>
        <v>4.9834919511903299E-6</v>
      </c>
      <c r="GY79" s="102">
        <f t="shared" si="833"/>
        <v>6.0051443700130665E-5</v>
      </c>
      <c r="GZ79" s="199"/>
      <c r="HA79" s="92">
        <f>IF(AND(GQ79&lt;&gt;"",GU79&lt;&gt;""),LOG(GQ79*GU79/Minerals!$C$6),"")</f>
        <v>0.81800116690937519</v>
      </c>
      <c r="HB79" s="94">
        <f>IF(AND(GQ79&lt;&gt;"",GU79&lt;&gt;""),LOG(GQ79*GU79/Minerals!$C$5),"")</f>
        <v>0.68752163755315743</v>
      </c>
      <c r="HC79" s="94">
        <f>IF(AND(GQ79&lt;&gt;"",GX79&lt;&gt;""),LOG(GQ79*GX79^2/Minerals!$C$2),"")</f>
        <v>-2.897042365240484</v>
      </c>
      <c r="HD79" s="94">
        <f>IF(AND(GQ79&lt;&gt;"",GY79&lt;&gt;""),LOG($GQ79*$GY79/Minerals!$C$3),"")</f>
        <v>-2.4835310143331708</v>
      </c>
      <c r="HE79" s="102">
        <f>IF(AND(GQ79&lt;&gt;"",GY79&lt;&gt;""),LOG($GQ79*$GY79/Minerals!$C$3),"")</f>
        <v>-2.4835310143331708</v>
      </c>
      <c r="HF79" s="199"/>
      <c r="HG79" s="92">
        <f>IF(HA79&lt;&gt;"",LOG(GQ79*GU79/(EXP(-1*Minerals!$E$6/'Other Constants'!$B$2*(1/(273.15+'ppm-mgL-1'!$D79)-1/298.15)+LN(Minerals!$C$6)))),"")</f>
        <v>-0.52332061151004772</v>
      </c>
      <c r="HH79" s="94">
        <f>IF(HA79&lt;&gt;"",LOG(GQ79*GU79/(EXP(-1*Minerals!$E$5/'Other Constants'!$B$2*(1/(273.15+'ppm-mgL-1'!$D79)-1/298.15)+LN(Minerals!$C$5)))),"")</f>
        <v>-0.6539214003824515</v>
      </c>
      <c r="HI79" s="94">
        <f>IF(HC79&lt;&gt;"",LOG(GQ79*GX79^2/(EXP(-1*Minerals!$E$2/'Other Constants'!$B$2*(1/(273.15+'ppm-mgL-1'!$D79)-1/298.15)+LN(Minerals!$C$2)))),"")</f>
        <v>-2.8403333315043149</v>
      </c>
      <c r="HJ79" s="94">
        <f>IF(HD79&lt;&gt;"",LOG($FF79*$FN79/(EXP(-1*Minerals!$E$3/'Other Constants'!$B$2*(1/(273.15+'ppm-mgL-1'!$D79)-1/298.15)+LN(Minerals!$C$3)))),"")</f>
        <v>-1.3411074140157979</v>
      </c>
      <c r="HK79" s="95">
        <f>IF(HE79&lt;&gt;"",LOG($FF79*$FN79/(EXP(-1*Minerals!$E$4/'Other Constants'!$B$2*(1/(273.15+'ppm-mgL-1'!$D79)-1/298.15)+LN(Minerals!$C$4)))),"")</f>
        <v>-2.770482057924422</v>
      </c>
      <c r="HL79" s="199"/>
      <c r="HM79" s="199"/>
    </row>
    <row r="80" spans="1:221" x14ac:dyDescent="0.25">
      <c r="A80" s="267" t="str">
        <f>'WC samples'!B51</f>
        <v>ISSR 6</v>
      </c>
      <c r="C80" s="266">
        <f>'WC samples'!A51</f>
        <v>41624</v>
      </c>
      <c r="D80" s="4">
        <f>'WC samples'!I51</f>
        <v>22.1</v>
      </c>
      <c r="E80" s="4">
        <f>'WC samples'!F51</f>
        <v>8.3699999999999992</v>
      </c>
      <c r="AD80" s="83">
        <f>IF(E80&lt;&gt;"",10^(-2*$E80)/(10^(-2*$E80)+10^(-$E80-pKa!$B$2)+(10^(-pKa!$B$2-pKa!$C$2))),"")</f>
        <v>8.3423611753036496E-3</v>
      </c>
      <c r="AE80" s="84">
        <f>IF(E80&lt;&gt;"",10^(-$E80-pKa!$B$2)/(10^(-2*$E80)+10^(-$E80-pKa!$B$2)+10^(-pKa!$B$2-pKa!$C$2)),"")</f>
        <v>0.98014197472867326</v>
      </c>
      <c r="AF80" s="212">
        <f>IF(E80&lt;&gt;"",10^(-pKa!$B$2-pKa!$C$2)/(10^(-2*$E80)+10^(-$E80-pKa!$B$2)+10^(-pKa!$B$2-pKa!$C$2)),"")</f>
        <v>1.151566409602317E-2</v>
      </c>
      <c r="AG80" s="152"/>
      <c r="AH80" s="222">
        <f>IF($AK80&lt;&gt;"",$AK80/'Elements and ions'!$G$3,IF($E80="","",""))</f>
        <v>3.8186179421943192</v>
      </c>
      <c r="AI80" s="85">
        <f t="shared" si="770"/>
        <v>3.8065363094427194E-3</v>
      </c>
      <c r="AJ80" s="84">
        <f>IF(AI80&lt;&gt;"",AI80*1000*'Elements and ions'!$B$7,"")</f>
        <v>45.719165651823673</v>
      </c>
      <c r="AK80" s="99">
        <f>'WC samples'!H51</f>
        <v>233</v>
      </c>
      <c r="AL80" s="88">
        <f>IF($AK80&lt;&gt;"",$AK80/'Elements and ions'!$G$3*Minerals!$B$6/2,IF($E80="","","Enter Alk(HCO3-)"))</f>
        <v>191.0968160593043</v>
      </c>
      <c r="AM80" s="199"/>
      <c r="AN80" s="101">
        <f t="shared" si="755"/>
        <v>3.1755500720278584E-5</v>
      </c>
      <c r="AO80" s="94">
        <f t="shared" si="756"/>
        <v>3.7309460152135832E-3</v>
      </c>
      <c r="AP80" s="95">
        <f t="shared" si="757"/>
        <v>4.3834793508858069E-5</v>
      </c>
      <c r="AQ80" s="199"/>
      <c r="AR80" s="199"/>
      <c r="AS80" s="83">
        <f t="shared" si="760"/>
        <v>9.3398531530231116E-2</v>
      </c>
      <c r="AT80" s="83">
        <f>IF(AN80&lt;&gt;"",AN80/'Henrys law constants'!$B$7*1000000,"")</f>
        <v>933.98531530231116</v>
      </c>
      <c r="AU80" s="268">
        <f>'WC samples'!K51</f>
        <v>4.4367999999999999</v>
      </c>
      <c r="AV80" s="269">
        <f>'WC samples'!M51</f>
        <v>1.4294</v>
      </c>
      <c r="AW80" s="269">
        <f>'WC samples'!O51</f>
        <v>68.688500000000005</v>
      </c>
      <c r="AX80" s="269">
        <f>'WC samples'!N51</f>
        <v>5.3811999999999998</v>
      </c>
      <c r="AY80" s="226">
        <f>AO80*'Elements and ions'!$G$3*1000</f>
        <v>227.65053605892473</v>
      </c>
      <c r="AZ80" s="269">
        <f>'WC samples'!Q51</f>
        <v>11.8994</v>
      </c>
      <c r="BA80" s="269">
        <f>'WC samples'!T51</f>
        <v>14.552899999999999</v>
      </c>
      <c r="BB80" s="270">
        <f>'WC samples'!V51</f>
        <v>8.7394999999999996</v>
      </c>
      <c r="BC80" s="222">
        <f>IF($E80&lt;&gt;"",10^-$E80*'Elements and ions'!B82*1000,"")</f>
        <v>0</v>
      </c>
      <c r="BE80" s="6"/>
      <c r="BF80" s="6"/>
      <c r="BG80" s="270">
        <f>'WC samples'!L51</f>
        <v>0</v>
      </c>
      <c r="BH80" s="3"/>
      <c r="BJ80" s="92">
        <f>IF($AN80&lt;&gt;"",$AN80*'Elements and ions'!$G$2*1000,"")</f>
        <v>1.9696279459651203</v>
      </c>
      <c r="BK80" s="229"/>
      <c r="BL80" s="230"/>
      <c r="BM80" s="101">
        <f>IF($E80&lt;&gt;"",(10^-14+$E80)*'Elements and ions'!$G$8,"")</f>
        <v>142.35143580000016</v>
      </c>
      <c r="BO80" s="102">
        <f>IF($AP80&lt;&gt;"",$AP80*'Elements and ions'!$G$4*1000,"")</f>
        <v>2.6304777401937129</v>
      </c>
      <c r="BP80" s="269">
        <f>'WC samples'!P51</f>
        <v>0.19109999999999999</v>
      </c>
      <c r="BQ80" s="270">
        <f>'WC samples'!R51</f>
        <v>0</v>
      </c>
      <c r="BR80" s="195"/>
      <c r="BS80" s="238">
        <f>IF($AU80&lt;&gt;"",$AU80/'Elements and ions'!$B$12,"")</f>
        <v>0.19299019254881358</v>
      </c>
      <c r="BT80" s="239">
        <f>IF($AV80&lt;&gt;"",$AV80/'Elements and ions'!$B$20,"")</f>
        <v>3.6559134284610835E-2</v>
      </c>
      <c r="BU80" s="239">
        <f>IF($AW80&lt;&gt;"",$AW80/'Elements and ions'!$B$21, "")</f>
        <v>1.713870452617396</v>
      </c>
      <c r="BV80" s="240">
        <f>IF($AX80&lt;&gt;"",$AX80/'Elements and ions'!$B$13, "")</f>
        <v>0.22140300349722278</v>
      </c>
      <c r="BW80" s="238">
        <f>IF($AY80&lt;&gt;"",$AY80/'Elements and ions'!$G$3,"")</f>
        <v>3.7309460152135827</v>
      </c>
      <c r="BX80" s="239">
        <f>IF($AZ80&lt;&gt;"",$AZ80/'Elements and ions'!$B$18,"")</f>
        <v>0.33563873297041152</v>
      </c>
      <c r="BY80" s="239">
        <f>IF($BA80&lt;&gt;"",$BA80/'Elements and ions'!$G$7,"")</f>
        <v>0.23470564423134299</v>
      </c>
      <c r="BZ80" s="241">
        <f>IF($BB80&lt;&gt;"",$BB80/'Elements and ions'!$G$5,"")</f>
        <v>9.0977133660758699E-2</v>
      </c>
      <c r="CA80" s="91">
        <f t="shared" si="761"/>
        <v>4.2657951880159189E-6</v>
      </c>
      <c r="CB80" s="163" t="str">
        <f>IF($BD80&lt;&gt;"",$BD80/'Elements and ions'!$B$14,"")</f>
        <v/>
      </c>
      <c r="CC80" s="89" t="str">
        <f>IF($BE80&lt;&gt;"",$BE80/'Elements and ions'!$B$27, "")</f>
        <v/>
      </c>
      <c r="CD80" s="249" t="str">
        <f>IF($BF80&lt;&gt;"",$BF80/'Elements and ions'!$B$26,"")</f>
        <v/>
      </c>
      <c r="CE80" s="250">
        <f>IF($BG80&lt;&gt;"",$BG80/'Elements and ions'!$G$6,"")</f>
        <v>0</v>
      </c>
      <c r="CF80" s="91" t="str">
        <f>IF($BH80&lt;&gt;"",$BH80/'Elements and ions'!$G$15,"")</f>
        <v/>
      </c>
      <c r="CG80" s="89" t="str">
        <f>IF($BI80&lt;&gt;"",$BI80/'Elements and ions'!$G$16,"")</f>
        <v/>
      </c>
      <c r="CH80" s="90">
        <f>IF($BJ80&lt;&gt;"",$BJ80/'Elements and ions'!$G$2,"")</f>
        <v>3.1755500720278579E-2</v>
      </c>
      <c r="CI80" s="91" t="str">
        <f>IF($BK80&lt;&gt;"",$BK80/'Elements and ions'!$B$15, "")</f>
        <v/>
      </c>
      <c r="CJ80" s="88" t="str">
        <f>IF($BL80&lt;&gt;"", $BL80/'Elements and ions'!$G$17,"")</f>
        <v/>
      </c>
      <c r="CK80" s="89">
        <f t="shared" si="762"/>
        <v>2.3442288153199152E-3</v>
      </c>
      <c r="CL80" s="163" t="str">
        <f>IF($BN80&lt;&gt;"", $BN80/'Elements and ions'!$G$19,"")</f>
        <v/>
      </c>
      <c r="CM80" s="89">
        <f>IF($BO80&lt;&gt;"",$BO80/'Elements and ions'!$G$4,"")</f>
        <v>4.3834793508858071E-2</v>
      </c>
      <c r="CN80" s="89">
        <f>IF($BP80&lt;&gt;"",$BP80/'Elements and ions'!$B$10,"")</f>
        <v>1.0058740094535945E-2</v>
      </c>
      <c r="CO80" s="104">
        <f>IF($BQ80&lt;&gt;"",$BQ80/'Elements and ions'!$G$18,"")</f>
        <v>0</v>
      </c>
      <c r="CP80" s="242"/>
      <c r="CQ80" s="238">
        <f t="shared" si="771"/>
        <v>1.9299019254881357E-4</v>
      </c>
      <c r="CR80" s="239">
        <f t="shared" si="772"/>
        <v>3.6559134284610836E-5</v>
      </c>
      <c r="CS80" s="239">
        <f t="shared" si="773"/>
        <v>1.713870452617396E-3</v>
      </c>
      <c r="CT80" s="241">
        <f t="shared" si="774"/>
        <v>2.2140300349722278E-4</v>
      </c>
      <c r="CU80" s="238">
        <f t="shared" si="775"/>
        <v>3.7309460152135827E-3</v>
      </c>
      <c r="CV80" s="239">
        <f t="shared" si="776"/>
        <v>3.356387329704115E-4</v>
      </c>
      <c r="CW80" s="239">
        <f t="shared" si="777"/>
        <v>2.3470564423134298E-4</v>
      </c>
      <c r="CX80" s="241">
        <f t="shared" si="778"/>
        <v>9.0977133660758697E-5</v>
      </c>
      <c r="CY80" s="258">
        <f t="shared" si="763"/>
        <v>4.265795188015919E-9</v>
      </c>
      <c r="CZ80" s="259" t="str">
        <f t="shared" si="779"/>
        <v/>
      </c>
      <c r="DA80" s="260" t="str">
        <f t="shared" si="780"/>
        <v/>
      </c>
      <c r="DB80" s="261" t="str">
        <f t="shared" si="781"/>
        <v/>
      </c>
      <c r="DC80" s="262">
        <f t="shared" si="782"/>
        <v>0</v>
      </c>
      <c r="DD80" s="263" t="str">
        <f t="shared" si="783"/>
        <v/>
      </c>
      <c r="DE80" s="259" t="str">
        <f t="shared" si="784"/>
        <v/>
      </c>
      <c r="DF80" s="260">
        <f t="shared" si="785"/>
        <v>3.1755500720278578E-5</v>
      </c>
      <c r="DG80" s="260" t="str">
        <f t="shared" si="786"/>
        <v/>
      </c>
      <c r="DH80" s="264" t="str">
        <f t="shared" si="787"/>
        <v/>
      </c>
      <c r="DI80" s="258">
        <f t="shared" si="764"/>
        <v>2.344228815319915E-6</v>
      </c>
      <c r="DJ80" s="260" t="str">
        <f t="shared" si="788"/>
        <v/>
      </c>
      <c r="DK80" s="260">
        <f t="shared" si="789"/>
        <v>4.3834793508858069E-5</v>
      </c>
      <c r="DL80" s="260">
        <f t="shared" si="790"/>
        <v>1.0058740094535945E-5</v>
      </c>
      <c r="DM80" s="265">
        <f t="shared" si="791"/>
        <v>0</v>
      </c>
      <c r="DN80" s="242"/>
      <c r="DO80" s="238">
        <f t="shared" si="792"/>
        <v>0.19299019254881358</v>
      </c>
      <c r="DP80" s="239">
        <f t="shared" si="793"/>
        <v>3.6559134284610835E-2</v>
      </c>
      <c r="DQ80" s="239">
        <f t="shared" si="794"/>
        <v>3.427740905234792</v>
      </c>
      <c r="DR80" s="241">
        <f t="shared" si="795"/>
        <v>0.44280600699444556</v>
      </c>
      <c r="DS80" s="238">
        <f t="shared" si="796"/>
        <v>-3.7309460152135827</v>
      </c>
      <c r="DT80" s="239">
        <f t="shared" si="797"/>
        <v>-0.33563873297041152</v>
      </c>
      <c r="DU80" s="239">
        <f t="shared" si="798"/>
        <v>-0.23470564423134299</v>
      </c>
      <c r="DV80" s="241">
        <f t="shared" si="799"/>
        <v>-0.1819542673215174</v>
      </c>
      <c r="DW80" s="91">
        <f t="shared" si="765"/>
        <v>4.2657951880159189E-6</v>
      </c>
      <c r="DX80" s="89">
        <f t="shared" si="800"/>
        <v>0</v>
      </c>
      <c r="DY80" s="89">
        <f t="shared" si="801"/>
        <v>0</v>
      </c>
      <c r="DZ80" s="89">
        <f t="shared" si="802"/>
        <v>0</v>
      </c>
      <c r="EA80" s="90">
        <f t="shared" si="803"/>
        <v>0</v>
      </c>
      <c r="EB80" s="91">
        <f t="shared" si="766"/>
        <v>-2.3442288153199152E-3</v>
      </c>
      <c r="EC80" s="89">
        <f t="shared" si="804"/>
        <v>0</v>
      </c>
      <c r="ED80" s="89">
        <f t="shared" si="805"/>
        <v>-8.7669587017716141E-2</v>
      </c>
      <c r="EE80" s="89">
        <f t="shared" si="806"/>
        <v>-1.0058740094535945E-2</v>
      </c>
      <c r="EF80" s="90">
        <f t="shared" si="807"/>
        <v>0</v>
      </c>
      <c r="EG80" s="242"/>
      <c r="EH80" s="245">
        <f t="shared" si="808"/>
        <v>4.10010050485785</v>
      </c>
      <c r="EI80" s="246">
        <f t="shared" si="809"/>
        <v>-4.583317215664426</v>
      </c>
      <c r="EJ80" s="198">
        <f t="shared" si="810"/>
        <v>-5.5648216676775535</v>
      </c>
      <c r="EK80" s="198">
        <f t="shared" si="811"/>
        <v>1.037545158877316E-2</v>
      </c>
      <c r="EL80" s="101">
        <f>IF(AND(CS80&lt;&gt;"",DK80&lt;&gt;""),LOG(CS80*DK80/Minerals!$C$6),"")</f>
        <v>1.3559689628455205</v>
      </c>
      <c r="EM80" s="94">
        <f>IF(AND(CS80&lt;&gt;"",DK80&lt;&gt;""),LOG(CS80*DK80/Minerals!$C$5),"")</f>
        <v>1.2254894334893029</v>
      </c>
      <c r="EN80" s="94">
        <f>IF(AND(CS80&lt;&gt;"",DL80&lt;&gt;""),LOG(CS80*DL80^2/Minerals!$C$2),"")</f>
        <v>-2.191009890691805</v>
      </c>
      <c r="EO80" s="94">
        <f>IF(AND(CS80&lt;&gt;"",CX80&lt;&gt;""),LOG($CS80*$CX80/Minerals!$C$3),"")</f>
        <v>-2.2071093937598594</v>
      </c>
      <c r="EP80" s="95">
        <f>IF(AND(CS80&lt;&gt;"",CX80&lt;&gt;""),LOG($CS80*$CX80/Minerals!$C$4),"")</f>
        <v>-2.4470939052257616</v>
      </c>
      <c r="EQ80" s="199"/>
      <c r="ER80" s="101">
        <f t="shared" si="767"/>
        <v>0.89903825774824708</v>
      </c>
      <c r="ES80" s="94">
        <f t="shared" si="767"/>
        <v>0.89903825774824708</v>
      </c>
      <c r="ET80" s="94">
        <f t="shared" si="768"/>
        <v>0.65330005164037364</v>
      </c>
      <c r="EU80" s="94">
        <f t="shared" si="768"/>
        <v>0.65330005164037364</v>
      </c>
      <c r="EV80" s="95">
        <f t="shared" si="768"/>
        <v>0.65330005164037364</v>
      </c>
      <c r="EW80" s="101">
        <f t="shared" si="769"/>
        <v>0.89903825774824708</v>
      </c>
      <c r="EX80" s="94">
        <f t="shared" si="758"/>
        <v>0.65330005164037364</v>
      </c>
      <c r="EY80" s="94">
        <f t="shared" si="769"/>
        <v>0.89903825774824708</v>
      </c>
      <c r="EZ80" s="94">
        <f t="shared" si="769"/>
        <v>0.89903825774824708</v>
      </c>
      <c r="FA80" s="94">
        <f t="shared" si="769"/>
        <v>0.89903825774824708</v>
      </c>
      <c r="FB80" s="95">
        <f t="shared" si="759"/>
        <v>0.65330005164037364</v>
      </c>
      <c r="FC80" s="199"/>
      <c r="FD80" s="101">
        <f t="shared" si="812"/>
        <v>1.7350556647158409E-4</v>
      </c>
      <c r="FE80" s="94">
        <f t="shared" si="813"/>
        <v>3.2868060392020734E-5</v>
      </c>
      <c r="FF80" s="94">
        <f t="shared" si="814"/>
        <v>1.1196716551998553E-3</v>
      </c>
      <c r="FG80" s="94">
        <f t="shared" si="815"/>
        <v>1.4464259361806947E-4</v>
      </c>
      <c r="FH80" s="95" t="str">
        <f t="shared" si="816"/>
        <v/>
      </c>
      <c r="FI80" s="101">
        <f t="shared" si="817"/>
        <v>3.3542632052703846E-3</v>
      </c>
      <c r="FJ80" s="94">
        <f t="shared" si="818"/>
        <v>2.8637272862982091E-5</v>
      </c>
      <c r="FK80" s="94">
        <f t="shared" si="819"/>
        <v>3.0175206172254788E-4</v>
      </c>
      <c r="FL80" s="94">
        <f t="shared" si="820"/>
        <v>2.1100935347342651E-4</v>
      </c>
      <c r="FM80" s="94">
        <f t="shared" si="821"/>
        <v>9.0431921697340336E-6</v>
      </c>
      <c r="FN80" s="95">
        <f t="shared" si="822"/>
        <v>5.9435366118666833E-5</v>
      </c>
      <c r="FO80" s="199"/>
      <c r="FP80" s="101">
        <f>IF(EL80&lt;&gt;"",LOG(FF80*FJ80/Minerals!$C$6),"")</f>
        <v>0.98619434788312343</v>
      </c>
      <c r="FQ80" s="94">
        <f>IF(EL80&lt;&gt;"",LOG(FF80*FJ80/Minerals!$C$5),"")</f>
        <v>0.85571481852690567</v>
      </c>
      <c r="FR80" s="94">
        <f>IF(EN80&lt;&gt;"",LOG(FF80*FM80^2/Minerals!$C$2),"")</f>
        <v>-2.4683408519136028</v>
      </c>
      <c r="FS80" s="94">
        <f>IF(EO80&lt;&gt;"",LOG($FF80*$FN80/Minerals!$C$3),"")</f>
        <v>-2.5768840087222564</v>
      </c>
      <c r="FT80" s="95">
        <f>IF(EP80&lt;&gt;"",LOG($FF80*$FN80/Minerals!$C$4),"")</f>
        <v>-2.8168685201881587</v>
      </c>
      <c r="FU80" s="96"/>
      <c r="FV80" s="101">
        <f>IF(FP80&lt;&gt;"",LOG(FF80*FJ80/(EXP(-1*Minerals!$E$6/'Other Constants'!$B$2*(1/(273.15+'ppm-mgL-1'!$D80)-1/298.15)+LN(Minerals!$C$6)))),"")</f>
        <v>-0.15593677045971305</v>
      </c>
      <c r="FW80" s="94">
        <f>IF(FP80&lt;&gt;"",LOG(FF80*FJ80/(EXP(-1*Minerals!$E$5/'Other Constants'!$B$2*(1/(273.15+'ppm-mgL-1'!$D80)-1/298.15)+LN(Minerals!$C$5)))),"")</f>
        <v>-0.28651955189836126</v>
      </c>
      <c r="FX80" s="94">
        <f>IF(FR80&lt;&gt;"",LOG(FF80*FM80^2/(EXP(-1*Minerals!$E$2/'Other Constants'!$B$2*(1/(273.15+'ppm-mgL-1'!$D80)-1/298.15)+LN(Minerals!$C$2)))),"")</f>
        <v>-2.4200532946970537</v>
      </c>
      <c r="FY80" s="94">
        <f>IF(FS80&lt;&gt;"",LOG($FF80*$FN80/(EXP(-1*Minerals!$E$3/'Other Constants'!$B$2*(1/(273.15+'ppm-mgL-1'!$D80)-1/298.15)+LN(Minerals!$C$3)))),"")</f>
        <v>-1.5923272184446249</v>
      </c>
      <c r="FZ80" s="95">
        <f>IF(FT80&lt;&gt;"",LOG($FF80*$FN80/(EXP(-1*Minerals!$E$4/'Other Constants'!$B$2*(1/(273.15+'ppm-mgL-1'!$D80)-1/298.15)+LN(Minerals!$C$4)))),"")</f>
        <v>-2.8450735473720234</v>
      </c>
      <c r="GA80" s="96"/>
      <c r="GB80" s="96"/>
      <c r="GC80" s="101">
        <f>10^(-1825000*(79.755*EXP(-0.0046*($D80-20))*($D80+273.15))^-1.5*$EK80^0.5/(1+'Elements and ions'!$D$12*$EK80^0.5/(2*(79.755*EXP(-0.0046*($D80-20))*($D80+273.15))^0.5)))</f>
        <v>0.89938863708935235</v>
      </c>
      <c r="GD80" s="94">
        <f>10^(-1825000*(79.755*EXP(-0.0046*($D80-20))*($D80+273.15))^-1.5*$EK80^0.5/(1+'Elements and ions'!$D$20*$EK80^0.5/(2*(79.755*EXP(-0.0046*($D80-20))*($D80+273.15))^0.5)))</f>
        <v>0.89650192108514404</v>
      </c>
      <c r="GE80" s="94">
        <f>10^(-1825000*(79.755*EXP(-0.0046*($D80-20))*($D80+273.15))^-1.5*4*$EK80^0.5/(1+'Elements and ions'!$D$21*$EK80^0.5/(2*(79.755*EXP(-0.0046*($D80-20))*($D80+273.15))^0.5)))</f>
        <v>0.66992747389366414</v>
      </c>
      <c r="GF80" s="94">
        <f>10^(-1825000*(79.755*EXP(-0.0046*($D80-20))*($D80+273.15))^-1.5*4*$EK80^0.5/(1+'Elements and ions'!$D$13*$EK80^0.5/(2*(79.755*EXP(-0.0046*($D80-20))*($D80+273.15))^0.5)))</f>
        <v>0.68420754368902759</v>
      </c>
      <c r="GG80" s="95">
        <f>10^(-1825000*(79.755*EXP(-0.0046*($D80-20))*($D80+273.15))^-1.5*4*$EK80^0.5/(1+'Elements and ions'!$D$27*$EK80^0.5/(2*(79.755*EXP(-0.0046*($D80-20))*($D80+273.15))^0.5)))</f>
        <v>0.66992747389366414</v>
      </c>
      <c r="GH80" s="101">
        <f>10^(-1825000*(79.755*EXP(-0.0046*($D80-20))*($D80+273.15))^-1.5*$EK80^0.5/(1+'Elements and ions'!$G$3*$EK80^0.5/(2*(79.755*EXP(-0.0046*($D80-20))*($D80+273.15))^0.5)))</f>
        <v>0.88888366080824999</v>
      </c>
      <c r="GI80" s="94">
        <f>10^(-1825000*(79.755*EXP(-0.0046*($D80-20))*($D80+273.15))^-1.5*4*$EK80^0.5/(1+'Elements and ions'!$G$4*$EK80^0.5/(2*(79.755*EXP(-0.0046*($D80-20))*($D80+273.15))^0.5)))</f>
        <v>0.62418346453168971</v>
      </c>
      <c r="GJ80" s="94">
        <f>10^(-1825000*(79.755*EXP(-0.0046*($D80-20))*($D80+273.15))^-1.5*$EK80^0.5/(1+'Elements and ions'!$D$18*$EK80^0.5/(2*(79.755*EXP(-0.0046*($D80-20))*($D80+273.15))^0.5)))</f>
        <v>0.89650192108514404</v>
      </c>
      <c r="GK80" s="94">
        <f>10^(-1825000*(79.755*EXP(-0.0046*($D80-20))*($D80+273.15))^-1.5*$EK80^0.5/(1+'Elements and ions'!$I$7*$EK80^0.5/(2*(79.755*EXP(-0.0046*($D80-20))*($D80+273.15))^0.5)))</f>
        <v>0.89650192108514404</v>
      </c>
      <c r="GL80" s="94">
        <f>10^(-1825000*(79.755*EXP(-0.0046*($D80-20))*($D80+273.15))^-1.5*$EK80^0.5/(1+'Elements and ions'!$D$10*$EK80^0.5/(2*(79.755*EXP(-0.0046*($D80-20))*($D80+273.15))^0.5)))</f>
        <v>0.89796567167284536</v>
      </c>
      <c r="GM80" s="95">
        <f>10^(-1825000*(79.755*EXP(-0.0046*($D80-20))*($D80+273.15))^-1.5*4*$EK80^0.5/(1+'Elements and ions'!$I$5*$EK80^0.5/(2*(79.755*EXP(-0.0046*($D80-20))*($D80+273.15))^0.5)))</f>
        <v>0.65431908142606776</v>
      </c>
      <c r="GN80" s="96"/>
      <c r="GO80" s="101">
        <f t="shared" si="823"/>
        <v>1.7357318624808911E-4</v>
      </c>
      <c r="GP80" s="94">
        <f t="shared" si="824"/>
        <v>3.2775334119363365E-5</v>
      </c>
      <c r="GQ80" s="94">
        <f t="shared" si="825"/>
        <v>1.1481689029029629E-3</v>
      </c>
      <c r="GR80" s="94">
        <f t="shared" si="826"/>
        <v>1.5148560518820798E-4</v>
      </c>
      <c r="GS80" s="95" t="str">
        <f t="shared" si="827"/>
        <v/>
      </c>
      <c r="GT80" s="101">
        <f t="shared" si="828"/>
        <v>3.3163769522810021E-3</v>
      </c>
      <c r="GU80" s="94">
        <f t="shared" si="829"/>
        <v>2.7360953279390253E-5</v>
      </c>
      <c r="GV80" s="94">
        <f t="shared" si="830"/>
        <v>3.0090076889855756E-4</v>
      </c>
      <c r="GW80" s="94">
        <f t="shared" si="831"/>
        <v>2.1041406094292534E-4</v>
      </c>
      <c r="GX80" s="94">
        <f t="shared" si="832"/>
        <v>9.0324033051725488E-6</v>
      </c>
      <c r="GY80" s="102">
        <f t="shared" si="833"/>
        <v>5.9528074527684219E-5</v>
      </c>
      <c r="GZ80" s="199"/>
      <c r="HA80" s="92">
        <f>IF(AND(GQ80&lt;&gt;"",GU80&lt;&gt;""),LOG(GQ80*GU80/Minerals!$C$6),"")</f>
        <v>0.97730901095804745</v>
      </c>
      <c r="HB80" s="94">
        <f>IF(AND(GQ80&lt;&gt;"",GU80&lt;&gt;""),LOG(GQ80*GU80/Minerals!$C$5),"")</f>
        <v>0.84682948160182969</v>
      </c>
      <c r="HC80" s="94">
        <f>IF(AND(GQ80&lt;&gt;"",GX80&lt;&gt;""),LOG(GQ80*GX80^2/Minerals!$C$2),"")</f>
        <v>-2.458462633325678</v>
      </c>
      <c r="HD80" s="94">
        <f>IF(AND(GQ80&lt;&gt;"",GY80&lt;&gt;""),LOG($GQ80*$GY80/Minerals!$C$3),"")</f>
        <v>-2.5652920195844016</v>
      </c>
      <c r="HE80" s="102">
        <f>IF(AND(GQ80&lt;&gt;"",GY80&lt;&gt;""),LOG($GQ80*$GY80/Minerals!$C$3),"")</f>
        <v>-2.5652920195844016</v>
      </c>
      <c r="HF80" s="199"/>
      <c r="HG80" s="92">
        <f>IF(HA80&lt;&gt;"",LOG(GQ80*GU80/(EXP(-1*Minerals!$E$6/'Other Constants'!$B$2*(1/(273.15+'ppm-mgL-1'!$D80)-1/298.15)+LN(Minerals!$C$6)))),"")</f>
        <v>-0.16482210738478895</v>
      </c>
      <c r="HH80" s="94">
        <f>IF(HA80&lt;&gt;"",LOG(GQ80*GU80/(EXP(-1*Minerals!$E$5/'Other Constants'!$B$2*(1/(273.15+'ppm-mgL-1'!$D80)-1/298.15)+LN(Minerals!$C$5)))),"")</f>
        <v>-0.29540488882343713</v>
      </c>
      <c r="HI80" s="94">
        <f>IF(HC80&lt;&gt;"",LOG(GQ80*GX80^2/(EXP(-1*Minerals!$E$2/'Other Constants'!$B$2*(1/(273.15+'ppm-mgL-1'!$D80)-1/298.15)+LN(Minerals!$C$2)))),"")</f>
        <v>-2.4101750761091285</v>
      </c>
      <c r="HJ80" s="94">
        <f>IF(HD80&lt;&gt;"",LOG($FF80*$FN80/(EXP(-1*Minerals!$E$3/'Other Constants'!$B$2*(1/(273.15+'ppm-mgL-1'!$D80)-1/298.15)+LN(Minerals!$C$3)))),"")</f>
        <v>-1.5923272184446249</v>
      </c>
      <c r="HK80" s="95">
        <f>IF(HE80&lt;&gt;"",LOG($FF80*$FN80/(EXP(-1*Minerals!$E$4/'Other Constants'!$B$2*(1/(273.15+'ppm-mgL-1'!$D80)-1/298.15)+LN(Minerals!$C$4)))),"")</f>
        <v>-2.8450735473720234</v>
      </c>
      <c r="HL80" s="199"/>
      <c r="HM80" s="199"/>
    </row>
    <row r="81" spans="1:221" x14ac:dyDescent="0.25">
      <c r="A81" s="267" t="str">
        <f>'WC samples'!B52</f>
        <v>ISSR 6</v>
      </c>
      <c r="C81" s="266">
        <f>'WC samples'!A52</f>
        <v>41659</v>
      </c>
      <c r="D81" s="4">
        <f>'WC samples'!I52</f>
        <v>21.8</v>
      </c>
      <c r="E81" s="4">
        <f>'WC samples'!F52</f>
        <v>8.42</v>
      </c>
      <c r="AD81" s="83">
        <f>IF(E81&lt;&gt;"",10^(-2*$E81)/(10^(-2*$E81)+10^(-$E81-pKa!$B$2)+(10^(-pKa!$B$2-pKa!$C$2))),"")</f>
        <v>7.4314371143093206E-3</v>
      </c>
      <c r="AE81" s="84">
        <f>IF(E81&lt;&gt;"",10^(-$E81-pKa!$B$2)/(10^(-2*$E81)+10^(-$E81-pKa!$B$2)+10^(-pKa!$B$2-pKa!$C$2)),"")</f>
        <v>0.9796542053096452</v>
      </c>
      <c r="AF81" s="212">
        <f>IF(E81&lt;&gt;"",10^(-pKa!$B$2-pKa!$C$2)/(10^(-2*$E81)+10^(-$E81-pKa!$B$2)+10^(-pKa!$B$2-pKa!$C$2)),"")</f>
        <v>1.2914357576045574E-2</v>
      </c>
      <c r="AG81" s="152"/>
      <c r="AH81" s="222">
        <f>IF($AK81&lt;&gt;"",$AK81/'Elements and ions'!$G$3,IF($E81="","",""))</f>
        <v>3.6547287601258933</v>
      </c>
      <c r="AI81" s="85">
        <f t="shared" si="770"/>
        <v>3.6347968317368114E-3</v>
      </c>
      <c r="AJ81" s="84">
        <f>IF(AI81&lt;&gt;"",AI81*1000*'Elements and ions'!$B$7,"")</f>
        <v>43.65645430694132</v>
      </c>
      <c r="AK81" s="99">
        <f>'WC samples'!H52</f>
        <v>223</v>
      </c>
      <c r="AL81" s="88">
        <f>IF($AK81&lt;&gt;"",$AK81/'Elements and ions'!$G$3*Minerals!$B$6/2,IF($E81="","","Enter Alk(HCO3-)"))</f>
        <v>182.89523597092213</v>
      </c>
      <c r="AM81" s="199"/>
      <c r="AN81" s="101">
        <f t="shared" si="755"/>
        <v>2.7011764078342869E-5</v>
      </c>
      <c r="AO81" s="94">
        <f t="shared" si="756"/>
        <v>3.5608440016571419E-3</v>
      </c>
      <c r="AP81" s="95">
        <f t="shared" si="757"/>
        <v>4.6941066001326735E-5</v>
      </c>
      <c r="AQ81" s="199"/>
      <c r="AR81" s="199"/>
      <c r="AS81" s="83">
        <f t="shared" si="760"/>
        <v>7.9446364936302555E-2</v>
      </c>
      <c r="AT81" s="83">
        <f>IF(AN81&lt;&gt;"",AN81/'Henrys law constants'!$B$7*1000000,"")</f>
        <v>794.46364936302552</v>
      </c>
      <c r="AU81" s="268">
        <f>'WC samples'!K52</f>
        <v>3.9409000000000001</v>
      </c>
      <c r="AV81" s="269">
        <f>'WC samples'!M52</f>
        <v>1.4706999999999999</v>
      </c>
      <c r="AW81" s="269">
        <f>'WC samples'!O52</f>
        <v>69.044700000000006</v>
      </c>
      <c r="AX81" s="269">
        <f>'WC samples'!N52</f>
        <v>4.7142999999999997</v>
      </c>
      <c r="AY81" s="226">
        <f>AO81*'Elements and ions'!$G$3*1000</f>
        <v>217.27144871407356</v>
      </c>
      <c r="AZ81" s="269">
        <f>'WC samples'!Q52</f>
        <v>6.1637000000000004</v>
      </c>
      <c r="BA81" s="269">
        <f>'WC samples'!T52</f>
        <v>14.901300000000001</v>
      </c>
      <c r="BB81" s="270">
        <f>'WC samples'!V52</f>
        <v>8.0004000000000008</v>
      </c>
      <c r="BC81" s="222">
        <f>IF($E81&lt;&gt;"",10^-$E81*'Elements and ions'!B83*1000,"")</f>
        <v>0</v>
      </c>
      <c r="BE81" s="6"/>
      <c r="BF81" s="6"/>
      <c r="BG81" s="270">
        <f>'WC samples'!L52</f>
        <v>0</v>
      </c>
      <c r="BH81" s="3"/>
      <c r="BJ81" s="92">
        <f>IF($AN81&lt;&gt;"",$AN81*'Elements and ions'!$G$2*1000,"")</f>
        <v>1.675398724371119</v>
      </c>
      <c r="BK81" s="229"/>
      <c r="BL81" s="230"/>
      <c r="BM81" s="101">
        <f>IF($E81&lt;&gt;"",(10^-14+$E81)*'Elements and ions'!$G$8,"")</f>
        <v>143.20180280000017</v>
      </c>
      <c r="BO81" s="102">
        <f>IF($AP81&lt;&gt;"",$AP81*'Elements and ions'!$G$4*1000,"")</f>
        <v>2.8168817355670162</v>
      </c>
      <c r="BP81" s="269">
        <f>'WC samples'!P52</f>
        <v>0.18990000000000001</v>
      </c>
      <c r="BQ81" s="270">
        <f>'WC samples'!R52</f>
        <v>5.6500000000000002E-2</v>
      </c>
      <c r="BR81" s="195"/>
      <c r="BS81" s="238">
        <f>IF($AU81&lt;&gt;"",$AU81/'Elements and ions'!$B$12,"")</f>
        <v>0.17141972814091677</v>
      </c>
      <c r="BT81" s="239">
        <f>IF($AV81&lt;&gt;"",$AV81/'Elements and ions'!$B$20,"")</f>
        <v>3.7615446195870407E-2</v>
      </c>
      <c r="BU81" s="239">
        <f>IF($AW81&lt;&gt;"",$AW81/'Elements and ions'!$B$21, "")</f>
        <v>1.7227581216627577</v>
      </c>
      <c r="BV81" s="240">
        <f>IF($AX81&lt;&gt;"",$AX81/'Elements and ions'!$B$13, "")</f>
        <v>0.19396420489611191</v>
      </c>
      <c r="BW81" s="238">
        <f>IF($AY81&lt;&gt;"",$AY81/'Elements and ions'!$G$3,"")</f>
        <v>3.5608440016571423</v>
      </c>
      <c r="BX81" s="239">
        <f>IF($AZ81&lt;&gt;"",$AZ81/'Elements and ions'!$B$18,"")</f>
        <v>0.17385552703579388</v>
      </c>
      <c r="BY81" s="239">
        <f>IF($BA81&lt;&gt;"",$BA81/'Elements and ions'!$G$7,"")</f>
        <v>0.2403245549948472</v>
      </c>
      <c r="BZ81" s="241">
        <f>IF($BB81&lt;&gt;"",$BB81/'Elements and ions'!$G$5,"")</f>
        <v>8.3283192418277252E-2</v>
      </c>
      <c r="CA81" s="91">
        <f t="shared" si="761"/>
        <v>3.8018939632056069E-6</v>
      </c>
      <c r="CB81" s="163" t="str">
        <f>IF($BD81&lt;&gt;"",$BD81/'Elements and ions'!$B$14,"")</f>
        <v/>
      </c>
      <c r="CC81" s="89" t="str">
        <f>IF($BE81&lt;&gt;"",$BE81/'Elements and ions'!$B$27, "")</f>
        <v/>
      </c>
      <c r="CD81" s="249" t="str">
        <f>IF($BF81&lt;&gt;"",$BF81/'Elements and ions'!$B$26,"")</f>
        <v/>
      </c>
      <c r="CE81" s="250">
        <f>IF($BG81&lt;&gt;"",$BG81/'Elements and ions'!$G$6,"")</f>
        <v>0</v>
      </c>
      <c r="CF81" s="91" t="str">
        <f>IF($BH81&lt;&gt;"",$BH81/'Elements and ions'!$G$15,"")</f>
        <v/>
      </c>
      <c r="CG81" s="89" t="str">
        <f>IF($BI81&lt;&gt;"",$BI81/'Elements and ions'!$G$16,"")</f>
        <v/>
      </c>
      <c r="CH81" s="90">
        <f>IF($BJ81&lt;&gt;"",$BJ81/'Elements and ions'!$G$2,"")</f>
        <v>2.7011764078342868E-2</v>
      </c>
      <c r="CI81" s="91" t="str">
        <f>IF($BK81&lt;&gt;"",$BK81/'Elements and ions'!$B$15, "")</f>
        <v/>
      </c>
      <c r="CJ81" s="88" t="str">
        <f>IF($BL81&lt;&gt;"", $BL81/'Elements and ions'!$G$17,"")</f>
        <v/>
      </c>
      <c r="CK81" s="89">
        <f t="shared" si="762"/>
        <v>2.630267991895377E-3</v>
      </c>
      <c r="CL81" s="163" t="str">
        <f>IF($BN81&lt;&gt;"", $BN81/'Elements and ions'!$G$19,"")</f>
        <v/>
      </c>
      <c r="CM81" s="89">
        <f>IF($BO81&lt;&gt;"",$BO81/'Elements and ions'!$G$4,"")</f>
        <v>4.6941066001326741E-2</v>
      </c>
      <c r="CN81" s="89">
        <f>IF($BP81&lt;&gt;"",$BP81/'Elements and ions'!$B$10,"")</f>
        <v>9.9955768914305396E-3</v>
      </c>
      <c r="CO81" s="104">
        <f>IF($BQ81&lt;&gt;"",$BQ81/'Elements and ions'!$G$18,"")</f>
        <v>1.2281140298442579E-3</v>
      </c>
      <c r="CP81" s="242"/>
      <c r="CQ81" s="238">
        <f t="shared" si="771"/>
        <v>1.7141972814091678E-4</v>
      </c>
      <c r="CR81" s="239">
        <f t="shared" si="772"/>
        <v>3.7615446195870404E-5</v>
      </c>
      <c r="CS81" s="239">
        <f t="shared" si="773"/>
        <v>1.7227581216627576E-3</v>
      </c>
      <c r="CT81" s="241">
        <f t="shared" si="774"/>
        <v>1.9396420489611191E-4</v>
      </c>
      <c r="CU81" s="238">
        <f t="shared" si="775"/>
        <v>3.5608440016571424E-3</v>
      </c>
      <c r="CV81" s="239">
        <f t="shared" si="776"/>
        <v>1.7385552703579388E-4</v>
      </c>
      <c r="CW81" s="239">
        <f t="shared" si="777"/>
        <v>2.4032455499484721E-4</v>
      </c>
      <c r="CX81" s="241">
        <f t="shared" si="778"/>
        <v>8.3283192418277257E-5</v>
      </c>
      <c r="CY81" s="258">
        <f t="shared" si="763"/>
        <v>3.8018939632056068E-9</v>
      </c>
      <c r="CZ81" s="259" t="str">
        <f t="shared" si="779"/>
        <v/>
      </c>
      <c r="DA81" s="260" t="str">
        <f t="shared" si="780"/>
        <v/>
      </c>
      <c r="DB81" s="261" t="str">
        <f t="shared" si="781"/>
        <v/>
      </c>
      <c r="DC81" s="262">
        <f t="shared" si="782"/>
        <v>0</v>
      </c>
      <c r="DD81" s="263" t="str">
        <f t="shared" si="783"/>
        <v/>
      </c>
      <c r="DE81" s="259" t="str">
        <f t="shared" si="784"/>
        <v/>
      </c>
      <c r="DF81" s="260">
        <f t="shared" si="785"/>
        <v>2.7011764078342866E-5</v>
      </c>
      <c r="DG81" s="260" t="str">
        <f t="shared" si="786"/>
        <v/>
      </c>
      <c r="DH81" s="264" t="str">
        <f t="shared" si="787"/>
        <v/>
      </c>
      <c r="DI81" s="258">
        <f t="shared" si="764"/>
        <v>2.630267991895377E-6</v>
      </c>
      <c r="DJ81" s="260" t="str">
        <f t="shared" si="788"/>
        <v/>
      </c>
      <c r="DK81" s="260">
        <f t="shared" si="789"/>
        <v>4.6941066001326742E-5</v>
      </c>
      <c r="DL81" s="260">
        <f t="shared" si="790"/>
        <v>9.995576891430539E-6</v>
      </c>
      <c r="DM81" s="265">
        <f t="shared" si="791"/>
        <v>1.228114029844258E-6</v>
      </c>
      <c r="DN81" s="242"/>
      <c r="DO81" s="238">
        <f t="shared" si="792"/>
        <v>0.17141972814091677</v>
      </c>
      <c r="DP81" s="239">
        <f t="shared" si="793"/>
        <v>3.7615446195870407E-2</v>
      </c>
      <c r="DQ81" s="239">
        <f t="shared" si="794"/>
        <v>3.4455162433255153</v>
      </c>
      <c r="DR81" s="241">
        <f t="shared" si="795"/>
        <v>0.38792840979222382</v>
      </c>
      <c r="DS81" s="238">
        <f t="shared" si="796"/>
        <v>-3.5608440016571423</v>
      </c>
      <c r="DT81" s="239">
        <f t="shared" si="797"/>
        <v>-0.17385552703579388</v>
      </c>
      <c r="DU81" s="239">
        <f t="shared" si="798"/>
        <v>-0.2403245549948472</v>
      </c>
      <c r="DV81" s="241">
        <f t="shared" si="799"/>
        <v>-0.1665663848365545</v>
      </c>
      <c r="DW81" s="91">
        <f t="shared" si="765"/>
        <v>3.8018939632056069E-6</v>
      </c>
      <c r="DX81" s="89">
        <f t="shared" si="800"/>
        <v>0</v>
      </c>
      <c r="DY81" s="89">
        <f t="shared" si="801"/>
        <v>0</v>
      </c>
      <c r="DZ81" s="89">
        <f t="shared" si="802"/>
        <v>0</v>
      </c>
      <c r="EA81" s="90">
        <f t="shared" si="803"/>
        <v>0</v>
      </c>
      <c r="EB81" s="91">
        <f t="shared" si="766"/>
        <v>-2.630267991895377E-3</v>
      </c>
      <c r="EC81" s="89">
        <f t="shared" si="804"/>
        <v>0</v>
      </c>
      <c r="ED81" s="89">
        <f t="shared" si="805"/>
        <v>-9.3882132002653482E-2</v>
      </c>
      <c r="EE81" s="89">
        <f t="shared" si="806"/>
        <v>-9.9955768914305396E-3</v>
      </c>
      <c r="EF81" s="90">
        <f t="shared" si="807"/>
        <v>-2.4562280596885158E-3</v>
      </c>
      <c r="EG81" s="242"/>
      <c r="EH81" s="245">
        <f t="shared" si="808"/>
        <v>4.0424836293484896</v>
      </c>
      <c r="EI81" s="246">
        <f t="shared" si="809"/>
        <v>-4.2505546734700053</v>
      </c>
      <c r="EJ81" s="198">
        <f t="shared" si="810"/>
        <v>-2.5089844822108209</v>
      </c>
      <c r="EK81" s="198">
        <f t="shared" si="811"/>
        <v>1.0097049493366587E-2</v>
      </c>
      <c r="EL81" s="101">
        <f>IF(AND(CS81&lt;&gt;"",DK81&lt;&gt;""),LOG(CS81*DK81/Minerals!$C$6),"")</f>
        <v>1.3879492601485577</v>
      </c>
      <c r="EM81" s="94">
        <f>IF(AND(CS81&lt;&gt;"",DK81&lt;&gt;""),LOG(CS81*DK81/Minerals!$C$5),"")</f>
        <v>1.2574697307923401</v>
      </c>
      <c r="EN81" s="94">
        <f>IF(AND(CS81&lt;&gt;"",DL81&lt;&gt;""),LOG(CS81*DL81^2/Minerals!$C$2),"")</f>
        <v>-2.1942350208686103</v>
      </c>
      <c r="EO81" s="94">
        <f>IF(AND(CS81&lt;&gt;"",CX81&lt;&gt;""),LOG($CS81*$CX81/Minerals!$C$3),"")</f>
        <v>-2.2432379648291083</v>
      </c>
      <c r="EP81" s="95">
        <f>IF(AND(CS81&lt;&gt;"",CX81&lt;&gt;""),LOG($CS81*$CX81/Minerals!$C$4),"")</f>
        <v>-2.4832224762950106</v>
      </c>
      <c r="EQ81" s="199"/>
      <c r="ER81" s="101">
        <f t="shared" si="767"/>
        <v>0.90021347860907519</v>
      </c>
      <c r="ES81" s="94">
        <f t="shared" si="767"/>
        <v>0.90021347860907519</v>
      </c>
      <c r="ET81" s="94">
        <f t="shared" si="768"/>
        <v>0.65672272514443575</v>
      </c>
      <c r="EU81" s="94">
        <f t="shared" si="768"/>
        <v>0.65672272514443575</v>
      </c>
      <c r="EV81" s="95">
        <f t="shared" si="768"/>
        <v>0.65672272514443575</v>
      </c>
      <c r="EW81" s="101">
        <f t="shared" si="769"/>
        <v>0.90021347860907519</v>
      </c>
      <c r="EX81" s="94">
        <f t="shared" si="758"/>
        <v>0.65672272514443575</v>
      </c>
      <c r="EY81" s="94">
        <f t="shared" si="769"/>
        <v>0.90021347860907519</v>
      </c>
      <c r="EZ81" s="94">
        <f t="shared" si="769"/>
        <v>0.90021347860907519</v>
      </c>
      <c r="FA81" s="94">
        <f t="shared" si="769"/>
        <v>0.90021347860907519</v>
      </c>
      <c r="FB81" s="95">
        <f t="shared" si="759"/>
        <v>0.65672272514443575</v>
      </c>
      <c r="FC81" s="199"/>
      <c r="FD81" s="101">
        <f t="shared" si="812"/>
        <v>1.5431434977195666E-4</v>
      </c>
      <c r="FE81" s="94">
        <f t="shared" si="813"/>
        <v>3.3861931669417003E-5</v>
      </c>
      <c r="FF81" s="94">
        <f t="shared" si="814"/>
        <v>1.1313744084230756E-3</v>
      </c>
      <c r="FG81" s="94">
        <f t="shared" si="815"/>
        <v>1.2738070121984832E-4</v>
      </c>
      <c r="FH81" s="95" t="str">
        <f t="shared" si="816"/>
        <v/>
      </c>
      <c r="FI81" s="101">
        <f t="shared" si="817"/>
        <v>3.2055197655160355E-3</v>
      </c>
      <c r="FJ81" s="94">
        <f t="shared" si="818"/>
        <v>3.0827264785576123E-5</v>
      </c>
      <c r="FK81" s="94">
        <f t="shared" si="819"/>
        <v>1.5650708876830614E-4</v>
      </c>
      <c r="FL81" s="94">
        <f t="shared" si="820"/>
        <v>2.1634340364708941E-4</v>
      </c>
      <c r="FM81" s="94">
        <f t="shared" si="821"/>
        <v>8.9981530441391726E-6</v>
      </c>
      <c r="FN81" s="95">
        <f t="shared" si="822"/>
        <v>5.4693965083659451E-5</v>
      </c>
      <c r="FO81" s="199"/>
      <c r="FP81" s="101">
        <f>IF(EL81&lt;&gt;"",LOG(FF81*FJ81/Minerals!$C$6),"")</f>
        <v>1.0227133497789225</v>
      </c>
      <c r="FQ81" s="94">
        <f>IF(EL81&lt;&gt;"",LOG(FF81*FJ81/Minerals!$C$5),"")</f>
        <v>0.89223382042270472</v>
      </c>
      <c r="FR81" s="94">
        <f>IF(EN81&lt;&gt;"",LOG(FF81*FM81^2/Minerals!$C$2),"")</f>
        <v>-2.4681619536458368</v>
      </c>
      <c r="FS81" s="94">
        <f>IF(EO81&lt;&gt;"",LOG($FF81*$FN81/Minerals!$C$3),"")</f>
        <v>-2.6084738751987437</v>
      </c>
      <c r="FT81" s="95">
        <f>IF(EP81&lt;&gt;"",LOG($FF81*$FN81/Minerals!$C$4),"")</f>
        <v>-2.848458386664646</v>
      </c>
      <c r="FU81" s="96"/>
      <c r="FV81" s="101">
        <f>IF(FP81&lt;&gt;"",LOG(FF81*FJ81/(EXP(-1*Minerals!$E$6/'Other Constants'!$B$2*(1/(273.15+'ppm-mgL-1'!$D81)-1/298.15)+LN(Minerals!$C$6)))),"")</f>
        <v>-0.2388511241650236</v>
      </c>
      <c r="FW81" s="94">
        <f>IF(FP81&lt;&gt;"",LOG(FF81*FJ81/(EXP(-1*Minerals!$E$5/'Other Constants'!$B$2*(1/(273.15+'ppm-mgL-1'!$D81)-1/298.15)+LN(Minerals!$C$5)))),"")</f>
        <v>-0.36944470273762486</v>
      </c>
      <c r="FX81" s="94">
        <f>IF(FR81&lt;&gt;"",LOG(FF81*FM81^2/(EXP(-1*Minerals!$E$2/'Other Constants'!$B$2*(1/(273.15+'ppm-mgL-1'!$D81)-1/298.15)+LN(Minerals!$C$2)))),"")</f>
        <v>-2.4148249367836012</v>
      </c>
      <c r="FY81" s="94">
        <f>IF(FS81&lt;&gt;"",LOG($FF81*$FN81/(EXP(-1*Minerals!$E$3/'Other Constants'!$B$2*(1/(273.15+'ppm-mgL-1'!$D81)-1/298.15)+LN(Minerals!$C$3)))),"")</f>
        <v>-1.5209613740099781</v>
      </c>
      <c r="FZ81" s="95">
        <f>IF(FT81&lt;&gt;"",LOG($FF81*$FN81/(EXP(-1*Minerals!$E$4/'Other Constants'!$B$2*(1/(273.15+'ppm-mgL-1'!$D81)-1/298.15)+LN(Minerals!$C$4)))),"")</f>
        <v>-2.8796128309401992</v>
      </c>
      <c r="GA81" s="96"/>
      <c r="GB81" s="96"/>
      <c r="GC81" s="101">
        <f>10^(-1825000*(79.755*EXP(-0.0046*($D81-20))*($D81+273.15))^-1.5*$EK81^0.5/(1+'Elements and ions'!$D$12*$EK81^0.5/(2*(79.755*EXP(-0.0046*($D81-20))*($D81+273.15))^0.5)))</f>
        <v>0.90057720600718782</v>
      </c>
      <c r="GD81" s="94">
        <f>10^(-1825000*(79.755*EXP(-0.0046*($D81-20))*($D81+273.15))^-1.5*$EK81^0.5/(1+'Elements and ions'!$D$20*$EK81^0.5/(2*(79.755*EXP(-0.0046*($D81-20))*($D81+273.15))^0.5)))</f>
        <v>0.89775812299842184</v>
      </c>
      <c r="GE81" s="94">
        <f>10^(-1825000*(79.755*EXP(-0.0046*($D81-20))*($D81+273.15))^-1.5*4*$EK81^0.5/(1+'Elements and ions'!$D$21*$EK81^0.5/(2*(79.755*EXP(-0.0046*($D81-20))*($D81+273.15))^0.5)))</f>
        <v>0.67309896381568379</v>
      </c>
      <c r="GF81" s="94">
        <f>10^(-1825000*(79.755*EXP(-0.0046*($D81-20))*($D81+273.15))^-1.5*4*$EK81^0.5/(1+'Elements and ions'!$D$13*$EK81^0.5/(2*(79.755*EXP(-0.0046*($D81-20))*($D81+273.15))^0.5)))</f>
        <v>0.68712050762366961</v>
      </c>
      <c r="GG81" s="95">
        <f>10^(-1825000*(79.755*EXP(-0.0046*($D81-20))*($D81+273.15))^-1.5*4*$EK81^0.5/(1+'Elements and ions'!$D$27*$EK81^0.5/(2*(79.755*EXP(-0.0046*($D81-20))*($D81+273.15))^0.5)))</f>
        <v>0.67309896381568379</v>
      </c>
      <c r="GH81" s="101">
        <f>10^(-1825000*(79.755*EXP(-0.0046*($D81-20))*($D81+273.15))^-1.5*$EK81^0.5/(1+'Elements and ions'!$G$3*$EK81^0.5/(2*(79.755*EXP(-0.0046*($D81-20))*($D81+273.15))^0.5)))</f>
        <v>0.89032718719188531</v>
      </c>
      <c r="GI81" s="94">
        <f>10^(-1825000*(79.755*EXP(-0.0046*($D81-20))*($D81+273.15))^-1.5*4*$EK81^0.5/(1+'Elements and ions'!$G$4*$EK81^0.5/(2*(79.755*EXP(-0.0046*($D81-20))*($D81+273.15))^0.5)))</f>
        <v>0.62825062496950701</v>
      </c>
      <c r="GJ81" s="94">
        <f>10^(-1825000*(79.755*EXP(-0.0046*($D81-20))*($D81+273.15))^-1.5*$EK81^0.5/(1+'Elements and ions'!$D$18*$EK81^0.5/(2*(79.755*EXP(-0.0046*($D81-20))*($D81+273.15))^0.5)))</f>
        <v>0.89775812299842184</v>
      </c>
      <c r="GK81" s="94">
        <f>10^(-1825000*(79.755*EXP(-0.0046*($D81-20))*($D81+273.15))^-1.5*$EK81^0.5/(1+'Elements and ions'!$I$7*$EK81^0.5/(2*(79.755*EXP(-0.0046*($D81-20))*($D81+273.15))^0.5)))</f>
        <v>0.89775812299842184</v>
      </c>
      <c r="GL81" s="94">
        <f>10^(-1825000*(79.755*EXP(-0.0046*($D81-20))*($D81+273.15))^-1.5*$EK81^0.5/(1+'Elements and ions'!$D$10*$EK81^0.5/(2*(79.755*EXP(-0.0046*($D81-20))*($D81+273.15))^0.5)))</f>
        <v>0.89918734901207797</v>
      </c>
      <c r="GM81" s="95">
        <f>10^(-1825000*(79.755*EXP(-0.0046*($D81-20))*($D81+273.15))^-1.5*4*$EK81^0.5/(1+'Elements and ions'!$I$5*$EK81^0.5/(2*(79.755*EXP(-0.0046*($D81-20))*($D81+273.15))^0.5)))</f>
        <v>0.65778475259989699</v>
      </c>
      <c r="GN81" s="96"/>
      <c r="GO81" s="101">
        <f t="shared" si="823"/>
        <v>1.5437669982365854E-4</v>
      </c>
      <c r="GP81" s="94">
        <f t="shared" si="824"/>
        <v>3.3769572372552744E-5</v>
      </c>
      <c r="GQ81" s="94">
        <f t="shared" si="825"/>
        <v>1.1595867065962559E-3</v>
      </c>
      <c r="GR81" s="94">
        <f t="shared" si="826"/>
        <v>1.3327678292903789E-4</v>
      </c>
      <c r="GS81" s="95" t="str">
        <f t="shared" si="827"/>
        <v/>
      </c>
      <c r="GT81" s="101">
        <f t="shared" si="828"/>
        <v>3.1703162240245006E-3</v>
      </c>
      <c r="GU81" s="94">
        <f t="shared" si="829"/>
        <v>2.9490754052068403E-5</v>
      </c>
      <c r="GV81" s="94">
        <f t="shared" si="830"/>
        <v>1.560802116245557E-4</v>
      </c>
      <c r="GW81" s="94">
        <f t="shared" si="831"/>
        <v>2.1575332140260503E-4</v>
      </c>
      <c r="GX81" s="94">
        <f t="shared" si="832"/>
        <v>8.9878962868518138E-6</v>
      </c>
      <c r="GY81" s="102">
        <f t="shared" si="833"/>
        <v>5.4782414120586122E-5</v>
      </c>
      <c r="GZ81" s="199"/>
      <c r="HA81" s="92">
        <f>IF(AND(GQ81&lt;&gt;"",GU81&lt;&gt;""),LOG(GQ81*GU81/Minerals!$C$6),"")</f>
        <v>1.0141611114338698</v>
      </c>
      <c r="HB81" s="94">
        <f>IF(AND(GQ81&lt;&gt;"",GU81&lt;&gt;""),LOG(GQ81*GU81/Minerals!$C$5),"")</f>
        <v>0.88368158207765202</v>
      </c>
      <c r="HC81" s="94">
        <f>IF(AND(GQ81&lt;&gt;"",GX81&lt;&gt;""),LOG(GQ81*GX81^2/Minerals!$C$2),"")</f>
        <v>-2.4584557228268262</v>
      </c>
      <c r="HD81" s="94">
        <f>IF(AND(GQ81&lt;&gt;"",GY81&lt;&gt;""),LOG($GQ81*$GY81/Minerals!$C$3),"")</f>
        <v>-2.5970752404844135</v>
      </c>
      <c r="HE81" s="102">
        <f>IF(AND(GQ81&lt;&gt;"",GY81&lt;&gt;""),LOG($GQ81*$GY81/Minerals!$C$3),"")</f>
        <v>-2.5970752404844135</v>
      </c>
      <c r="HF81" s="199"/>
      <c r="HG81" s="92">
        <f>IF(HA81&lt;&gt;"",LOG(GQ81*GU81/(EXP(-1*Minerals!$E$6/'Other Constants'!$B$2*(1/(273.15+'ppm-mgL-1'!$D81)-1/298.15)+LN(Minerals!$C$6)))),"")</f>
        <v>-0.24740336251007639</v>
      </c>
      <c r="HH81" s="94">
        <f>IF(HA81&lt;&gt;"",LOG(GQ81*GU81/(EXP(-1*Minerals!$E$5/'Other Constants'!$B$2*(1/(273.15+'ppm-mgL-1'!$D81)-1/298.15)+LN(Minerals!$C$5)))),"")</f>
        <v>-0.37799694108267756</v>
      </c>
      <c r="HI81" s="94">
        <f>IF(HC81&lt;&gt;"",LOG(GQ81*GX81^2/(EXP(-1*Minerals!$E$2/'Other Constants'!$B$2*(1/(273.15+'ppm-mgL-1'!$D81)-1/298.15)+LN(Minerals!$C$2)))),"")</f>
        <v>-2.4051187059645911</v>
      </c>
      <c r="HJ81" s="94">
        <f>IF(HD81&lt;&gt;"",LOG($FF81*$FN81/(EXP(-1*Minerals!$E$3/'Other Constants'!$B$2*(1/(273.15+'ppm-mgL-1'!$D81)-1/298.15)+LN(Minerals!$C$3)))),"")</f>
        <v>-1.5209613740099781</v>
      </c>
      <c r="HK81" s="95">
        <f>IF(HE81&lt;&gt;"",LOG($FF81*$FN81/(EXP(-1*Minerals!$E$4/'Other Constants'!$B$2*(1/(273.15+'ppm-mgL-1'!$D81)-1/298.15)+LN(Minerals!$C$4)))),"")</f>
        <v>-2.8796128309401992</v>
      </c>
      <c r="HL81" s="199"/>
      <c r="HM81" s="199"/>
    </row>
    <row r="82" spans="1:221" x14ac:dyDescent="0.25">
      <c r="A82" s="267" t="str">
        <f>'WC samples'!B53</f>
        <v>ISSR 7</v>
      </c>
      <c r="C82" s="266">
        <f>'WC samples'!A53</f>
        <v>41474</v>
      </c>
      <c r="D82" s="4">
        <f>'WC samples'!I53</f>
        <v>21.4</v>
      </c>
      <c r="E82" s="4">
        <f>'WC samples'!F53</f>
        <v>7.79</v>
      </c>
      <c r="AD82" s="83">
        <f>IF(E82&lt;&gt;"",10^(-2*$E82)/(10^(-2*$E82)+10^(-$E82-pKa!$B$2)+(10^(-pKa!$B$2-pKa!$C$2))),"")</f>
        <v>3.1251510245114175E-2</v>
      </c>
      <c r="AE82" s="84">
        <f>IF(E82&lt;&gt;"",10^(-$E82-pKa!$B$2)/(10^(-2*$E82)+10^(-$E82-pKa!$B$2)+10^(-pKa!$B$2-pKa!$C$2)),"")</f>
        <v>0.96576399369628019</v>
      </c>
      <c r="AF82" s="212">
        <f>IF(E82&lt;&gt;"",10^(-pKa!$B$2-pKa!$C$2)/(10^(-2*$E82)+10^(-$E82-pKa!$B$2)+10^(-pKa!$B$2-pKa!$C$2)),"")</f>
        <v>2.9844960586056851E-3</v>
      </c>
      <c r="AG82" s="152"/>
      <c r="AH82" s="222">
        <f>IF($AK82&lt;&gt;"",$AK82/'Elements and ions'!$G$3,IF($E82="","",""))</f>
        <v>3.4195477838577024</v>
      </c>
      <c r="AI82" s="85">
        <f t="shared" si="770"/>
        <v>3.519019353467876E-3</v>
      </c>
      <c r="AJ82" s="84">
        <f>IF(AI82&lt;&gt;"",AI82*1000*'Elements and ions'!$B$7,"")</f>
        <v>42.265885748696618</v>
      </c>
      <c r="AK82" s="99">
        <f>'WC samples'!H53</f>
        <v>208.65</v>
      </c>
      <c r="AL82" s="88">
        <f>IF($AK82&lt;&gt;"",$AK82/'Elements and ions'!$G$3*Minerals!$B$6/2,IF($E82="","","Enter Alk(HCO3-)"))</f>
        <v>171.12596854409375</v>
      </c>
      <c r="AM82" s="199"/>
      <c r="AN82" s="101">
        <f t="shared" si="755"/>
        <v>1.0997466937765639E-4</v>
      </c>
      <c r="AO82" s="94">
        <f t="shared" si="756"/>
        <v>3.398542184699638E-3</v>
      </c>
      <c r="AP82" s="95">
        <f t="shared" si="757"/>
        <v>1.0502499390582002E-5</v>
      </c>
      <c r="AQ82" s="199"/>
      <c r="AR82" s="199"/>
      <c r="AS82" s="83">
        <f t="shared" si="760"/>
        <v>0.32345490993428344</v>
      </c>
      <c r="AT82" s="83">
        <f>IF(AN82&lt;&gt;"",AN82/'Henrys law constants'!$B$7*1000000,"")</f>
        <v>3234.5490993428343</v>
      </c>
      <c r="AU82" s="268">
        <f>'WC samples'!K53</f>
        <v>3.1335999999999999</v>
      </c>
      <c r="AV82" s="269">
        <f>'WC samples'!M53</f>
        <v>1.2525999999999999</v>
      </c>
      <c r="AW82" s="269">
        <f>'WC samples'!O53</f>
        <v>66.565100000000001</v>
      </c>
      <c r="AX82" s="269">
        <f>'WC samples'!N53</f>
        <v>4.5049999999999999</v>
      </c>
      <c r="AY82" s="226">
        <f>AO82*'Elements and ions'!$G$3*1000</f>
        <v>207.36830471706824</v>
      </c>
      <c r="AZ82" s="269">
        <f>'WC samples'!Q53</f>
        <v>4.2377000000000002</v>
      </c>
      <c r="BA82" s="269">
        <f>'WC samples'!T53</f>
        <v>12.242699999999999</v>
      </c>
      <c r="BB82" s="270">
        <f>'WC samples'!V53</f>
        <v>8.5886999999999993</v>
      </c>
      <c r="BC82" s="222">
        <f>IF($E82&lt;&gt;"",10^-$E82*'Elements and ions'!B86*1000,"")</f>
        <v>0</v>
      </c>
      <c r="BE82" s="6"/>
      <c r="BF82" s="6"/>
      <c r="BG82" s="270">
        <f>'WC samples'!L53</f>
        <v>0</v>
      </c>
      <c r="BH82" s="3"/>
      <c r="BJ82" s="92">
        <f>IF($AN82&lt;&gt;"",$AN82*'Elements and ions'!$G$2*1000,"")</f>
        <v>6.8211546737218738</v>
      </c>
      <c r="BK82" s="229"/>
      <c r="BL82" s="230"/>
      <c r="BM82" s="101">
        <f>IF($E82&lt;&gt;"",(10^-14+$E82)*'Elements and ions'!$G$8,"")</f>
        <v>132.48717860000016</v>
      </c>
      <c r="BO82" s="102">
        <f>IF($AP82&lt;&gt;"",$AP82*'Elements and ions'!$G$4*1000,"")</f>
        <v>0.63024343567949626</v>
      </c>
      <c r="BP82" s="269">
        <f>'WC samples'!P53</f>
        <v>0.22720000000000001</v>
      </c>
      <c r="BQ82" s="270">
        <f>'WC samples'!R53</f>
        <v>0</v>
      </c>
      <c r="BR82" s="195"/>
      <c r="BS82" s="238">
        <f>IF($AU82&lt;&gt;"",$AU82/'Elements and ions'!$B$12,"")</f>
        <v>0.13630410822461284</v>
      </c>
      <c r="BT82" s="239">
        <f>IF($AV82&lt;&gt;"",$AV82/'Elements and ions'!$B$20,"")</f>
        <v>3.2037198548274477E-2</v>
      </c>
      <c r="BU82" s="239">
        <f>IF($AW82&lt;&gt;"",$AW82/'Elements and ions'!$B$21, "")</f>
        <v>1.660888766904536</v>
      </c>
      <c r="BV82" s="240">
        <f>IF($AX82&lt;&gt;"",$AX82/'Elements and ions'!$B$13, "")</f>
        <v>0.18535280806418433</v>
      </c>
      <c r="BW82" s="238">
        <f>IF($AY82&lt;&gt;"",$AY82/'Elements and ions'!$G$3,"")</f>
        <v>3.3985421846996382</v>
      </c>
      <c r="BX82" s="239">
        <f>IF($AZ82&lt;&gt;"",$AZ82/'Elements and ions'!$B$18,"")</f>
        <v>0.11953008208050094</v>
      </c>
      <c r="BY82" s="239">
        <f>IF($BA82&lt;&gt;"",$BA82/'Elements and ions'!$G$7,"")</f>
        <v>0.19744729851995568</v>
      </c>
      <c r="BZ82" s="241">
        <f>IF($BB82&lt;&gt;"",$BB82/'Elements and ions'!$G$5,"")</f>
        <v>8.9407323974158501E-2</v>
      </c>
      <c r="CA82" s="91">
        <f t="shared" si="761"/>
        <v>1.6218100973589298E-5</v>
      </c>
      <c r="CB82" s="163" t="str">
        <f>IF($BD82&lt;&gt;"",$BD82/'Elements and ions'!$B$14,"")</f>
        <v/>
      </c>
      <c r="CC82" s="89" t="str">
        <f>IF($BE82&lt;&gt;"",$BE82/'Elements and ions'!$B$27, "")</f>
        <v/>
      </c>
      <c r="CD82" s="249" t="str">
        <f>IF($BF82&lt;&gt;"",$BF82/'Elements and ions'!$B$26,"")</f>
        <v/>
      </c>
      <c r="CE82" s="250">
        <f>IF($BG82&lt;&gt;"",$BG82/'Elements and ions'!$G$6,"")</f>
        <v>0</v>
      </c>
      <c r="CF82" s="91" t="str">
        <f>IF($BH82&lt;&gt;"",$BH82/'Elements and ions'!$G$15,"")</f>
        <v/>
      </c>
      <c r="CG82" s="89" t="str">
        <f>IF($BI82&lt;&gt;"",$BI82/'Elements and ions'!$G$16,"")</f>
        <v/>
      </c>
      <c r="CH82" s="90">
        <f>IF($BJ82&lt;&gt;"",$BJ82/'Elements and ions'!$G$2,"")</f>
        <v>0.10997466937765639</v>
      </c>
      <c r="CI82" s="91" t="str">
        <f>IF($BK82&lt;&gt;"",$BK82/'Elements and ions'!$B$15, "")</f>
        <v/>
      </c>
      <c r="CJ82" s="88" t="str">
        <f>IF($BL82&lt;&gt;"", $BL82/'Elements and ions'!$G$17,"")</f>
        <v/>
      </c>
      <c r="CK82" s="89">
        <f t="shared" si="762"/>
        <v>6.165950018614814E-4</v>
      </c>
      <c r="CL82" s="163" t="str">
        <f>IF($BN82&lt;&gt;"", $BN82/'Elements and ions'!$G$19,"")</f>
        <v/>
      </c>
      <c r="CM82" s="89">
        <f>IF($BO82&lt;&gt;"",$BO82/'Elements and ions'!$G$4,"")</f>
        <v>1.0502499390582001E-2</v>
      </c>
      <c r="CN82" s="89">
        <f>IF($BP82&lt;&gt;"",$BP82/'Elements and ions'!$B$10,"")</f>
        <v>1.1958899787956919E-2</v>
      </c>
      <c r="CO82" s="104">
        <f>IF($BQ82&lt;&gt;"",$BQ82/'Elements and ions'!$G$18,"")</f>
        <v>0</v>
      </c>
      <c r="CP82" s="242"/>
      <c r="CQ82" s="238">
        <f t="shared" si="771"/>
        <v>1.3630410822461283E-4</v>
      </c>
      <c r="CR82" s="239">
        <f t="shared" si="772"/>
        <v>3.2037198548274479E-5</v>
      </c>
      <c r="CS82" s="239">
        <f t="shared" si="773"/>
        <v>1.6608887669045361E-3</v>
      </c>
      <c r="CT82" s="241">
        <f t="shared" si="774"/>
        <v>1.8535280806418434E-4</v>
      </c>
      <c r="CU82" s="238">
        <f t="shared" si="775"/>
        <v>3.398542184699638E-3</v>
      </c>
      <c r="CV82" s="239">
        <f t="shared" si="776"/>
        <v>1.1953008208050094E-4</v>
      </c>
      <c r="CW82" s="239">
        <f t="shared" si="777"/>
        <v>1.9744729851995567E-4</v>
      </c>
      <c r="CX82" s="241">
        <f t="shared" si="778"/>
        <v>8.9407323974158501E-5</v>
      </c>
      <c r="CY82" s="258">
        <f t="shared" si="763"/>
        <v>1.6218100973589297E-8</v>
      </c>
      <c r="CZ82" s="259" t="str">
        <f t="shared" si="779"/>
        <v/>
      </c>
      <c r="DA82" s="260" t="str">
        <f t="shared" si="780"/>
        <v/>
      </c>
      <c r="DB82" s="261" t="str">
        <f t="shared" si="781"/>
        <v/>
      </c>
      <c r="DC82" s="262">
        <f t="shared" si="782"/>
        <v>0</v>
      </c>
      <c r="DD82" s="263" t="str">
        <f t="shared" si="783"/>
        <v/>
      </c>
      <c r="DE82" s="259" t="str">
        <f t="shared" si="784"/>
        <v/>
      </c>
      <c r="DF82" s="260">
        <f t="shared" si="785"/>
        <v>1.0997466937765639E-4</v>
      </c>
      <c r="DG82" s="260" t="str">
        <f t="shared" si="786"/>
        <v/>
      </c>
      <c r="DH82" s="264" t="str">
        <f t="shared" si="787"/>
        <v/>
      </c>
      <c r="DI82" s="258">
        <f t="shared" si="764"/>
        <v>6.1659500186148145E-7</v>
      </c>
      <c r="DJ82" s="260" t="str">
        <f t="shared" si="788"/>
        <v/>
      </c>
      <c r="DK82" s="260">
        <f t="shared" si="789"/>
        <v>1.0502499390582002E-5</v>
      </c>
      <c r="DL82" s="260">
        <f t="shared" si="790"/>
        <v>1.195889978795692E-5</v>
      </c>
      <c r="DM82" s="265">
        <f t="shared" si="791"/>
        <v>0</v>
      </c>
      <c r="DN82" s="242"/>
      <c r="DO82" s="238">
        <f t="shared" si="792"/>
        <v>0.13630410822461284</v>
      </c>
      <c r="DP82" s="239">
        <f t="shared" si="793"/>
        <v>3.2037198548274477E-2</v>
      </c>
      <c r="DQ82" s="239">
        <f t="shared" si="794"/>
        <v>3.321777533809072</v>
      </c>
      <c r="DR82" s="241">
        <f t="shared" si="795"/>
        <v>0.37070561612836866</v>
      </c>
      <c r="DS82" s="238">
        <f t="shared" si="796"/>
        <v>-3.3985421846996382</v>
      </c>
      <c r="DT82" s="239">
        <f t="shared" si="797"/>
        <v>-0.11953008208050094</v>
      </c>
      <c r="DU82" s="239">
        <f t="shared" si="798"/>
        <v>-0.19744729851995568</v>
      </c>
      <c r="DV82" s="241">
        <f t="shared" si="799"/>
        <v>-0.178814647948317</v>
      </c>
      <c r="DW82" s="91">
        <f t="shared" si="765"/>
        <v>1.6218100973589298E-5</v>
      </c>
      <c r="DX82" s="89">
        <f t="shared" si="800"/>
        <v>0</v>
      </c>
      <c r="DY82" s="89">
        <f t="shared" si="801"/>
        <v>0</v>
      </c>
      <c r="DZ82" s="89">
        <f t="shared" si="802"/>
        <v>0</v>
      </c>
      <c r="EA82" s="90">
        <f t="shared" si="803"/>
        <v>0</v>
      </c>
      <c r="EB82" s="91">
        <f t="shared" si="766"/>
        <v>-6.165950018614814E-4</v>
      </c>
      <c r="EC82" s="89">
        <f t="shared" si="804"/>
        <v>0</v>
      </c>
      <c r="ED82" s="89">
        <f t="shared" si="805"/>
        <v>-2.1004998781164002E-2</v>
      </c>
      <c r="EE82" s="89">
        <f t="shared" si="806"/>
        <v>-1.1958899787956919E-2</v>
      </c>
      <c r="EF82" s="90">
        <f t="shared" si="807"/>
        <v>0</v>
      </c>
      <c r="EG82" s="242"/>
      <c r="EH82" s="245">
        <f t="shared" si="808"/>
        <v>3.860840674811302</v>
      </c>
      <c r="EI82" s="246">
        <f t="shared" si="809"/>
        <v>-3.927914706819394</v>
      </c>
      <c r="EJ82" s="198">
        <f t="shared" si="810"/>
        <v>-0.86116495796339998</v>
      </c>
      <c r="EK82" s="198">
        <f t="shared" si="811"/>
        <v>9.6905054817019842E-3</v>
      </c>
      <c r="EL82" s="101">
        <f>IF(AND(CS82&lt;&gt;"",DK82&lt;&gt;""),LOG(CS82*DK82/Minerals!$C$6),"")</f>
        <v>0.72180521907536066</v>
      </c>
      <c r="EM82" s="94">
        <f>IF(AND(CS82&lt;&gt;"",DK82&lt;&gt;""),LOG(CS82*DK82/Minerals!$C$5),"")</f>
        <v>0.59132568971914301</v>
      </c>
      <c r="EN82" s="94">
        <f>IF(AND(CS82&lt;&gt;"",DL82&lt;&gt;""),LOG(CS82*DL82^2/Minerals!$C$2),"")</f>
        <v>-2.0543520544254616</v>
      </c>
      <c r="EO82" s="94">
        <f>IF(AND(CS82&lt;&gt;"",CX82&lt;&gt;""),LOG($CS82*$CX82/Minerals!$C$3),"")</f>
        <v>-2.2283059908967258</v>
      </c>
      <c r="EP82" s="95">
        <f>IF(AND(CS82&lt;&gt;"",CX82&lt;&gt;""),LOG($CS82*$CX82/Minerals!$C$4),"")</f>
        <v>-2.468290502362628</v>
      </c>
      <c r="EQ82" s="199"/>
      <c r="ER82" s="101">
        <f t="shared" si="767"/>
        <v>0.90196741208164344</v>
      </c>
      <c r="ES82" s="94">
        <f t="shared" si="767"/>
        <v>0.90196741208164344</v>
      </c>
      <c r="ET82" s="94">
        <f t="shared" si="768"/>
        <v>0.66185581271212357</v>
      </c>
      <c r="EU82" s="94">
        <f t="shared" si="768"/>
        <v>0.66185581271212357</v>
      </c>
      <c r="EV82" s="95">
        <f t="shared" si="768"/>
        <v>0.66185581271212357</v>
      </c>
      <c r="EW82" s="101">
        <f t="shared" si="769"/>
        <v>0.90196741208164344</v>
      </c>
      <c r="EX82" s="94">
        <f t="shared" si="758"/>
        <v>0.66185581271212357</v>
      </c>
      <c r="EY82" s="94">
        <f t="shared" si="769"/>
        <v>0.90196741208164344</v>
      </c>
      <c r="EZ82" s="94">
        <f t="shared" si="769"/>
        <v>0.90196741208164344</v>
      </c>
      <c r="FA82" s="94">
        <f t="shared" si="769"/>
        <v>0.90196741208164344</v>
      </c>
      <c r="FB82" s="95">
        <f t="shared" si="759"/>
        <v>0.66185581271212357</v>
      </c>
      <c r="FC82" s="199"/>
      <c r="FD82" s="101">
        <f t="shared" si="812"/>
        <v>1.2294186375145027E-4</v>
      </c>
      <c r="FE82" s="94">
        <f t="shared" si="813"/>
        <v>2.8896509064932917E-5</v>
      </c>
      <c r="FF82" s="94">
        <f t="shared" si="814"/>
        <v>1.0992688846440384E-3</v>
      </c>
      <c r="FG82" s="94">
        <f t="shared" si="815"/>
        <v>1.2267683341979498E-4</v>
      </c>
      <c r="FH82" s="95" t="str">
        <f t="shared" si="816"/>
        <v/>
      </c>
      <c r="FI82" s="101">
        <f t="shared" si="817"/>
        <v>3.0653742991838271E-3</v>
      </c>
      <c r="FJ82" s="94">
        <f t="shared" si="818"/>
        <v>6.9511402696622329E-6</v>
      </c>
      <c r="FK82" s="94">
        <f t="shared" si="819"/>
        <v>1.0781223880005585E-4</v>
      </c>
      <c r="FL82" s="94">
        <f t="shared" si="820"/>
        <v>1.7809102886855613E-4</v>
      </c>
      <c r="FM82" s="94">
        <f t="shared" si="821"/>
        <v>1.0786537893087217E-5</v>
      </c>
      <c r="FN82" s="95">
        <f t="shared" si="822"/>
        <v>5.9174757071332802E-5</v>
      </c>
      <c r="FO82" s="199"/>
      <c r="FP82" s="101">
        <f>IF(EL82&lt;&gt;"",LOG(FF82*FJ82/Minerals!$C$6),"")</f>
        <v>0.36333199383409526</v>
      </c>
      <c r="FQ82" s="94">
        <f>IF(EL82&lt;&gt;"",LOG(FF82*FJ82/Minerals!$C$5),"")</f>
        <v>0.23285246447787752</v>
      </c>
      <c r="FR82" s="94">
        <f>IF(EN82&lt;&gt;"",LOG(FF82*FM82^2/Minerals!$C$2),"")</f>
        <v>-2.3232069733564109</v>
      </c>
      <c r="FS82" s="94">
        <f>IF(EO82&lt;&gt;"",LOG($FF82*$FN82/Minerals!$C$3),"")</f>
        <v>-2.586779216137991</v>
      </c>
      <c r="FT82" s="95">
        <f>IF(EP82&lt;&gt;"",LOG($FF82*$FN82/Minerals!$C$4),"")</f>
        <v>-2.8267637276038937</v>
      </c>
      <c r="FU82" s="96"/>
      <c r="FV82" s="101">
        <f>IF(FP82&lt;&gt;"",LOG(FF82*FJ82/(EXP(-1*Minerals!$E$6/'Other Constants'!$B$2*(1/(273.15+'ppm-mgL-1'!$D82)-1/298.15)+LN(Minerals!$C$6)))),"")</f>
        <v>-1.0578553997781661</v>
      </c>
      <c r="FW82" s="94">
        <f>IF(FP82&lt;&gt;"",LOG(FF82*FJ82/(EXP(-1*Minerals!$E$5/'Other Constants'!$B$2*(1/(273.15+'ppm-mgL-1'!$D82)-1/298.15)+LN(Minerals!$C$5)))),"")</f>
        <v>-1.1884634087419856</v>
      </c>
      <c r="FX82" s="94">
        <f>IF(FR82&lt;&gt;"",LOG(FF82*FM82^2/(EXP(-1*Minerals!$E$2/'Other Constants'!$B$2*(1/(273.15+'ppm-mgL-1'!$D82)-1/298.15)+LN(Minerals!$C$2)))),"")</f>
        <v>-2.2631213435347992</v>
      </c>
      <c r="FY82" s="94">
        <f>IF(FS82&lt;&gt;"",LOG($FF82*$FN82/(EXP(-1*Minerals!$E$3/'Other Constants'!$B$2*(1/(273.15+'ppm-mgL-1'!$D82)-1/298.15)+LN(Minerals!$C$3)))),"")</f>
        <v>-1.3616662005079352</v>
      </c>
      <c r="FZ82" s="95">
        <f>IF(FT82&lt;&gt;"",LOG($FF82*$FN82/(EXP(-1*Minerals!$E$4/'Other Constants'!$B$2*(1/(273.15+'ppm-mgL-1'!$D82)-1/298.15)+LN(Minerals!$C$4)))),"")</f>
        <v>-2.8618600737470232</v>
      </c>
      <c r="GA82" s="96"/>
      <c r="GB82" s="96"/>
      <c r="GC82" s="101">
        <f>10^(-1825000*(79.755*EXP(-0.0046*($D82-20))*($D82+273.15))^-1.5*$EK82^0.5/(1+'Elements and ions'!$D$12*$EK82^0.5/(2*(79.755*EXP(-0.0046*($D82-20))*($D82+273.15))^0.5)))</f>
        <v>0.90234252783698676</v>
      </c>
      <c r="GD82" s="94">
        <f>10^(-1825000*(79.755*EXP(-0.0046*($D82-20))*($D82+273.15))^-1.5*$EK82^0.5/(1+'Elements and ions'!$D$20*$EK82^0.5/(2*(79.755*EXP(-0.0046*($D82-20))*($D82+273.15))^0.5)))</f>
        <v>0.89962258576853382</v>
      </c>
      <c r="GE82" s="94">
        <f>10^(-1825000*(79.755*EXP(-0.0046*($D82-20))*($D82+273.15))^-1.5*4*$EK82^0.5/(1+'Elements and ions'!$D$21*$EK82^0.5/(2*(79.755*EXP(-0.0046*($D82-20))*($D82+273.15))^0.5)))</f>
        <v>0.6778362599455362</v>
      </c>
      <c r="GF82" s="94">
        <f>10^(-1825000*(79.755*EXP(-0.0046*($D82-20))*($D82+273.15))^-1.5*4*$EK82^0.5/(1+'Elements and ions'!$D$13*$EK82^0.5/(2*(79.755*EXP(-0.0046*($D82-20))*($D82+273.15))^0.5)))</f>
        <v>0.69147465790908835</v>
      </c>
      <c r="GG82" s="95">
        <f>10^(-1825000*(79.755*EXP(-0.0046*($D82-20))*($D82+273.15))^-1.5*4*$EK82^0.5/(1+'Elements and ions'!$D$27*$EK82^0.5/(2*(79.755*EXP(-0.0046*($D82-20))*($D82+273.15))^0.5)))</f>
        <v>0.6778362599455362</v>
      </c>
      <c r="GH82" s="101">
        <f>10^(-1825000*(79.755*EXP(-0.0046*($D82-20))*($D82+273.15))^-1.5*$EK82^0.5/(1+'Elements and ions'!$G$3*$EK82^0.5/(2*(79.755*EXP(-0.0046*($D82-20))*($D82+273.15))^0.5)))</f>
        <v>0.89246565982743586</v>
      </c>
      <c r="GI82" s="94">
        <f>10^(-1825000*(79.755*EXP(-0.0046*($D82-20))*($D82+273.15))^-1.5*4*$EK82^0.5/(1+'Elements and ions'!$G$4*$EK82^0.5/(2*(79.755*EXP(-0.0046*($D82-20))*($D82+273.15))^0.5)))</f>
        <v>0.63431224860640378</v>
      </c>
      <c r="GJ82" s="94">
        <f>10^(-1825000*(79.755*EXP(-0.0046*($D82-20))*($D82+273.15))^-1.5*$EK82^0.5/(1+'Elements and ions'!$D$18*$EK82^0.5/(2*(79.755*EXP(-0.0046*($D82-20))*($D82+273.15))^0.5)))</f>
        <v>0.89962258576853382</v>
      </c>
      <c r="GK82" s="94">
        <f>10^(-1825000*(79.755*EXP(-0.0046*($D82-20))*($D82+273.15))^-1.5*$EK82^0.5/(1+'Elements and ions'!$I$7*$EK82^0.5/(2*(79.755*EXP(-0.0046*($D82-20))*($D82+273.15))^0.5)))</f>
        <v>0.89962258576853382</v>
      </c>
      <c r="GL82" s="94">
        <f>10^(-1825000*(79.755*EXP(-0.0046*($D82-20))*($D82+273.15))^-1.5*$EK82^0.5/(1+'Elements and ions'!$D$10*$EK82^0.5/(2*(79.755*EXP(-0.0046*($D82-20))*($D82+273.15))^0.5)))</f>
        <v>0.90100121771740227</v>
      </c>
      <c r="GM82" s="95">
        <f>10^(-1825000*(79.755*EXP(-0.0046*($D82-20))*($D82+273.15))^-1.5*4*$EK82^0.5/(1+'Elements and ions'!$I$5*$EK82^0.5/(2*(79.755*EXP(-0.0046*($D82-20))*($D82+273.15))^0.5)))</f>
        <v>0.66295752642107064</v>
      </c>
      <c r="GN82" s="96"/>
      <c r="GO82" s="101">
        <f t="shared" si="823"/>
        <v>1.2299299356996335E-4</v>
      </c>
      <c r="GP82" s="94">
        <f t="shared" si="824"/>
        <v>2.8821387398778605E-5</v>
      </c>
      <c r="GQ82" s="94">
        <f t="shared" si="825"/>
        <v>1.1258106299441243E-3</v>
      </c>
      <c r="GR82" s="94">
        <f t="shared" si="826"/>
        <v>1.2816676954867078E-4</v>
      </c>
      <c r="GS82" s="95" t="str">
        <f t="shared" si="827"/>
        <v/>
      </c>
      <c r="GT82" s="101">
        <f t="shared" si="828"/>
        <v>3.0330821933193378E-3</v>
      </c>
      <c r="GU82" s="94">
        <f t="shared" si="829"/>
        <v>6.6618640044274552E-6</v>
      </c>
      <c r="GV82" s="94">
        <f t="shared" si="830"/>
        <v>1.0753196151838535E-4</v>
      </c>
      <c r="GW82" s="94">
        <f t="shared" si="831"/>
        <v>1.7762804924753413E-4</v>
      </c>
      <c r="GX82" s="94">
        <f t="shared" si="832"/>
        <v>1.0774983271509568E-5</v>
      </c>
      <c r="GY82" s="102">
        <f t="shared" si="833"/>
        <v>5.9273258345835406E-5</v>
      </c>
      <c r="GZ82" s="199"/>
      <c r="HA82" s="92">
        <f>IF(AND(GQ82&lt;&gt;"",GU82&lt;&gt;""),LOG(GQ82*GU82/Minerals!$C$6),"")</f>
        <v>0.3552331139316055</v>
      </c>
      <c r="HB82" s="94">
        <f>IF(AND(GQ82&lt;&gt;"",GU82&lt;&gt;""),LOG(GQ82*GU82/Minerals!$C$5),"")</f>
        <v>0.22475358457538772</v>
      </c>
      <c r="HC82" s="94">
        <f>IF(AND(GQ82&lt;&gt;"",GX82&lt;&gt;""),LOG(GQ82*GX82^2/Minerals!$C$2),"")</f>
        <v>-2.3137765014287019</v>
      </c>
      <c r="HD82" s="94">
        <f>IF(AND(GQ82&lt;&gt;"",GY82&lt;&gt;""),LOG($GQ82*$GY82/Minerals!$C$3),"")</f>
        <v>-2.5756954883399468</v>
      </c>
      <c r="HE82" s="102">
        <f>IF(AND(GQ82&lt;&gt;"",GY82&lt;&gt;""),LOG($GQ82*$GY82/Minerals!$C$3),"")</f>
        <v>-2.5756954883399468</v>
      </c>
      <c r="HF82" s="199"/>
      <c r="HG82" s="92">
        <f>IF(HA82&lt;&gt;"",LOG(GQ82*GU82/(EXP(-1*Minerals!$E$6/'Other Constants'!$B$2*(1/(273.15+'ppm-mgL-1'!$D82)-1/298.15)+LN(Minerals!$C$6)))),"")</f>
        <v>-1.065954279680656</v>
      </c>
      <c r="HH82" s="94">
        <f>IF(HA82&lt;&gt;"",LOG(GQ82*GU82/(EXP(-1*Minerals!$E$5/'Other Constants'!$B$2*(1/(273.15+'ppm-mgL-1'!$D82)-1/298.15)+LN(Minerals!$C$5)))),"")</f>
        <v>-1.1965622886444753</v>
      </c>
      <c r="HI82" s="94">
        <f>IF(HC82&lt;&gt;"",LOG(GQ82*GX82^2/(EXP(-1*Minerals!$E$2/'Other Constants'!$B$2*(1/(273.15+'ppm-mgL-1'!$D82)-1/298.15)+LN(Minerals!$C$2)))),"")</f>
        <v>-2.2536908716070903</v>
      </c>
      <c r="HJ82" s="94">
        <f>IF(HD82&lt;&gt;"",LOG($FF82*$FN82/(EXP(-1*Minerals!$E$3/'Other Constants'!$B$2*(1/(273.15+'ppm-mgL-1'!$D82)-1/298.15)+LN(Minerals!$C$3)))),"")</f>
        <v>-1.3616662005079352</v>
      </c>
      <c r="HK82" s="95">
        <f>IF(HE82&lt;&gt;"",LOG($FF82*$FN82/(EXP(-1*Minerals!$E$4/'Other Constants'!$B$2*(1/(273.15+'ppm-mgL-1'!$D82)-1/298.15)+LN(Minerals!$C$4)))),"")</f>
        <v>-2.8618600737470232</v>
      </c>
      <c r="HL82" s="199"/>
      <c r="HM82" s="199"/>
    </row>
    <row r="83" spans="1:221" x14ac:dyDescent="0.25">
      <c r="A83" s="267" t="str">
        <f>'WC samples'!B54</f>
        <v>ISSR 7</v>
      </c>
      <c r="C83" s="266">
        <f>'WC samples'!A54</f>
        <v>41502</v>
      </c>
      <c r="D83" s="4">
        <f>'WC samples'!I54</f>
        <v>21.5</v>
      </c>
      <c r="E83" s="4">
        <f>'WC samples'!F54</f>
        <v>7.68</v>
      </c>
      <c r="AD83" s="83">
        <f>IF(E83&lt;&gt;"",10^(-2*$E83)/(10^(-2*$E83)+10^(-$E83-pKa!$B$2)+(10^(-pKa!$B$2-pKa!$C$2))),"")</f>
        <v>3.9926737337378081E-2</v>
      </c>
      <c r="AE83" s="84">
        <f>IF(E83&lt;&gt;"",10^(-$E83-pKa!$B$2)/(10^(-2*$E83)+10^(-$E83-pKa!$B$2)+10^(-pKa!$B$2-pKa!$C$2)),"")</f>
        <v>0.9577757187394722</v>
      </c>
      <c r="AF83" s="212">
        <f>IF(E83&lt;&gt;"",10^(-pKa!$B$2-pKa!$C$2)/(10^(-2*$E83)+10^(-$E83-pKa!$B$2)+10^(-pKa!$B$2-pKa!$C$2)),"")</f>
        <v>2.2975439231497905E-3</v>
      </c>
      <c r="AG83" s="152"/>
      <c r="AH83" s="222">
        <f>IF($AK83&lt;&gt;"",$AK83/'Elements and ions'!$G$3,IF($E83="","",""))</f>
        <v>3.9169514514353745</v>
      </c>
      <c r="AI83" s="85">
        <f t="shared" si="770"/>
        <v>4.0701057917524675E-3</v>
      </c>
      <c r="AJ83" s="84">
        <f>IF(AI83&lt;&gt;"",AI83*1000*'Elements and ions'!$B$7,"")</f>
        <v>48.884819633001364</v>
      </c>
      <c r="AK83" s="99">
        <f>'WC samples'!H54</f>
        <v>239</v>
      </c>
      <c r="AL83" s="88">
        <f>IF($AK83&lt;&gt;"",$AK83/'Elements and ions'!$G$3*Minerals!$B$6/2,IF($E83="","","Enter Alk(HCO3-)"))</f>
        <v>196.01776411233359</v>
      </c>
      <c r="AM83" s="199"/>
      <c r="AN83" s="101">
        <f t="shared" si="755"/>
        <v>1.6250604488264202E-4</v>
      </c>
      <c r="AO83" s="94">
        <f t="shared" si="756"/>
        <v>3.898248500041408E-3</v>
      </c>
      <c r="AP83" s="95">
        <f t="shared" si="757"/>
        <v>9.3512468284176486E-6</v>
      </c>
      <c r="AQ83" s="199"/>
      <c r="AR83" s="199"/>
      <c r="AS83" s="83">
        <f t="shared" si="760"/>
        <v>0.47795895553718237</v>
      </c>
      <c r="AT83" s="83">
        <f>IF(AN83&lt;&gt;"",AN83/'Henrys law constants'!$B$7*1000000,"")</f>
        <v>4779.5895553718237</v>
      </c>
      <c r="AU83" s="268">
        <f>'WC samples'!K54</f>
        <v>3.4691472400043897</v>
      </c>
      <c r="AV83" s="269">
        <f>'WC samples'!M54</f>
        <v>1.0667091597468632</v>
      </c>
      <c r="AW83" s="269">
        <f>'WC samples'!O54</f>
        <v>73.570657980027079</v>
      </c>
      <c r="AX83" s="269">
        <f>'WC samples'!N54</f>
        <v>6.8200257306946632</v>
      </c>
      <c r="AY83" s="226">
        <f>AO83*'Elements and ions'!$G$3*1000</f>
        <v>237.85880500726657</v>
      </c>
      <c r="AZ83" s="269">
        <f>'WC samples'!Q54</f>
        <v>5.4078802063137879</v>
      </c>
      <c r="BA83" s="269">
        <f>'WC samples'!T54</f>
        <v>18.781826981746356</v>
      </c>
      <c r="BB83" s="270">
        <f>'WC samples'!V54</f>
        <v>8.6398652888027225</v>
      </c>
      <c r="BC83" s="222">
        <f>IF($E83&lt;&gt;"",10^-$E83*'Elements and ions'!B87*1000,"")</f>
        <v>0</v>
      </c>
      <c r="BE83" s="6"/>
      <c r="BF83" s="6"/>
      <c r="BG83" s="270">
        <f>'WC samples'!L54</f>
        <v>0</v>
      </c>
      <c r="BH83" s="3"/>
      <c r="BJ83" s="92">
        <f>IF($AN83&lt;&gt;"",$AN83*'Elements and ions'!$G$2*1000,"")</f>
        <v>10.079401682515995</v>
      </c>
      <c r="BK83" s="229"/>
      <c r="BL83" s="230"/>
      <c r="BM83" s="101">
        <f>IF($E83&lt;&gt;"",(10^-14+$E83)*'Elements and ions'!$G$8,"")</f>
        <v>130.61637120000015</v>
      </c>
      <c r="BO83" s="102">
        <f>IF($AP83&lt;&gt;"",$AP83*'Elements and ions'!$G$4*1000,"")</f>
        <v>0.56115803580183188</v>
      </c>
      <c r="BP83" s="269">
        <f>'WC samples'!P54</f>
        <v>0.18469081098876983</v>
      </c>
      <c r="BQ83" s="270">
        <f>'WC samples'!R54</f>
        <v>0</v>
      </c>
      <c r="BR83" s="195"/>
      <c r="BS83" s="238">
        <f>IF($AU83&lt;&gt;"",$AU83/'Elements and ions'!$B$12,"")</f>
        <v>0.15089961094226298</v>
      </c>
      <c r="BT83" s="239">
        <f>IF($AV83&lt;&gt;"",$AV83/'Elements and ions'!$B$20,"")</f>
        <v>2.7282750394438202E-2</v>
      </c>
      <c r="BU83" s="239">
        <f>IF($AW83&lt;&gt;"",$AW83/'Elements and ions'!$B$21, "")</f>
        <v>1.8356868601234362</v>
      </c>
      <c r="BV83" s="240">
        <f>IF($AX83&lt;&gt;"",$AX83/'Elements and ions'!$B$13, "")</f>
        <v>0.28060175810305138</v>
      </c>
      <c r="BW83" s="238">
        <f>IF($AY83&lt;&gt;"",$AY83/'Elements and ions'!$G$3,"")</f>
        <v>3.898248500041408</v>
      </c>
      <c r="BX83" s="239">
        <f>IF($AZ83&lt;&gt;"",$AZ83/'Elements and ions'!$B$18,"")</f>
        <v>0.15253660356849313</v>
      </c>
      <c r="BY83" s="239">
        <f>IF($BA83&lt;&gt;"",$BA83/'Elements and ions'!$G$7,"")</f>
        <v>0.30290875369118175</v>
      </c>
      <c r="BZ83" s="241">
        <f>IF($BB83&lt;&gt;"",$BB83/'Elements and ions'!$G$5,"")</f>
        <v>8.9939948416998108E-2</v>
      </c>
      <c r="CA83" s="91">
        <f t="shared" si="761"/>
        <v>2.0892961308540368E-5</v>
      </c>
      <c r="CB83" s="163" t="str">
        <f>IF($BD83&lt;&gt;"",$BD83/'Elements and ions'!$B$14,"")</f>
        <v/>
      </c>
      <c r="CC83" s="89" t="str">
        <f>IF($BE83&lt;&gt;"",$BE83/'Elements and ions'!$B$27, "")</f>
        <v/>
      </c>
      <c r="CD83" s="249" t="str">
        <f>IF($BF83&lt;&gt;"",$BF83/'Elements and ions'!$B$26,"")</f>
        <v/>
      </c>
      <c r="CE83" s="250">
        <f>IF($BG83&lt;&gt;"",$BG83/'Elements and ions'!$G$6,"")</f>
        <v>0</v>
      </c>
      <c r="CF83" s="91" t="str">
        <f>IF($BH83&lt;&gt;"",$BH83/'Elements and ions'!$G$15,"")</f>
        <v/>
      </c>
      <c r="CG83" s="89" t="str">
        <f>IF($BI83&lt;&gt;"",$BI83/'Elements and ions'!$G$16,"")</f>
        <v/>
      </c>
      <c r="CH83" s="90">
        <f>IF($BJ83&lt;&gt;"",$BJ83/'Elements and ions'!$G$2,"")</f>
        <v>0.162506044882642</v>
      </c>
      <c r="CI83" s="91" t="str">
        <f>IF($BK83&lt;&gt;"",$BK83/'Elements and ions'!$B$15, "")</f>
        <v/>
      </c>
      <c r="CJ83" s="88" t="str">
        <f>IF($BL83&lt;&gt;"", $BL83/'Elements and ions'!$G$17,"")</f>
        <v/>
      </c>
      <c r="CK83" s="89">
        <f t="shared" si="762"/>
        <v>4.7863009232263745E-4</v>
      </c>
      <c r="CL83" s="163" t="str">
        <f>IF($BN83&lt;&gt;"", $BN83/'Elements and ions'!$G$19,"")</f>
        <v/>
      </c>
      <c r="CM83" s="89">
        <f>IF($BO83&lt;&gt;"",$BO83/'Elements and ions'!$G$4,"")</f>
        <v>9.3512468284176493E-3</v>
      </c>
      <c r="CN83" s="89">
        <f>IF($BP83&lt;&gt;"",$BP83/'Elements and ions'!$B$10,"")</f>
        <v>9.7213860051548872E-3</v>
      </c>
      <c r="CO83" s="104">
        <f>IF($BQ83&lt;&gt;"",$BQ83/'Elements and ions'!$G$18,"")</f>
        <v>0</v>
      </c>
      <c r="CP83" s="242"/>
      <c r="CQ83" s="238">
        <f t="shared" si="771"/>
        <v>1.5089961094226297E-4</v>
      </c>
      <c r="CR83" s="239">
        <f t="shared" si="772"/>
        <v>2.7282750394438201E-5</v>
      </c>
      <c r="CS83" s="239">
        <f t="shared" si="773"/>
        <v>1.8356868601234362E-3</v>
      </c>
      <c r="CT83" s="241">
        <f t="shared" si="774"/>
        <v>2.8060175810305137E-4</v>
      </c>
      <c r="CU83" s="238">
        <f t="shared" si="775"/>
        <v>3.898248500041408E-3</v>
      </c>
      <c r="CV83" s="239">
        <f t="shared" si="776"/>
        <v>1.5253660356849314E-4</v>
      </c>
      <c r="CW83" s="239">
        <f t="shared" si="777"/>
        <v>3.0290875369118174E-4</v>
      </c>
      <c r="CX83" s="241">
        <f t="shared" si="778"/>
        <v>8.9939948416998102E-5</v>
      </c>
      <c r="CY83" s="258">
        <f t="shared" si="763"/>
        <v>2.0892961308540368E-8</v>
      </c>
      <c r="CZ83" s="259" t="str">
        <f t="shared" si="779"/>
        <v/>
      </c>
      <c r="DA83" s="260" t="str">
        <f t="shared" si="780"/>
        <v/>
      </c>
      <c r="DB83" s="261" t="str">
        <f t="shared" si="781"/>
        <v/>
      </c>
      <c r="DC83" s="262">
        <f t="shared" si="782"/>
        <v>0</v>
      </c>
      <c r="DD83" s="263" t="str">
        <f t="shared" si="783"/>
        <v/>
      </c>
      <c r="DE83" s="259" t="str">
        <f t="shared" si="784"/>
        <v/>
      </c>
      <c r="DF83" s="260">
        <f t="shared" si="785"/>
        <v>1.6250604488264202E-4</v>
      </c>
      <c r="DG83" s="260" t="str">
        <f t="shared" si="786"/>
        <v/>
      </c>
      <c r="DH83" s="264" t="str">
        <f t="shared" si="787"/>
        <v/>
      </c>
      <c r="DI83" s="258">
        <f t="shared" si="764"/>
        <v>4.7863009232263745E-7</v>
      </c>
      <c r="DJ83" s="260" t="str">
        <f t="shared" si="788"/>
        <v/>
      </c>
      <c r="DK83" s="260">
        <f t="shared" si="789"/>
        <v>9.3512468284176486E-6</v>
      </c>
      <c r="DL83" s="260">
        <f t="shared" si="790"/>
        <v>9.7213860051548865E-6</v>
      </c>
      <c r="DM83" s="265">
        <f t="shared" si="791"/>
        <v>0</v>
      </c>
      <c r="DN83" s="242"/>
      <c r="DO83" s="238">
        <f t="shared" si="792"/>
        <v>0.15089961094226298</v>
      </c>
      <c r="DP83" s="239">
        <f t="shared" si="793"/>
        <v>2.7282750394438202E-2</v>
      </c>
      <c r="DQ83" s="239">
        <f t="shared" si="794"/>
        <v>3.6713737202468724</v>
      </c>
      <c r="DR83" s="241">
        <f t="shared" si="795"/>
        <v>0.56120351620610276</v>
      </c>
      <c r="DS83" s="238">
        <f t="shared" si="796"/>
        <v>-3.898248500041408</v>
      </c>
      <c r="DT83" s="239">
        <f t="shared" si="797"/>
        <v>-0.15253660356849313</v>
      </c>
      <c r="DU83" s="239">
        <f t="shared" si="798"/>
        <v>-0.30290875369118175</v>
      </c>
      <c r="DV83" s="241">
        <f t="shared" si="799"/>
        <v>-0.17987989683399622</v>
      </c>
      <c r="DW83" s="91">
        <f t="shared" si="765"/>
        <v>2.0892961308540368E-5</v>
      </c>
      <c r="DX83" s="89">
        <f t="shared" si="800"/>
        <v>0</v>
      </c>
      <c r="DY83" s="89">
        <f t="shared" si="801"/>
        <v>0</v>
      </c>
      <c r="DZ83" s="89">
        <f t="shared" si="802"/>
        <v>0</v>
      </c>
      <c r="EA83" s="90">
        <f t="shared" si="803"/>
        <v>0</v>
      </c>
      <c r="EB83" s="91">
        <f t="shared" si="766"/>
        <v>-4.7863009232263745E-4</v>
      </c>
      <c r="EC83" s="89">
        <f t="shared" si="804"/>
        <v>0</v>
      </c>
      <c r="ED83" s="89">
        <f t="shared" si="805"/>
        <v>-1.8702493656835299E-2</v>
      </c>
      <c r="EE83" s="89">
        <f t="shared" si="806"/>
        <v>-9.7213860051548872E-3</v>
      </c>
      <c r="EF83" s="90">
        <f t="shared" si="807"/>
        <v>0</v>
      </c>
      <c r="EG83" s="242"/>
      <c r="EH83" s="245">
        <f t="shared" si="808"/>
        <v>4.4107804907509847</v>
      </c>
      <c r="EI83" s="246">
        <f t="shared" si="809"/>
        <v>-4.5624762638893923</v>
      </c>
      <c r="EJ83" s="198">
        <f t="shared" si="810"/>
        <v>-1.6905319583100147</v>
      </c>
      <c r="EK83" s="198">
        <f t="shared" si="811"/>
        <v>1.109571306889541E-2</v>
      </c>
      <c r="EL83" s="101">
        <f>IF(AND(CS83&lt;&gt;"",DK83&lt;&gt;""),LOG(CS83*DK83/Minerals!$C$6),"")</f>
        <v>0.71484012592020707</v>
      </c>
      <c r="EM83" s="94">
        <f>IF(AND(CS83&lt;&gt;"",DK83&lt;&gt;""),LOG(CS83*DK83/Minerals!$C$5),"")</f>
        <v>0.58436059656398931</v>
      </c>
      <c r="EN83" s="94">
        <f>IF(AND(CS83&lt;&gt;"",DL83&lt;&gt;""),LOG(CS83*DL83^2/Minerals!$C$2),"")</f>
        <v>-2.190820080475647</v>
      </c>
      <c r="EO83" s="94">
        <f>IF(AND(CS83&lt;&gt;"",CX83&lt;&gt;""),LOG($CS83*$CX83/Minerals!$C$3),"")</f>
        <v>-2.1822684016724048</v>
      </c>
      <c r="EP83" s="95">
        <f>IF(AND(CS83&lt;&gt;"",CX83&lt;&gt;""),LOG($CS83*$CX83/Minerals!$C$4),"")</f>
        <v>-2.4222529131383075</v>
      </c>
      <c r="EQ83" s="199"/>
      <c r="ER83" s="101">
        <f t="shared" si="767"/>
        <v>0.89608882689311897</v>
      </c>
      <c r="ES83" s="94">
        <f t="shared" si="767"/>
        <v>0.89608882689311897</v>
      </c>
      <c r="ET83" s="94">
        <f t="shared" si="768"/>
        <v>0.6447691488221442</v>
      </c>
      <c r="EU83" s="94">
        <f t="shared" si="768"/>
        <v>0.6447691488221442</v>
      </c>
      <c r="EV83" s="95">
        <f t="shared" si="768"/>
        <v>0.6447691488221442</v>
      </c>
      <c r="EW83" s="101">
        <f t="shared" si="769"/>
        <v>0.89608882689311897</v>
      </c>
      <c r="EX83" s="94">
        <f t="shared" si="758"/>
        <v>0.6447691488221442</v>
      </c>
      <c r="EY83" s="94">
        <f t="shared" si="769"/>
        <v>0.89608882689311897</v>
      </c>
      <c r="EZ83" s="94">
        <f t="shared" si="769"/>
        <v>0.89608882689311897</v>
      </c>
      <c r="FA83" s="94">
        <f t="shared" si="769"/>
        <v>0.89608882689311897</v>
      </c>
      <c r="FB83" s="95">
        <f t="shared" si="759"/>
        <v>0.6447691488221442</v>
      </c>
      <c r="FC83" s="199"/>
      <c r="FD83" s="101">
        <f t="shared" si="812"/>
        <v>1.3521945534788048E-4</v>
      </c>
      <c r="FE83" s="94">
        <f t="shared" si="813"/>
        <v>2.4447767795369907E-5</v>
      </c>
      <c r="FF83" s="94">
        <f t="shared" si="814"/>
        <v>1.1835942543057824E-3</v>
      </c>
      <c r="FG83" s="94">
        <f t="shared" si="815"/>
        <v>1.8092335673010164E-4</v>
      </c>
      <c r="FH83" s="95" t="str">
        <f t="shared" si="816"/>
        <v/>
      </c>
      <c r="FI83" s="101">
        <f t="shared" si="817"/>
        <v>3.4931769253399659E-3</v>
      </c>
      <c r="FJ83" s="94">
        <f t="shared" si="818"/>
        <v>6.0293954579846226E-6</v>
      </c>
      <c r="FK83" s="94">
        <f t="shared" si="819"/>
        <v>1.3668634614995176E-4</v>
      </c>
      <c r="FL83" s="94">
        <f t="shared" si="820"/>
        <v>2.7143314975078774E-4</v>
      </c>
      <c r="FM83" s="94">
        <f t="shared" si="821"/>
        <v>8.7112253811344269E-6</v>
      </c>
      <c r="FN83" s="95">
        <f t="shared" si="822"/>
        <v>5.7990503985935422E-5</v>
      </c>
      <c r="FO83" s="199"/>
      <c r="FP83" s="101">
        <f>IF(EL83&lt;&gt;"",LOG(FF83*FJ83/Minerals!$C$6),"")</f>
        <v>0.33364862390867295</v>
      </c>
      <c r="FQ83" s="94">
        <f>IF(EL83&lt;&gt;"",LOG(FF83*FJ83/Minerals!$C$5),"")</f>
        <v>0.2031690945524553</v>
      </c>
      <c r="FR83" s="94">
        <f>IF(EN83&lt;&gt;"",LOG(FF83*FM83^2/Minerals!$C$2),"")</f>
        <v>-2.4767137069842975</v>
      </c>
      <c r="FS83" s="94">
        <f>IF(EO83&lt;&gt;"",LOG($FF83*$FN83/Minerals!$C$3),"")</f>
        <v>-2.5634599036839387</v>
      </c>
      <c r="FT83" s="95">
        <f>IF(EP83&lt;&gt;"",LOG($FF83*$FN83/Minerals!$C$4),"")</f>
        <v>-2.8034444151498414</v>
      </c>
      <c r="FU83" s="96"/>
      <c r="FV83" s="101">
        <f>IF(FP83&lt;&gt;"",LOG(FF83*FJ83/(EXP(-1*Minerals!$E$6/'Other Constants'!$B$2*(1/(273.15+'ppm-mgL-1'!$D83)-1/298.15)+LN(Minerals!$C$6)))),"")</f>
        <v>-1.0475924094828346</v>
      </c>
      <c r="FW83" s="94">
        <f>IF(FP83&lt;&gt;"",LOG(FF83*FJ83/(EXP(-1*Minerals!$E$5/'Other Constants'!$B$2*(1/(273.15+'ppm-mgL-1'!$D83)-1/298.15)+LN(Minerals!$C$5)))),"")</f>
        <v>-1.178196807175748</v>
      </c>
      <c r="FX83" s="94">
        <f>IF(FR83&lt;&gt;"",LOG(FF83*FM83^2/(EXP(-1*Minerals!$E$2/'Other Constants'!$B$2*(1/(273.15+'ppm-mgL-1'!$D83)-1/298.15)+LN(Minerals!$C$2)))),"")</f>
        <v>-2.41831694818964</v>
      </c>
      <c r="FY83" s="94">
        <f>IF(FS83&lt;&gt;"",LOG($FF83*$FN83/(EXP(-1*Minerals!$E$3/'Other Constants'!$B$2*(1/(273.15+'ppm-mgL-1'!$D83)-1/298.15)+LN(Minerals!$C$3)))),"")</f>
        <v>-1.3727820414006233</v>
      </c>
      <c r="FZ83" s="95">
        <f>IF(FT83&lt;&gt;"",LOG($FF83*$FN83/(EXP(-1*Minerals!$E$4/'Other Constants'!$B$2*(1/(273.15+'ppm-mgL-1'!$D83)-1/298.15)+LN(Minerals!$C$4)))),"")</f>
        <v>-2.837554282457198</v>
      </c>
      <c r="GA83" s="96"/>
      <c r="GB83" s="96"/>
      <c r="GC83" s="101">
        <f>10^(-1825000*(79.755*EXP(-0.0046*($D83-20))*($D83+273.15))^-1.5*$EK83^0.5/(1+'Elements and ions'!$D$12*$EK83^0.5/(2*(79.755*EXP(-0.0046*($D83-20))*($D83+273.15))^0.5)))</f>
        <v>0.89663521424831238</v>
      </c>
      <c r="GD83" s="94">
        <f>10^(-1825000*(79.755*EXP(-0.0046*($D83-20))*($D83+273.15))^-1.5*$EK83^0.5/(1+'Elements and ions'!$D$20*$EK83^0.5/(2*(79.755*EXP(-0.0046*($D83-20))*($D83+273.15))^0.5)))</f>
        <v>0.8935838425017959</v>
      </c>
      <c r="GE83" s="94">
        <f>10^(-1825000*(79.755*EXP(-0.0046*($D83-20))*($D83+273.15))^-1.5*4*$EK83^0.5/(1+'Elements and ions'!$D$21*$EK83^0.5/(2*(79.755*EXP(-0.0046*($D83-20))*($D83+273.15))^0.5)))</f>
        <v>0.66266192496711684</v>
      </c>
      <c r="GF83" s="94">
        <f>10^(-1825000*(79.755*EXP(-0.0046*($D83-20))*($D83+273.15))^-1.5*4*$EK83^0.5/(1+'Elements and ions'!$D$13*$EK83^0.5/(2*(79.755*EXP(-0.0046*($D83-20))*($D83+273.15))^0.5)))</f>
        <v>0.67756407325309032</v>
      </c>
      <c r="GG83" s="95">
        <f>10^(-1825000*(79.755*EXP(-0.0046*($D83-20))*($D83+273.15))^-1.5*4*$EK83^0.5/(1+'Elements and ions'!$D$27*$EK83^0.5/(2*(79.755*EXP(-0.0046*($D83-20))*($D83+273.15))^0.5)))</f>
        <v>0.66266192496711684</v>
      </c>
      <c r="GH83" s="101">
        <f>10^(-1825000*(79.755*EXP(-0.0046*($D83-20))*($D83+273.15))^-1.5*$EK83^0.5/(1+'Elements and ions'!$G$3*$EK83^0.5/(2*(79.755*EXP(-0.0046*($D83-20))*($D83+273.15))^0.5)))</f>
        <v>0.88550747438194544</v>
      </c>
      <c r="GI83" s="94">
        <f>10^(-1825000*(79.755*EXP(-0.0046*($D83-20))*($D83+273.15))^-1.5*4*$EK83^0.5/(1+'Elements and ions'!$G$4*$EK83^0.5/(2*(79.755*EXP(-0.0046*($D83-20))*($D83+273.15))^0.5)))</f>
        <v>0.61474783990236725</v>
      </c>
      <c r="GJ83" s="94">
        <f>10^(-1825000*(79.755*EXP(-0.0046*($D83-20))*($D83+273.15))^-1.5*$EK83^0.5/(1+'Elements and ions'!$D$18*$EK83^0.5/(2*(79.755*EXP(-0.0046*($D83-20))*($D83+273.15))^0.5)))</f>
        <v>0.8935838425017959</v>
      </c>
      <c r="GK83" s="94">
        <f>10^(-1825000*(79.755*EXP(-0.0046*($D83-20))*($D83+273.15))^-1.5*$EK83^0.5/(1+'Elements and ions'!$I$7*$EK83^0.5/(2*(79.755*EXP(-0.0046*($D83-20))*($D83+273.15))^0.5)))</f>
        <v>0.8935838425017959</v>
      </c>
      <c r="GL83" s="94">
        <f>10^(-1825000*(79.755*EXP(-0.0046*($D83-20))*($D83+273.15))^-1.5*$EK83^0.5/(1+'Elements and ions'!$D$10*$EK83^0.5/(2*(79.755*EXP(-0.0046*($D83-20))*($D83+273.15))^0.5)))</f>
        <v>0.89513169626321698</v>
      </c>
      <c r="GM83" s="95">
        <f>10^(-1825000*(79.755*EXP(-0.0046*($D83-20))*($D83+273.15))^-1.5*4*$EK83^0.5/(1+'Elements and ions'!$I$5*$EK83^0.5/(2*(79.755*EXP(-0.0046*($D83-20))*($D83+273.15))^0.5)))</f>
        <v>0.64634317159904531</v>
      </c>
      <c r="GN83" s="96"/>
      <c r="GO83" s="101">
        <f t="shared" si="823"/>
        <v>1.3530190498720293E-4</v>
      </c>
      <c r="GP83" s="94">
        <f t="shared" si="824"/>
        <v>2.4379424931479474E-5</v>
      </c>
      <c r="GQ83" s="94">
        <f t="shared" si="825"/>
        <v>1.2164397883662388E-3</v>
      </c>
      <c r="GR83" s="94">
        <f t="shared" si="826"/>
        <v>1.9012567018228182E-4</v>
      </c>
      <c r="GS83" s="95" t="str">
        <f t="shared" si="827"/>
        <v/>
      </c>
      <c r="GT83" s="101">
        <f t="shared" si="828"/>
        <v>3.4519281837848744E-3</v>
      </c>
      <c r="GU83" s="94">
        <f t="shared" si="829"/>
        <v>5.7486587881636126E-6</v>
      </c>
      <c r="GV83" s="94">
        <f t="shared" si="830"/>
        <v>1.3630424433890725E-4</v>
      </c>
      <c r="GW83" s="94">
        <f t="shared" si="831"/>
        <v>2.7067436805079621E-4</v>
      </c>
      <c r="GX83" s="94">
        <f t="shared" si="832"/>
        <v>8.7019207448237924E-6</v>
      </c>
      <c r="GY83" s="102">
        <f t="shared" si="833"/>
        <v>5.8132071513297086E-5</v>
      </c>
      <c r="GZ83" s="199"/>
      <c r="HA83" s="92">
        <f>IF(AND(GQ83&lt;&gt;"",GU83&lt;&gt;""),LOG(GQ83*GU83/Minerals!$C$6),"")</f>
        <v>0.32482915505611409</v>
      </c>
      <c r="HB83" s="94">
        <f>IF(AND(GQ83&lt;&gt;"",GU83&lt;&gt;""),LOG(GQ83*GU83/Minerals!$C$5),"")</f>
        <v>0.19434962569989633</v>
      </c>
      <c r="HC83" s="94">
        <f>IF(AND(GQ83&lt;&gt;"",GX83&lt;&gt;""),LOG(GQ83*GX83^2/Minerals!$C$2),"")</f>
        <v>-2.4657541915348546</v>
      </c>
      <c r="HD83" s="94">
        <f>IF(AND(GQ83&lt;&gt;"",GY83&lt;&gt;""),LOG($GQ83*$GY83/Minerals!$C$3),"")</f>
        <v>-2.5505132189370188</v>
      </c>
      <c r="HE83" s="102">
        <f>IF(AND(GQ83&lt;&gt;"",GY83&lt;&gt;""),LOG($GQ83*$GY83/Minerals!$C$3),"")</f>
        <v>-2.5505132189370188</v>
      </c>
      <c r="HF83" s="199"/>
      <c r="HG83" s="92">
        <f>IF(HA83&lt;&gt;"",LOG(GQ83*GU83/(EXP(-1*Minerals!$E$6/'Other Constants'!$B$2*(1/(273.15+'ppm-mgL-1'!$D83)-1/298.15)+LN(Minerals!$C$6)))),"")</f>
        <v>-1.0564118783353935</v>
      </c>
      <c r="HH83" s="94">
        <f>IF(HA83&lt;&gt;"",LOG(GQ83*GU83/(EXP(-1*Minerals!$E$5/'Other Constants'!$B$2*(1/(273.15+'ppm-mgL-1'!$D83)-1/298.15)+LN(Minerals!$C$5)))),"")</f>
        <v>-1.1870162760283069</v>
      </c>
      <c r="HI83" s="94">
        <f>IF(HC83&lt;&gt;"",LOG(GQ83*GX83^2/(EXP(-1*Minerals!$E$2/'Other Constants'!$B$2*(1/(273.15+'ppm-mgL-1'!$D83)-1/298.15)+LN(Minerals!$C$2)))),"")</f>
        <v>-2.4073574327401972</v>
      </c>
      <c r="HJ83" s="94">
        <f>IF(HD83&lt;&gt;"",LOG($FF83*$FN83/(EXP(-1*Minerals!$E$3/'Other Constants'!$B$2*(1/(273.15+'ppm-mgL-1'!$D83)-1/298.15)+LN(Minerals!$C$3)))),"")</f>
        <v>-1.3727820414006233</v>
      </c>
      <c r="HK83" s="95">
        <f>IF(HE83&lt;&gt;"",LOG($FF83*$FN83/(EXP(-1*Minerals!$E$4/'Other Constants'!$B$2*(1/(273.15+'ppm-mgL-1'!$D83)-1/298.15)+LN(Minerals!$C$4)))),"")</f>
        <v>-2.837554282457198</v>
      </c>
      <c r="HL83" s="199"/>
      <c r="HM83" s="199"/>
    </row>
    <row r="84" spans="1:221" x14ac:dyDescent="0.25">
      <c r="A84" s="267" t="str">
        <f>'WC samples'!B55</f>
        <v>ISSR 7</v>
      </c>
      <c r="C84" s="266">
        <f>'WC samples'!A55</f>
        <v>41546</v>
      </c>
      <c r="D84" s="4">
        <f>'WC samples'!I55</f>
        <v>21.4</v>
      </c>
      <c r="E84" s="4">
        <f>'WC samples'!F55</f>
        <v>7.63</v>
      </c>
      <c r="AD84" s="83">
        <f>IF(E84&lt;&gt;"",10^(-2*$E84)/(10^(-2*$E84)+10^(-$E84-pKa!$B$2)+(10^(-pKa!$B$2-pKa!$C$2))),"")</f>
        <v>4.459243243038815E-2</v>
      </c>
      <c r="AE84" s="84">
        <f>IF(E84&lt;&gt;"",10^(-$E84-pKa!$B$2)/(10^(-2*$E84)+10^(-$E84-pKa!$B$2)+10^(-pKa!$B$2-pKa!$C$2)),"")</f>
        <v>0.953369300148599</v>
      </c>
      <c r="AF84" s="212">
        <f>IF(E84&lt;&gt;"",10^(-pKa!$B$2-pKa!$C$2)/(10^(-2*$E84)+10^(-$E84-pKa!$B$2)+10^(-pKa!$B$2-pKa!$C$2)),"")</f>
        <v>2.0382674210129735E-3</v>
      </c>
      <c r="AG84" s="152"/>
      <c r="AH84" s="222">
        <f>IF($AK84&lt;&gt;"",$AK84/'Elements and ions'!$G$3,IF($E84="","",""))</f>
        <v>3.7038955147464212</v>
      </c>
      <c r="AI84" s="85">
        <f t="shared" si="770"/>
        <v>3.8685166055847514E-3</v>
      </c>
      <c r="AJ84" s="84">
        <f>IF(AI84&lt;&gt;"",AI84*1000*'Elements and ions'!$B$7,"")</f>
        <v>46.463592394696775</v>
      </c>
      <c r="AK84" s="99">
        <f>'WC samples'!H55</f>
        <v>226</v>
      </c>
      <c r="AL84" s="88">
        <f>IF($AK84&lt;&gt;"",$AK84/'Elements and ions'!$G$3*Minerals!$B$6/2,IF($E84="","","Enter Alk(HCO3-)"))</f>
        <v>185.3557099974368</v>
      </c>
      <c r="AM84" s="199"/>
      <c r="AN84" s="101">
        <f t="shared" si="755"/>
        <v>1.7250656534037256E-4</v>
      </c>
      <c r="AO84" s="94">
        <f t="shared" si="756"/>
        <v>3.6881249688795682E-3</v>
      </c>
      <c r="AP84" s="95">
        <f t="shared" si="757"/>
        <v>7.8850713648110942E-6</v>
      </c>
      <c r="AQ84" s="199"/>
      <c r="AR84" s="199"/>
      <c r="AS84" s="83">
        <f t="shared" si="760"/>
        <v>0.50737225100109573</v>
      </c>
      <c r="AT84" s="83">
        <f>IF(AN84&lt;&gt;"",AN84/'Henrys law constants'!$B$7*1000000,"")</f>
        <v>5073.7225100109572</v>
      </c>
      <c r="AU84" s="268">
        <f>'WC samples'!K55</f>
        <v>3.2532000000000001</v>
      </c>
      <c r="AV84" s="269">
        <f>'WC samples'!M55</f>
        <v>1.1008</v>
      </c>
      <c r="AW84" s="269">
        <f>'WC samples'!O55</f>
        <v>73.527299999999997</v>
      </c>
      <c r="AX84" s="269">
        <f>'WC samples'!N55</f>
        <v>5.9873000000000003</v>
      </c>
      <c r="AY84" s="226">
        <f>AO84*'Elements and ions'!$G$3*1000</f>
        <v>225.03773112612956</v>
      </c>
      <c r="AZ84" s="269">
        <f>'WC samples'!Q55</f>
        <v>4.9077999999999999</v>
      </c>
      <c r="BA84" s="269">
        <f>'WC samples'!T55</f>
        <v>17.679400000000001</v>
      </c>
      <c r="BB84" s="270">
        <f>'WC samples'!V55</f>
        <v>8.5871999999999993</v>
      </c>
      <c r="BC84" s="222">
        <f>IF($E84&lt;&gt;"",10^-$E84*'Elements and ions'!B88*1000,"")</f>
        <v>0</v>
      </c>
      <c r="BE84" s="6"/>
      <c r="BF84" s="6"/>
      <c r="BG84" s="270">
        <f>'WC samples'!L55</f>
        <v>0</v>
      </c>
      <c r="BH84" s="3"/>
      <c r="BJ84" s="92">
        <f>IF($AN84&lt;&gt;"",$AN84*'Elements and ions'!$G$2*1000,"")</f>
        <v>10.699681763792231</v>
      </c>
      <c r="BK84" s="229"/>
      <c r="BL84" s="230"/>
      <c r="BM84" s="101">
        <f>IF($E84&lt;&gt;"",(10^-14+$E84)*'Elements and ions'!$G$8,"")</f>
        <v>129.76600420000017</v>
      </c>
      <c r="BO84" s="102">
        <f>IF($AP84&lt;&gt;"",$AP84*'Elements and ions'!$G$4*1000,"")</f>
        <v>0.47317445902381244</v>
      </c>
      <c r="BP84" s="269">
        <f>'WC samples'!P55</f>
        <v>0.14369999999999999</v>
      </c>
      <c r="BQ84" s="270">
        <f>'WC samples'!R55</f>
        <v>0</v>
      </c>
      <c r="BR84" s="195"/>
      <c r="BS84" s="238">
        <f>IF($AU84&lt;&gt;"",$AU84/'Elements and ions'!$B$12,"")</f>
        <v>0.14150642228628751</v>
      </c>
      <c r="BT84" s="239">
        <f>IF($AV84&lt;&gt;"",$AV84/'Elements and ions'!$B$20,"")</f>
        <v>2.8154676801804682E-2</v>
      </c>
      <c r="BU84" s="239">
        <f>IF($AW84&lt;&gt;"",$AW84/'Elements and ions'!$B$21, "")</f>
        <v>1.8346050202105892</v>
      </c>
      <c r="BV84" s="240">
        <f>IF($AX84&lt;&gt;"",$AX84/'Elements and ions'!$B$13, "")</f>
        <v>0.24634025920592473</v>
      </c>
      <c r="BW84" s="238">
        <f>IF($AY84&lt;&gt;"",$AY84/'Elements and ions'!$G$3,"")</f>
        <v>3.6881249688795679</v>
      </c>
      <c r="BX84" s="239">
        <f>IF($AZ84&lt;&gt;"",$AZ84/'Elements and ions'!$B$18,"")</f>
        <v>0.13843116238400133</v>
      </c>
      <c r="BY84" s="239">
        <f>IF($BA84&lt;&gt;"",$BA84/'Elements and ions'!$G$7,"")</f>
        <v>0.28512907850831148</v>
      </c>
      <c r="BZ84" s="241">
        <f>IF($BB84&lt;&gt;"",$BB84/'Elements and ions'!$G$5,"")</f>
        <v>8.939170915632097E-2</v>
      </c>
      <c r="CA84" s="91">
        <f t="shared" si="761"/>
        <v>2.3442288153199181E-5</v>
      </c>
      <c r="CB84" s="163" t="str">
        <f>IF($BD84&lt;&gt;"",$BD84/'Elements and ions'!$B$14,"")</f>
        <v/>
      </c>
      <c r="CC84" s="89" t="str">
        <f>IF($BE84&lt;&gt;"",$BE84/'Elements and ions'!$B$27, "")</f>
        <v/>
      </c>
      <c r="CD84" s="249" t="str">
        <f>IF($BF84&lt;&gt;"",$BF84/'Elements and ions'!$B$26,"")</f>
        <v/>
      </c>
      <c r="CE84" s="250">
        <f>IF($BG84&lt;&gt;"",$BG84/'Elements and ions'!$G$6,"")</f>
        <v>0</v>
      </c>
      <c r="CF84" s="91" t="str">
        <f>IF($BH84&lt;&gt;"",$BH84/'Elements and ions'!$G$15,"")</f>
        <v/>
      </c>
      <c r="CG84" s="89" t="str">
        <f>IF($BI84&lt;&gt;"",$BI84/'Elements and ions'!$G$16,"")</f>
        <v/>
      </c>
      <c r="CH84" s="90">
        <f>IF($BJ84&lt;&gt;"",$BJ84/'Elements and ions'!$G$2,"")</f>
        <v>0.17250656534037254</v>
      </c>
      <c r="CI84" s="91" t="str">
        <f>IF($BK84&lt;&gt;"",$BK84/'Elements and ions'!$B$15, "")</f>
        <v/>
      </c>
      <c r="CJ84" s="88" t="str">
        <f>IF($BL84&lt;&gt;"", $BL84/'Elements and ions'!$G$17,"")</f>
        <v/>
      </c>
      <c r="CK84" s="89">
        <f t="shared" si="762"/>
        <v>4.2657951880159214E-4</v>
      </c>
      <c r="CL84" s="163" t="str">
        <f>IF($BN84&lt;&gt;"", $BN84/'Elements and ions'!$G$19,"")</f>
        <v/>
      </c>
      <c r="CM84" s="89">
        <f>IF($BO84&lt;&gt;"",$BO84/'Elements and ions'!$G$4,"")</f>
        <v>7.885071364811095E-3</v>
      </c>
      <c r="CN84" s="89">
        <f>IF($BP84&lt;&gt;"",$BP84/'Elements and ions'!$B$10,"")</f>
        <v>7.5637935718723985E-3</v>
      </c>
      <c r="CO84" s="104">
        <f>IF($BQ84&lt;&gt;"",$BQ84/'Elements and ions'!$G$18,"")</f>
        <v>0</v>
      </c>
      <c r="CP84" s="242"/>
      <c r="CQ84" s="238">
        <f t="shared" si="771"/>
        <v>1.4150642228628752E-4</v>
      </c>
      <c r="CR84" s="239">
        <f t="shared" si="772"/>
        <v>2.8154676801804682E-5</v>
      </c>
      <c r="CS84" s="239">
        <f t="shared" si="773"/>
        <v>1.8346050202105893E-3</v>
      </c>
      <c r="CT84" s="241">
        <f t="shared" si="774"/>
        <v>2.4634025920592474E-4</v>
      </c>
      <c r="CU84" s="238">
        <f t="shared" si="775"/>
        <v>3.6881249688795678E-3</v>
      </c>
      <c r="CV84" s="239">
        <f t="shared" si="776"/>
        <v>1.3843116238400132E-4</v>
      </c>
      <c r="CW84" s="239">
        <f t="shared" si="777"/>
        <v>2.8512907850831147E-4</v>
      </c>
      <c r="CX84" s="241">
        <f t="shared" si="778"/>
        <v>8.9391709156320972E-5</v>
      </c>
      <c r="CY84" s="258">
        <f t="shared" si="763"/>
        <v>2.3442288153199181E-8</v>
      </c>
      <c r="CZ84" s="259" t="str">
        <f t="shared" si="779"/>
        <v/>
      </c>
      <c r="DA84" s="260" t="str">
        <f t="shared" si="780"/>
        <v/>
      </c>
      <c r="DB84" s="261" t="str">
        <f t="shared" si="781"/>
        <v/>
      </c>
      <c r="DC84" s="262">
        <f t="shared" si="782"/>
        <v>0</v>
      </c>
      <c r="DD84" s="263" t="str">
        <f t="shared" si="783"/>
        <v/>
      </c>
      <c r="DE84" s="259" t="str">
        <f t="shared" si="784"/>
        <v/>
      </c>
      <c r="DF84" s="260">
        <f t="shared" si="785"/>
        <v>1.7250656534037253E-4</v>
      </c>
      <c r="DG84" s="260" t="str">
        <f t="shared" si="786"/>
        <v/>
      </c>
      <c r="DH84" s="264" t="str">
        <f t="shared" si="787"/>
        <v/>
      </c>
      <c r="DI84" s="258">
        <f t="shared" si="764"/>
        <v>4.2657951880159212E-7</v>
      </c>
      <c r="DJ84" s="260" t="str">
        <f t="shared" si="788"/>
        <v/>
      </c>
      <c r="DK84" s="260">
        <f t="shared" si="789"/>
        <v>7.8850713648110942E-6</v>
      </c>
      <c r="DL84" s="260">
        <f t="shared" si="790"/>
        <v>7.5637935718723982E-6</v>
      </c>
      <c r="DM84" s="265">
        <f t="shared" si="791"/>
        <v>0</v>
      </c>
      <c r="DN84" s="242"/>
      <c r="DO84" s="238">
        <f t="shared" si="792"/>
        <v>0.14150642228628751</v>
      </c>
      <c r="DP84" s="239">
        <f t="shared" si="793"/>
        <v>2.8154676801804682E-2</v>
      </c>
      <c r="DQ84" s="239">
        <f t="shared" si="794"/>
        <v>3.6692100404211785</v>
      </c>
      <c r="DR84" s="241">
        <f t="shared" si="795"/>
        <v>0.49268051841184946</v>
      </c>
      <c r="DS84" s="238">
        <f t="shared" si="796"/>
        <v>-3.6881249688795679</v>
      </c>
      <c r="DT84" s="239">
        <f t="shared" si="797"/>
        <v>-0.13843116238400133</v>
      </c>
      <c r="DU84" s="239">
        <f t="shared" si="798"/>
        <v>-0.28512907850831148</v>
      </c>
      <c r="DV84" s="241">
        <f t="shared" si="799"/>
        <v>-0.17878341831264194</v>
      </c>
      <c r="DW84" s="91">
        <f t="shared" si="765"/>
        <v>2.3442288153199181E-5</v>
      </c>
      <c r="DX84" s="89">
        <f t="shared" si="800"/>
        <v>0</v>
      </c>
      <c r="DY84" s="89">
        <f t="shared" si="801"/>
        <v>0</v>
      </c>
      <c r="DZ84" s="89">
        <f t="shared" si="802"/>
        <v>0</v>
      </c>
      <c r="EA84" s="90">
        <f t="shared" si="803"/>
        <v>0</v>
      </c>
      <c r="EB84" s="91">
        <f t="shared" si="766"/>
        <v>-4.2657951880159214E-4</v>
      </c>
      <c r="EC84" s="89">
        <f t="shared" si="804"/>
        <v>0</v>
      </c>
      <c r="ED84" s="89">
        <f t="shared" si="805"/>
        <v>-1.577014272962219E-2</v>
      </c>
      <c r="EE84" s="89">
        <f t="shared" si="806"/>
        <v>-7.5637935718723985E-3</v>
      </c>
      <c r="EF84" s="90">
        <f t="shared" si="807"/>
        <v>0</v>
      </c>
      <c r="EG84" s="242"/>
      <c r="EH84" s="245">
        <f t="shared" si="808"/>
        <v>4.3315751002092728</v>
      </c>
      <c r="EI84" s="246">
        <f t="shared" si="809"/>
        <v>-4.3142291439048188</v>
      </c>
      <c r="EJ84" s="198">
        <f t="shared" si="810"/>
        <v>0.20062860336287194</v>
      </c>
      <c r="EK84" s="198">
        <f t="shared" si="811"/>
        <v>1.0825803005507263E-2</v>
      </c>
      <c r="EL84" s="101">
        <f>IF(AND(CS84&lt;&gt;"",DK84&lt;&gt;""),LOG(CS84*DK84/Minerals!$C$6),"")</f>
        <v>0.6405202121187854</v>
      </c>
      <c r="EM84" s="94">
        <f>IF(AND(CS84&lt;&gt;"",DK84&lt;&gt;""),LOG(CS84*DK84/Minerals!$C$5),"")</f>
        <v>0.51004068276256764</v>
      </c>
      <c r="EN84" s="94">
        <f>IF(AND(CS84&lt;&gt;"",DL84&lt;&gt;""),LOG(CS84*DL84^2/Minerals!$C$2),"")</f>
        <v>-2.4090531425003809</v>
      </c>
      <c r="EO84" s="94">
        <f>IF(AND(CS84&lt;&gt;"",CX84&lt;&gt;""),LOG($CS84*$CX84/Minerals!$C$3),"")</f>
        <v>-2.1851798164855238</v>
      </c>
      <c r="EP84" s="95">
        <f>IF(AND(CS84&lt;&gt;"",CX84&lt;&gt;""),LOG($CS84*$CX84/Minerals!$C$4),"")</f>
        <v>-2.4251643279514261</v>
      </c>
      <c r="EQ84" s="199"/>
      <c r="ER84" s="101">
        <f t="shared" ref="ER84:ES99" si="834">10^(-0.5*SQRT($EK84)/(1+SQRT($EK84)))</f>
        <v>0.89717925209305216</v>
      </c>
      <c r="ES84" s="94">
        <f t="shared" si="834"/>
        <v>0.89717925209305216</v>
      </c>
      <c r="ET84" s="94">
        <f t="shared" ref="ET84:EV99" si="835">10^(-0.5*4*SQRT($EK84)/(1+SQRT($EK84)))</f>
        <v>0.64791328753677846</v>
      </c>
      <c r="EU84" s="94">
        <f t="shared" si="835"/>
        <v>0.64791328753677846</v>
      </c>
      <c r="EV84" s="95">
        <f t="shared" si="835"/>
        <v>0.64791328753677846</v>
      </c>
      <c r="EW84" s="101">
        <f t="shared" ref="EW84:FA99" si="836">10^(-0.5*SQRT($EK84)/(1+SQRT($EK84)))</f>
        <v>0.89717925209305216</v>
      </c>
      <c r="EX84" s="94">
        <f t="shared" si="758"/>
        <v>0.64791328753677846</v>
      </c>
      <c r="EY84" s="94">
        <f t="shared" si="836"/>
        <v>0.89717925209305216</v>
      </c>
      <c r="EZ84" s="94">
        <f t="shared" si="836"/>
        <v>0.89717925209305216</v>
      </c>
      <c r="FA84" s="94">
        <f t="shared" si="836"/>
        <v>0.89717925209305216</v>
      </c>
      <c r="FB84" s="95">
        <f t="shared" si="759"/>
        <v>0.64791328753677846</v>
      </c>
      <c r="FC84" s="199"/>
      <c r="FD84" s="101">
        <f t="shared" si="812"/>
        <v>1.2695662611317504E-4</v>
      </c>
      <c r="FE84" s="94">
        <f t="shared" si="813"/>
        <v>2.525979187596473E-5</v>
      </c>
      <c r="FF84" s="94">
        <f t="shared" si="814"/>
        <v>1.1886649699761208E-3</v>
      </c>
      <c r="FG84" s="94">
        <f t="shared" si="815"/>
        <v>1.5960712719477284E-4</v>
      </c>
      <c r="FH84" s="95" t="str">
        <f t="shared" si="816"/>
        <v/>
      </c>
      <c r="FI84" s="101">
        <f t="shared" si="817"/>
        <v>3.3089092012050817E-3</v>
      </c>
      <c r="FJ84" s="94">
        <f t="shared" si="818"/>
        <v>5.1088425104368686E-6</v>
      </c>
      <c r="FK84" s="94">
        <f t="shared" si="819"/>
        <v>1.2419756673405017E-4</v>
      </c>
      <c r="FL84" s="94">
        <f t="shared" si="820"/>
        <v>2.5581189340606803E-4</v>
      </c>
      <c r="FM84" s="94">
        <f t="shared" si="821"/>
        <v>6.7860786597987139E-6</v>
      </c>
      <c r="FN84" s="95">
        <f t="shared" si="822"/>
        <v>5.7918076158003464E-5</v>
      </c>
      <c r="FO84" s="199"/>
      <c r="FP84" s="101">
        <f>IF(EL84&lt;&gt;"",LOG(FF84*FJ84/Minerals!$C$6),"")</f>
        <v>0.26355398539029129</v>
      </c>
      <c r="FQ84" s="94">
        <f>IF(EL84&lt;&gt;"",LOG(FF84*FJ84/Minerals!$C$5),"")</f>
        <v>0.13307445603407361</v>
      </c>
      <c r="FR84" s="94">
        <f>IF(EN84&lt;&gt;"",LOG(FF84*FM84^2/Minerals!$C$2),"")</f>
        <v>-2.6917778125467513</v>
      </c>
      <c r="FS84" s="94">
        <f>IF(EO84&lt;&gt;"",LOG($FF84*$FN84/Minerals!$C$3),"")</f>
        <v>-2.562146043214018</v>
      </c>
      <c r="FT84" s="95">
        <f>IF(EP84&lt;&gt;"",LOG($FF84*$FN84/Minerals!$C$4),"")</f>
        <v>-2.8021305546799202</v>
      </c>
      <c r="FU84" s="96"/>
      <c r="FV84" s="101">
        <f>IF(FP84&lt;&gt;"",LOG(FF84*FJ84/(EXP(-1*Minerals!$E$6/'Other Constants'!$B$2*(1/(273.15+'ppm-mgL-1'!$D84)-1/298.15)+LN(Minerals!$C$6)))),"")</f>
        <v>-1.1576334082219701</v>
      </c>
      <c r="FW84" s="94">
        <f>IF(FP84&lt;&gt;"",LOG(FF84*FJ84/(EXP(-1*Minerals!$E$5/'Other Constants'!$B$2*(1/(273.15+'ppm-mgL-1'!$D84)-1/298.15)+LN(Minerals!$C$5)))),"")</f>
        <v>-1.2882414171857894</v>
      </c>
      <c r="FX84" s="94">
        <f>IF(FR84&lt;&gt;"",LOG(FF84*FM84^2/(EXP(-1*Minerals!$E$2/'Other Constants'!$B$2*(1/(273.15+'ppm-mgL-1'!$D84)-1/298.15)+LN(Minerals!$C$2)))),"")</f>
        <v>-2.6316921827251396</v>
      </c>
      <c r="FY84" s="94">
        <f>IF(FS84&lt;&gt;"",LOG($FF84*$FN84/(EXP(-1*Minerals!$E$3/'Other Constants'!$B$2*(1/(273.15+'ppm-mgL-1'!$D84)-1/298.15)+LN(Minerals!$C$3)))),"")</f>
        <v>-1.3370330275839619</v>
      </c>
      <c r="FZ84" s="95">
        <f>IF(FT84&lt;&gt;"",LOG($FF84*$FN84/(EXP(-1*Minerals!$E$4/'Other Constants'!$B$2*(1/(273.15+'ppm-mgL-1'!$D84)-1/298.15)+LN(Minerals!$C$4)))),"")</f>
        <v>-2.8372269008230502</v>
      </c>
      <c r="GA84" s="96"/>
      <c r="GB84" s="96"/>
      <c r="GC84" s="101">
        <f>10^(-1825000*(79.755*EXP(-0.0046*($D84-20))*($D84+273.15))^-1.5*$EK84^0.5/(1+'Elements and ions'!$D$12*$EK84^0.5/(2*(79.755*EXP(-0.0046*($D84-20))*($D84+273.15))^0.5)))</f>
        <v>0.897706321138664</v>
      </c>
      <c r="GD84" s="94">
        <f>10^(-1825000*(79.755*EXP(-0.0046*($D84-20))*($D84+273.15))^-1.5*$EK84^0.5/(1+'Elements and ions'!$D$20*$EK84^0.5/(2*(79.755*EXP(-0.0046*($D84-20))*($D84+273.15))^0.5)))</f>
        <v>0.89471833447359628</v>
      </c>
      <c r="GE84" s="94">
        <f>10^(-1825000*(79.755*EXP(-0.0046*($D84-20))*($D84+273.15))^-1.5*4*$EK84^0.5/(1+'Elements and ions'!$D$21*$EK84^0.5/(2*(79.755*EXP(-0.0046*($D84-20))*($D84+273.15))^0.5)))</f>
        <v>0.66548478351415685</v>
      </c>
      <c r="GF84" s="94">
        <f>10^(-1825000*(79.755*EXP(-0.0046*($D84-20))*($D84+273.15))^-1.5*4*$EK84^0.5/(1+'Elements and ions'!$D$13*$EK84^0.5/(2*(79.755*EXP(-0.0046*($D84-20))*($D84+273.15))^0.5)))</f>
        <v>0.6801494158865562</v>
      </c>
      <c r="GG84" s="95">
        <f>10^(-1825000*(79.755*EXP(-0.0046*($D84-20))*($D84+273.15))^-1.5*4*$EK84^0.5/(1+'Elements and ions'!$D$27*$EK84^0.5/(2*(79.755*EXP(-0.0046*($D84-20))*($D84+273.15))^0.5)))</f>
        <v>0.66548478351415685</v>
      </c>
      <c r="GH84" s="101">
        <f>10^(-1825000*(79.755*EXP(-0.0046*($D84-20))*($D84+273.15))^-1.5*$EK84^0.5/(1+'Elements and ions'!$G$3*$EK84^0.5/(2*(79.755*EXP(-0.0046*($D84-20))*($D84+273.15))^0.5)))</f>
        <v>0.88681839261641582</v>
      </c>
      <c r="GI84" s="94">
        <f>10^(-1825000*(79.755*EXP(-0.0046*($D84-20))*($D84+273.15))^-1.5*4*$EK84^0.5/(1+'Elements and ions'!$G$4*$EK84^0.5/(2*(79.755*EXP(-0.0046*($D84-20))*($D84+273.15))^0.5)))</f>
        <v>0.61839872328458834</v>
      </c>
      <c r="GJ84" s="94">
        <f>10^(-1825000*(79.755*EXP(-0.0046*($D84-20))*($D84+273.15))^-1.5*$EK84^0.5/(1+'Elements and ions'!$D$18*$EK84^0.5/(2*(79.755*EXP(-0.0046*($D84-20))*($D84+273.15))^0.5)))</f>
        <v>0.89471833447359628</v>
      </c>
      <c r="GK84" s="94">
        <f>10^(-1825000*(79.755*EXP(-0.0046*($D84-20))*($D84+273.15))^-1.5*$EK84^0.5/(1+'Elements and ions'!$I$7*$EK84^0.5/(2*(79.755*EXP(-0.0046*($D84-20))*($D84+273.15))^0.5)))</f>
        <v>0.89471833447359628</v>
      </c>
      <c r="GL84" s="94">
        <f>10^(-1825000*(79.755*EXP(-0.0046*($D84-20))*($D84+273.15))^-1.5*$EK84^0.5/(1+'Elements and ions'!$D$10*$EK84^0.5/(2*(79.755*EXP(-0.0046*($D84-20))*($D84+273.15))^0.5)))</f>
        <v>0.89623381067753982</v>
      </c>
      <c r="GM84" s="95">
        <f>10^(-1825000*(79.755*EXP(-0.0046*($D84-20))*($D84+273.15))^-1.5*4*$EK84^0.5/(1+'Elements and ions'!$I$5*$EK84^0.5/(2*(79.755*EXP(-0.0046*($D84-20))*($D84+273.15))^0.5)))</f>
        <v>0.64943715730578389</v>
      </c>
      <c r="GN84" s="96"/>
      <c r="GO84" s="101">
        <f t="shared" si="823"/>
        <v>1.2703120976811742E-4</v>
      </c>
      <c r="GP84" s="94">
        <f t="shared" si="824"/>
        <v>2.5190505535753085E-5</v>
      </c>
      <c r="GQ84" s="94">
        <f t="shared" si="825"/>
        <v>1.2209017247088293E-3</v>
      </c>
      <c r="GR84" s="94">
        <f t="shared" si="826"/>
        <v>1.6754818340825256E-4</v>
      </c>
      <c r="GS84" s="95" t="str">
        <f t="shared" si="827"/>
        <v/>
      </c>
      <c r="GT84" s="101">
        <f t="shared" si="828"/>
        <v>3.270697056670247E-3</v>
      </c>
      <c r="GU84" s="94">
        <f t="shared" si="829"/>
        <v>4.8761180650070469E-6</v>
      </c>
      <c r="GV84" s="94">
        <f t="shared" si="830"/>
        <v>1.2385689904745762E-4</v>
      </c>
      <c r="GW84" s="94">
        <f t="shared" si="831"/>
        <v>2.551102142329477E-4</v>
      </c>
      <c r="GX84" s="94">
        <f t="shared" si="832"/>
        <v>6.7789275360974795E-6</v>
      </c>
      <c r="GY84" s="102">
        <f t="shared" si="833"/>
        <v>5.8054297481186504E-5</v>
      </c>
      <c r="GZ84" s="199"/>
      <c r="HA84" s="92">
        <f>IF(AND(GQ84&lt;&gt;"",GU84&lt;&gt;""),LOG(GQ84*GU84/Minerals!$C$6),"")</f>
        <v>0.25492692607293693</v>
      </c>
      <c r="HB84" s="94">
        <f>IF(AND(GQ84&lt;&gt;"",GU84&lt;&gt;""),LOG(GQ84*GU84/Minerals!$C$5),"")</f>
        <v>0.1244473967167192</v>
      </c>
      <c r="HC84" s="94">
        <f>IF(AND(GQ84&lt;&gt;"",GX84&lt;&gt;""),LOG(GQ84*GX84^2/Minerals!$C$2),"")</f>
        <v>-2.6810723652946065</v>
      </c>
      <c r="HD84" s="94">
        <f>IF(AND(GQ84&lt;&gt;"",GY84&lt;&gt;""),LOG($GQ84*$GY84/Minerals!$C$3),"")</f>
        <v>-2.5495045538213144</v>
      </c>
      <c r="HE84" s="102">
        <f>IF(AND(GQ84&lt;&gt;"",GY84&lt;&gt;""),LOG($GQ84*$GY84/Minerals!$C$3),"")</f>
        <v>-2.5495045538213144</v>
      </c>
      <c r="HF84" s="199"/>
      <c r="HG84" s="92">
        <f>IF(HA84&lt;&gt;"",LOG(GQ84*GU84/(EXP(-1*Minerals!$E$6/'Other Constants'!$B$2*(1/(273.15+'ppm-mgL-1'!$D84)-1/298.15)+LN(Minerals!$C$6)))),"")</f>
        <v>-1.1662604675393244</v>
      </c>
      <c r="HH84" s="94">
        <f>IF(HA84&lt;&gt;"",LOG(GQ84*GU84/(EXP(-1*Minerals!$E$5/'Other Constants'!$B$2*(1/(273.15+'ppm-mgL-1'!$D84)-1/298.15)+LN(Minerals!$C$5)))),"")</f>
        <v>-1.296868476503144</v>
      </c>
      <c r="HI84" s="94">
        <f>IF(HC84&lt;&gt;"",LOG(GQ84*GX84^2/(EXP(-1*Minerals!$E$2/'Other Constants'!$B$2*(1/(273.15+'ppm-mgL-1'!$D84)-1/298.15)+LN(Minerals!$C$2)))),"")</f>
        <v>-2.6209867354729948</v>
      </c>
      <c r="HJ84" s="94">
        <f>IF(HD84&lt;&gt;"",LOG($FF84*$FN84/(EXP(-1*Minerals!$E$3/'Other Constants'!$B$2*(1/(273.15+'ppm-mgL-1'!$D84)-1/298.15)+LN(Minerals!$C$3)))),"")</f>
        <v>-1.3370330275839619</v>
      </c>
      <c r="HK84" s="95">
        <f>IF(HE84&lt;&gt;"",LOG($FF84*$FN84/(EXP(-1*Minerals!$E$4/'Other Constants'!$B$2*(1/(273.15+'ppm-mgL-1'!$D84)-1/298.15)+LN(Minerals!$C$4)))),"")</f>
        <v>-2.8372269008230502</v>
      </c>
      <c r="HL84" s="199"/>
      <c r="HM84" s="199"/>
    </row>
    <row r="85" spans="1:221" x14ac:dyDescent="0.25">
      <c r="A85" s="267" t="str">
        <f>'WC samples'!B56</f>
        <v>ISSR 7</v>
      </c>
      <c r="C85" s="266">
        <f>'WC samples'!A56</f>
        <v>41566</v>
      </c>
      <c r="D85" s="4">
        <f>'WC samples'!I56</f>
        <v>21.9</v>
      </c>
      <c r="E85" s="4">
        <f>'WC samples'!F56</f>
        <v>8.17</v>
      </c>
      <c r="AD85" s="83">
        <f>IF(E85&lt;&gt;"",10^(-2*$E85)/(10^(-2*$E85)+10^(-$E85-pKa!$B$2)+(10^(-pKa!$B$2-pKa!$C$2))),"")</f>
        <v>1.3213432007911393E-2</v>
      </c>
      <c r="AE85" s="84">
        <f>IF(E85&lt;&gt;"",10^(-$E85-pKa!$B$2)/(10^(-2*$E85)+10^(-$E85-pKa!$B$2)+10^(-pKa!$B$2-pKa!$C$2)),"")</f>
        <v>0.9795252470198027</v>
      </c>
      <c r="AF85" s="212">
        <f>IF(E85&lt;&gt;"",10^(-pKa!$B$2-pKa!$C$2)/(10^(-2*$E85)+10^(-$E85-pKa!$B$2)+10^(-pKa!$B$2-pKa!$C$2)),"")</f>
        <v>7.2613209722859002E-3</v>
      </c>
      <c r="AG85" s="152"/>
      <c r="AH85" s="222">
        <f>IF($AK85&lt;&gt;"",$AK85/'Elements and ions'!$G$3,IF($E85="","",""))</f>
        <v>3.6547287601258933</v>
      </c>
      <c r="AI85" s="85">
        <f t="shared" si="770"/>
        <v>3.6766108839946608E-3</v>
      </c>
      <c r="AJ85" s="84">
        <f>IF(AI85&lt;&gt;"",AI85*1000*'Elements and ions'!$B$7,"")</f>
        <v>44.158670344394672</v>
      </c>
      <c r="AK85" s="99">
        <f>'WC samples'!H56</f>
        <v>223</v>
      </c>
      <c r="AL85" s="88">
        <f>IF($AK85&lt;&gt;"",$AK85/'Elements and ions'!$G$3*Minerals!$B$6/2,IF($E85="","","Enter Alk(HCO3-)"))</f>
        <v>182.89523597092213</v>
      </c>
      <c r="AM85" s="199"/>
      <c r="AN85" s="101">
        <f t="shared" si="755"/>
        <v>4.8580647935210448E-5</v>
      </c>
      <c r="AO85" s="94">
        <f t="shared" si="756"/>
        <v>3.6013331843405653E-3</v>
      </c>
      <c r="AP85" s="95">
        <f t="shared" si="757"/>
        <v>2.6697051718885033E-5</v>
      </c>
      <c r="AQ85" s="199"/>
      <c r="AR85" s="199"/>
      <c r="AS85" s="83">
        <f t="shared" si="760"/>
        <v>0.14288425863297188</v>
      </c>
      <c r="AT85" s="83">
        <f>IF(AN85&lt;&gt;"",AN85/'Henrys law constants'!$B$7*1000000,"")</f>
        <v>1428.8425863297189</v>
      </c>
      <c r="AU85" s="268">
        <f>'WC samples'!K56</f>
        <v>3.4289000000000001</v>
      </c>
      <c r="AV85" s="269">
        <f>'WC samples'!M56</f>
        <v>1.3219000000000001</v>
      </c>
      <c r="AW85" s="269">
        <f>'WC samples'!O56</f>
        <v>73.546199999999999</v>
      </c>
      <c r="AX85" s="269">
        <f>'WC samples'!N56</f>
        <v>5.0213999999999999</v>
      </c>
      <c r="AY85" s="226">
        <f>AO85*'Elements and ions'!$G$3*1000</f>
        <v>219.74197069559875</v>
      </c>
      <c r="AZ85" s="269">
        <f>'WC samples'!Q56</f>
        <v>4.0707000000000004</v>
      </c>
      <c r="BA85" s="269">
        <f>'WC samples'!T56</f>
        <v>11.5852</v>
      </c>
      <c r="BB85" s="270">
        <f>'WC samples'!V56</f>
        <v>7.5358000000000001</v>
      </c>
      <c r="BC85" s="222">
        <f>IF($E85&lt;&gt;"",10^-$E85*'Elements and ions'!B89*1000,"")</f>
        <v>0</v>
      </c>
      <c r="BE85" s="6"/>
      <c r="BF85" s="6"/>
      <c r="BG85" s="270">
        <f>'WC samples'!L56</f>
        <v>0</v>
      </c>
      <c r="BH85" s="3"/>
      <c r="BJ85" s="92">
        <f>IF($AN85&lt;&gt;"",$AN85*'Elements and ions'!$G$2*1000,"")</f>
        <v>3.0132040004388818</v>
      </c>
      <c r="BK85" s="229"/>
      <c r="BL85" s="230"/>
      <c r="BM85" s="101">
        <f>IF($E85&lt;&gt;"",(10^-14+$E85)*'Elements and ions'!$G$8,"")</f>
        <v>138.94996780000017</v>
      </c>
      <c r="BO85" s="102">
        <f>IF($AP85&lt;&gt;"",$AP85*'Elements and ions'!$G$4*1000,"")</f>
        <v>1.6020607068933999</v>
      </c>
      <c r="BP85" s="269">
        <f>'WC samples'!P56</f>
        <v>0.17610000000000001</v>
      </c>
      <c r="BQ85" s="270">
        <f>'WC samples'!R56</f>
        <v>0</v>
      </c>
      <c r="BR85" s="195"/>
      <c r="BS85" s="238">
        <f>IF($AU85&lt;&gt;"",$AU85/'Elements and ions'!$B$12,"")</f>
        <v>0.14914895222471758</v>
      </c>
      <c r="BT85" s="239">
        <f>IF($AV85&lt;&gt;"",$AV85/'Elements and ions'!$B$20,"")</f>
        <v>3.3809654128184603E-2</v>
      </c>
      <c r="BU85" s="239">
        <f>IF($AW85&lt;&gt;"",$AW85/'Elements and ions'!$B$21, "")</f>
        <v>1.8350766006287738</v>
      </c>
      <c r="BV85" s="240">
        <f>IF($AX85&lt;&gt;"",$AX85/'Elements and ions'!$B$13, "")</f>
        <v>0.20659946513063154</v>
      </c>
      <c r="BW85" s="238">
        <f>IF($AY85&lt;&gt;"",$AY85/'Elements and ions'!$G$3,"")</f>
        <v>3.6013331843405654</v>
      </c>
      <c r="BX85" s="239">
        <f>IF($AZ85&lt;&gt;"",$AZ85/'Elements and ions'!$B$18,"")</f>
        <v>0.11481962034242518</v>
      </c>
      <c r="BY85" s="239">
        <f>IF($BA85&lt;&gt;"",$BA85/'Elements and ions'!$G$7,"")</f>
        <v>0.18684329786839429</v>
      </c>
      <c r="BZ85" s="241">
        <f>IF($BB85&lt;&gt;"",$BB85/'Elements and ions'!$G$5,"")</f>
        <v>7.8446762840064702E-2</v>
      </c>
      <c r="CA85" s="91">
        <f t="shared" si="761"/>
        <v>6.7608297539198163E-6</v>
      </c>
      <c r="CB85" s="163" t="str">
        <f>IF($BD85&lt;&gt;"",$BD85/'Elements and ions'!$B$14,"")</f>
        <v/>
      </c>
      <c r="CC85" s="89" t="str">
        <f>IF($BE85&lt;&gt;"",$BE85/'Elements and ions'!$B$27, "")</f>
        <v/>
      </c>
      <c r="CD85" s="249" t="str">
        <f>IF($BF85&lt;&gt;"",$BF85/'Elements and ions'!$B$26,"")</f>
        <v/>
      </c>
      <c r="CE85" s="250">
        <f>IF($BG85&lt;&gt;"",$BG85/'Elements and ions'!$G$6,"")</f>
        <v>0</v>
      </c>
      <c r="CF85" s="91" t="str">
        <f>IF($BH85&lt;&gt;"",$BH85/'Elements and ions'!$G$15,"")</f>
        <v/>
      </c>
      <c r="CG85" s="89" t="str">
        <f>IF($BI85&lt;&gt;"",$BI85/'Elements and ions'!$G$16,"")</f>
        <v/>
      </c>
      <c r="CH85" s="90">
        <f>IF($BJ85&lt;&gt;"",$BJ85/'Elements and ions'!$G$2,"")</f>
        <v>4.8580647935210448E-2</v>
      </c>
      <c r="CI85" s="91" t="str">
        <f>IF($BK85&lt;&gt;"",$BK85/'Elements and ions'!$B$15, "")</f>
        <v/>
      </c>
      <c r="CJ85" s="88" t="str">
        <f>IF($BL85&lt;&gt;"", $BL85/'Elements and ions'!$G$17,"")</f>
        <v/>
      </c>
      <c r="CK85" s="89">
        <f t="shared" si="762"/>
        <v>1.4791083881682055E-3</v>
      </c>
      <c r="CL85" s="163" t="str">
        <f>IF($BN85&lt;&gt;"", $BN85/'Elements and ions'!$G$19,"")</f>
        <v/>
      </c>
      <c r="CM85" s="89">
        <f>IF($BO85&lt;&gt;"",$BO85/'Elements and ions'!$G$4,"")</f>
        <v>2.6697051718885031E-2</v>
      </c>
      <c r="CN85" s="89">
        <f>IF($BP85&lt;&gt;"",$BP85/'Elements and ions'!$B$10,"")</f>
        <v>9.2692000557183674E-3</v>
      </c>
      <c r="CO85" s="104">
        <f>IF($BQ85&lt;&gt;"",$BQ85/'Elements and ions'!$G$18,"")</f>
        <v>0</v>
      </c>
      <c r="CP85" s="242"/>
      <c r="CQ85" s="238">
        <f t="shared" si="771"/>
        <v>1.4914895222471758E-4</v>
      </c>
      <c r="CR85" s="239">
        <f t="shared" si="772"/>
        <v>3.3809654128184603E-5</v>
      </c>
      <c r="CS85" s="239">
        <f t="shared" si="773"/>
        <v>1.8350766006287737E-3</v>
      </c>
      <c r="CT85" s="241">
        <f t="shared" si="774"/>
        <v>2.0659946513063154E-4</v>
      </c>
      <c r="CU85" s="238">
        <f t="shared" si="775"/>
        <v>3.6013331843405653E-3</v>
      </c>
      <c r="CV85" s="239">
        <f t="shared" si="776"/>
        <v>1.1481962034242519E-4</v>
      </c>
      <c r="CW85" s="239">
        <f t="shared" si="777"/>
        <v>1.868432978683943E-4</v>
      </c>
      <c r="CX85" s="241">
        <f t="shared" si="778"/>
        <v>7.8446762840064704E-5</v>
      </c>
      <c r="CY85" s="258">
        <f t="shared" si="763"/>
        <v>6.7608297539198166E-9</v>
      </c>
      <c r="CZ85" s="259" t="str">
        <f t="shared" si="779"/>
        <v/>
      </c>
      <c r="DA85" s="260" t="str">
        <f t="shared" si="780"/>
        <v/>
      </c>
      <c r="DB85" s="261" t="str">
        <f t="shared" si="781"/>
        <v/>
      </c>
      <c r="DC85" s="262">
        <f t="shared" si="782"/>
        <v>0</v>
      </c>
      <c r="DD85" s="263" t="str">
        <f t="shared" si="783"/>
        <v/>
      </c>
      <c r="DE85" s="259" t="str">
        <f t="shared" si="784"/>
        <v/>
      </c>
      <c r="DF85" s="260">
        <f t="shared" si="785"/>
        <v>4.8580647935210448E-5</v>
      </c>
      <c r="DG85" s="260" t="str">
        <f t="shared" si="786"/>
        <v/>
      </c>
      <c r="DH85" s="264" t="str">
        <f t="shared" si="787"/>
        <v/>
      </c>
      <c r="DI85" s="258">
        <f t="shared" si="764"/>
        <v>1.4791083881682056E-6</v>
      </c>
      <c r="DJ85" s="260" t="str">
        <f t="shared" si="788"/>
        <v/>
      </c>
      <c r="DK85" s="260">
        <f t="shared" si="789"/>
        <v>2.6697051718885029E-5</v>
      </c>
      <c r="DL85" s="260">
        <f t="shared" si="790"/>
        <v>9.269200055718367E-6</v>
      </c>
      <c r="DM85" s="265">
        <f t="shared" si="791"/>
        <v>0</v>
      </c>
      <c r="DN85" s="242"/>
      <c r="DO85" s="238">
        <f t="shared" si="792"/>
        <v>0.14914895222471758</v>
      </c>
      <c r="DP85" s="239">
        <f t="shared" si="793"/>
        <v>3.3809654128184603E-2</v>
      </c>
      <c r="DQ85" s="239">
        <f t="shared" si="794"/>
        <v>3.6701532012575475</v>
      </c>
      <c r="DR85" s="241">
        <f t="shared" si="795"/>
        <v>0.41319893026126309</v>
      </c>
      <c r="DS85" s="238">
        <f t="shared" si="796"/>
        <v>-3.6013331843405654</v>
      </c>
      <c r="DT85" s="239">
        <f t="shared" si="797"/>
        <v>-0.11481962034242518</v>
      </c>
      <c r="DU85" s="239">
        <f t="shared" si="798"/>
        <v>-0.18684329786839429</v>
      </c>
      <c r="DV85" s="241">
        <f t="shared" si="799"/>
        <v>-0.1568935256801294</v>
      </c>
      <c r="DW85" s="91">
        <f t="shared" si="765"/>
        <v>6.7608297539198163E-6</v>
      </c>
      <c r="DX85" s="89">
        <f t="shared" si="800"/>
        <v>0</v>
      </c>
      <c r="DY85" s="89">
        <f t="shared" si="801"/>
        <v>0</v>
      </c>
      <c r="DZ85" s="89">
        <f t="shared" si="802"/>
        <v>0</v>
      </c>
      <c r="EA85" s="90">
        <f t="shared" si="803"/>
        <v>0</v>
      </c>
      <c r="EB85" s="91">
        <f t="shared" si="766"/>
        <v>-1.4791083881682055E-3</v>
      </c>
      <c r="EC85" s="89">
        <f t="shared" si="804"/>
        <v>0</v>
      </c>
      <c r="ED85" s="89">
        <f t="shared" si="805"/>
        <v>-5.3394103437770062E-2</v>
      </c>
      <c r="EE85" s="89">
        <f t="shared" si="806"/>
        <v>-9.2692000557183674E-3</v>
      </c>
      <c r="EF85" s="90">
        <f t="shared" si="807"/>
        <v>0</v>
      </c>
      <c r="EG85" s="242"/>
      <c r="EH85" s="245">
        <f t="shared" si="808"/>
        <v>4.2663174987014667</v>
      </c>
      <c r="EI85" s="246">
        <f t="shared" si="809"/>
        <v>-4.124032040113172</v>
      </c>
      <c r="EJ85" s="198">
        <f t="shared" si="810"/>
        <v>1.6958227774667451</v>
      </c>
      <c r="EK85" s="198">
        <f t="shared" si="811"/>
        <v>1.0528103268877882E-2</v>
      </c>
      <c r="EL85" s="101">
        <f>IF(AND(CS85&lt;&gt;"",DK85&lt;&gt;""),LOG(CS85*DK85/Minerals!$C$6),"")</f>
        <v>1.1702895065431793</v>
      </c>
      <c r="EM85" s="94">
        <f>IF(AND(CS85&lt;&gt;"",DK85&lt;&gt;""),LOG(CS85*DK85/Minerals!$C$5),"")</f>
        <v>1.0398099771869616</v>
      </c>
      <c r="EN85" s="94">
        <f>IF(AND(CS85&lt;&gt;"",DL85&lt;&gt;""),LOG(CS85*DL85^2/Minerals!$C$2),"")</f>
        <v>-2.2323363469197028</v>
      </c>
      <c r="EO85" s="94">
        <f>IF(AND(CS85&lt;&gt;"",CX85&lt;&gt;""),LOG($CS85*$CX85/Minerals!$C$3),"")</f>
        <v>-2.2417904107440805</v>
      </c>
      <c r="EP85" s="95">
        <f>IF(AND(CS85&lt;&gt;"",CX85&lt;&gt;""),LOG($CS85*$CX85/Minerals!$C$4),"")</f>
        <v>-2.4817749222099832</v>
      </c>
      <c r="EQ85" s="199"/>
      <c r="ER85" s="101">
        <f t="shared" si="834"/>
        <v>0.89840242529666425</v>
      </c>
      <c r="ES85" s="94">
        <f t="shared" si="834"/>
        <v>0.89840242529666425</v>
      </c>
      <c r="ET85" s="94">
        <f t="shared" si="835"/>
        <v>0.65145386140331285</v>
      </c>
      <c r="EU85" s="94">
        <f t="shared" si="835"/>
        <v>0.65145386140331285</v>
      </c>
      <c r="EV85" s="95">
        <f t="shared" si="835"/>
        <v>0.65145386140331285</v>
      </c>
      <c r="EW85" s="101">
        <f t="shared" si="836"/>
        <v>0.89840242529666425</v>
      </c>
      <c r="EX85" s="94">
        <f t="shared" si="758"/>
        <v>0.65145386140331285</v>
      </c>
      <c r="EY85" s="94">
        <f t="shared" si="836"/>
        <v>0.89840242529666425</v>
      </c>
      <c r="EZ85" s="94">
        <f t="shared" si="836"/>
        <v>0.89840242529666425</v>
      </c>
      <c r="FA85" s="94">
        <f t="shared" si="836"/>
        <v>0.89840242529666425</v>
      </c>
      <c r="FB85" s="95">
        <f t="shared" si="759"/>
        <v>0.65145386140331285</v>
      </c>
      <c r="FC85" s="199"/>
      <c r="FD85" s="101">
        <f t="shared" si="812"/>
        <v>1.3399578040914259E-4</v>
      </c>
      <c r="FE85" s="94">
        <f t="shared" si="813"/>
        <v>3.0374675267202422E-5</v>
      </c>
      <c r="FF85" s="94">
        <f t="shared" si="814"/>
        <v>1.1954677374504796E-3</v>
      </c>
      <c r="FG85" s="94">
        <f t="shared" si="815"/>
        <v>1.3459001932320899E-4</v>
      </c>
      <c r="FH85" s="95" t="str">
        <f t="shared" si="816"/>
        <v/>
      </c>
      <c r="FI85" s="101">
        <f t="shared" si="817"/>
        <v>3.2354464671129229E-3</v>
      </c>
      <c r="FJ85" s="94">
        <f t="shared" si="818"/>
        <v>1.7391897430351603E-5</v>
      </c>
      <c r="FK85" s="94">
        <f t="shared" si="819"/>
        <v>1.0315422538727699E-4</v>
      </c>
      <c r="FL85" s="94">
        <f t="shared" si="820"/>
        <v>1.678604719553925E-4</v>
      </c>
      <c r="FM85" s="94">
        <f t="shared" si="821"/>
        <v>8.3274718106173561E-6</v>
      </c>
      <c r="FN85" s="95">
        <f t="shared" si="822"/>
        <v>5.1104446566750068E-5</v>
      </c>
      <c r="FO85" s="199"/>
      <c r="FP85" s="101">
        <f>IF(EL85&lt;&gt;"",LOG(FF85*FJ85/Minerals!$C$6),"")</f>
        <v>0.79805683183607612</v>
      </c>
      <c r="FQ85" s="94">
        <f>IF(EL85&lt;&gt;"",LOG(FF85*FJ85/Minerals!$C$5),"")</f>
        <v>0.66757730247985847</v>
      </c>
      <c r="FR85" s="94">
        <f>IF(EN85&lt;&gt;"",LOG(FF85*FM85^2/Minerals!$C$2),"")</f>
        <v>-2.5115108529500305</v>
      </c>
      <c r="FS85" s="94">
        <f>IF(EO85&lt;&gt;"",LOG($FF85*$FN85/Minerals!$C$3),"")</f>
        <v>-2.6140230854511839</v>
      </c>
      <c r="FT85" s="95">
        <f>IF(EP85&lt;&gt;"",LOG($FF85*$FN85/Minerals!$C$4),"")</f>
        <v>-2.8540075969170862</v>
      </c>
      <c r="FU85" s="96"/>
      <c r="FV85" s="101">
        <f>IF(FP85&lt;&gt;"",LOG(FF85*FJ85/(EXP(-1*Minerals!$E$6/'Other Constants'!$B$2*(1/(273.15+'ppm-mgL-1'!$D85)-1/298.15)+LN(Minerals!$C$6)))),"")</f>
        <v>-0.42366953755924963</v>
      </c>
      <c r="FW85" s="94">
        <f>IF(FP85&lt;&gt;"",LOG(FF85*FJ85/(EXP(-1*Minerals!$E$5/'Other Constants'!$B$2*(1/(273.15+'ppm-mgL-1'!$D85)-1/298.15)+LN(Minerals!$C$5)))),"")</f>
        <v>-0.5542595146475835</v>
      </c>
      <c r="FX85" s="94">
        <f>IF(FR85&lt;&gt;"",LOG(FF85*FM85^2/(EXP(-1*Minerals!$E$2/'Other Constants'!$B$2*(1/(273.15+'ppm-mgL-1'!$D85)-1/298.15)+LN(Minerals!$C$2)))),"")</f>
        <v>-2.4598581302304687</v>
      </c>
      <c r="FY85" s="94">
        <f>IF(FS85&lt;&gt;"",LOG($FF85*$FN85/(EXP(-1*Minerals!$E$3/'Other Constants'!$B$2*(1/(273.15+'ppm-mgL-1'!$D85)-1/298.15)+LN(Minerals!$C$3)))),"")</f>
        <v>-1.5608524174505776</v>
      </c>
      <c r="FZ85" s="95">
        <f>IF(FT85&lt;&gt;"",LOG($FF85*$FN85/(EXP(-1*Minerals!$E$4/'Other Constants'!$B$2*(1/(273.15+'ppm-mgL-1'!$D85)-1/298.15)+LN(Minerals!$C$4)))),"")</f>
        <v>-2.8841782357400945</v>
      </c>
      <c r="GA85" s="96"/>
      <c r="GB85" s="96"/>
      <c r="GC85" s="101">
        <f>10^(-1825000*(79.755*EXP(-0.0046*($D85-20))*($D85+273.15))^-1.5*$EK85^0.5/(1+'Elements and ions'!$D$12*$EK85^0.5/(2*(79.755*EXP(-0.0046*($D85-20))*($D85+273.15))^0.5)))</f>
        <v>0.89880612063344623</v>
      </c>
      <c r="GD85" s="94">
        <f>10^(-1825000*(79.755*EXP(-0.0046*($D85-20))*($D85+273.15))^-1.5*$EK85^0.5/(1+'Elements and ions'!$D$20*$EK85^0.5/(2*(79.755*EXP(-0.0046*($D85-20))*($D85+273.15))^0.5)))</f>
        <v>0.89588470352496752</v>
      </c>
      <c r="GE85" s="94">
        <f>10^(-1825000*(79.755*EXP(-0.0046*($D85-20))*($D85+273.15))^-1.5*4*$EK85^0.5/(1+'Elements and ions'!$D$21*$EK85^0.5/(2*(79.755*EXP(-0.0046*($D85-20))*($D85+273.15))^0.5)))</f>
        <v>0.66838490189947597</v>
      </c>
      <c r="GF85" s="94">
        <f>10^(-1825000*(79.755*EXP(-0.0046*($D85-20))*($D85+273.15))^-1.5*4*$EK85^0.5/(1+'Elements and ions'!$D$13*$EK85^0.5/(2*(79.755*EXP(-0.0046*($D85-20))*($D85+273.15))^0.5)))</f>
        <v>0.68279723007857307</v>
      </c>
      <c r="GG85" s="95">
        <f>10^(-1825000*(79.755*EXP(-0.0046*($D85-20))*($D85+273.15))^-1.5*4*$EK85^0.5/(1+'Elements and ions'!$D$27*$EK85^0.5/(2*(79.755*EXP(-0.0046*($D85-20))*($D85+273.15))^0.5)))</f>
        <v>0.66838490189947597</v>
      </c>
      <c r="GH85" s="101">
        <f>10^(-1825000*(79.755*EXP(-0.0046*($D85-20))*($D85+273.15))^-1.5*$EK85^0.5/(1+'Elements and ions'!$G$3*$EK85^0.5/(2*(79.755*EXP(-0.0046*($D85-20))*($D85+273.15))^0.5)))</f>
        <v>0.88817003147888851</v>
      </c>
      <c r="GI85" s="94">
        <f>10^(-1825000*(79.755*EXP(-0.0046*($D85-20))*($D85+273.15))^-1.5*4*$EK85^0.5/(1+'Elements and ions'!$G$4*$EK85^0.5/(2*(79.755*EXP(-0.0046*($D85-20))*($D85+273.15))^0.5)))</f>
        <v>0.62218005911626717</v>
      </c>
      <c r="GJ85" s="94">
        <f>10^(-1825000*(79.755*EXP(-0.0046*($D85-20))*($D85+273.15))^-1.5*$EK85^0.5/(1+'Elements and ions'!$D$18*$EK85^0.5/(2*(79.755*EXP(-0.0046*($D85-20))*($D85+273.15))^0.5)))</f>
        <v>0.89588470352496752</v>
      </c>
      <c r="GK85" s="94">
        <f>10^(-1825000*(79.755*EXP(-0.0046*($D85-20))*($D85+273.15))^-1.5*$EK85^0.5/(1+'Elements and ions'!$I$7*$EK85^0.5/(2*(79.755*EXP(-0.0046*($D85-20))*($D85+273.15))^0.5)))</f>
        <v>0.89588470352496752</v>
      </c>
      <c r="GL85" s="94">
        <f>10^(-1825000*(79.755*EXP(-0.0046*($D85-20))*($D85+273.15))^-1.5*$EK85^0.5/(1+'Elements and ions'!$D$10*$EK85^0.5/(2*(79.755*EXP(-0.0046*($D85-20))*($D85+273.15))^0.5)))</f>
        <v>0.89736617557048359</v>
      </c>
      <c r="GM85" s="95">
        <f>10^(-1825000*(79.755*EXP(-0.0046*($D85-20))*($D85+273.15))^-1.5*4*$EK85^0.5/(1+'Elements and ions'!$I$5*$EK85^0.5/(2*(79.755*EXP(-0.0046*($D85-20))*($D85+273.15))^0.5)))</f>
        <v>0.65262556883406153</v>
      </c>
      <c r="GN85" s="96"/>
      <c r="GO85" s="101">
        <f t="shared" si="823"/>
        <v>1.3405599114564161E-4</v>
      </c>
      <c r="GP85" s="94">
        <f t="shared" si="824"/>
        <v>3.0289551964910357E-5</v>
      </c>
      <c r="GQ85" s="94">
        <f t="shared" si="825"/>
        <v>1.2265374936892867E-3</v>
      </c>
      <c r="GR85" s="94">
        <f t="shared" si="826"/>
        <v>1.4106554252690996E-4</v>
      </c>
      <c r="GS85" s="95" t="str">
        <f t="shared" si="827"/>
        <v/>
      </c>
      <c r="GT85" s="101">
        <f t="shared" si="828"/>
        <v>3.1985962077017258E-3</v>
      </c>
      <c r="GU85" s="94">
        <f t="shared" si="829"/>
        <v>1.6610373216685931E-5</v>
      </c>
      <c r="GV85" s="94">
        <f t="shared" si="830"/>
        <v>1.0286514152932291E-4</v>
      </c>
      <c r="GW85" s="94">
        <f t="shared" si="831"/>
        <v>1.6739005251645362E-4</v>
      </c>
      <c r="GX85" s="94">
        <f t="shared" si="832"/>
        <v>8.3178666045977037E-6</v>
      </c>
      <c r="GY85" s="102">
        <f t="shared" si="833"/>
        <v>5.1196363221687945E-5</v>
      </c>
      <c r="GZ85" s="199"/>
      <c r="HA85" s="92">
        <f>IF(AND(GQ85&lt;&gt;"",GU85&lt;&gt;""),LOG(GQ85*GU85/Minerals!$C$6),"")</f>
        <v>0.78923222547581473</v>
      </c>
      <c r="HB85" s="94">
        <f>IF(AND(GQ85&lt;&gt;"",GU85&lt;&gt;""),LOG(GQ85*GU85/Minerals!$C$5),"")</f>
        <v>0.65875269611959708</v>
      </c>
      <c r="HC85" s="94">
        <f>IF(AND(GQ85&lt;&gt;"",GX85&lt;&gt;""),LOG(GQ85*GX85^2/Minerals!$C$2),"")</f>
        <v>-2.5013703245544434</v>
      </c>
      <c r="HD85" s="94">
        <f>IF(AND(GQ85&lt;&gt;"",GY85&lt;&gt;""),LOG($GQ85*$GY85/Minerals!$C$3),"")</f>
        <v>-2.6020996949063289</v>
      </c>
      <c r="HE85" s="102">
        <f>IF(AND(GQ85&lt;&gt;"",GY85&lt;&gt;""),LOG($GQ85*$GY85/Minerals!$C$3),"")</f>
        <v>-2.6020996949063289</v>
      </c>
      <c r="HF85" s="199"/>
      <c r="HG85" s="92">
        <f>IF(HA85&lt;&gt;"",LOG(GQ85*GU85/(EXP(-1*Minerals!$E$6/'Other Constants'!$B$2*(1/(273.15+'ppm-mgL-1'!$D85)-1/298.15)+LN(Minerals!$C$6)))),"")</f>
        <v>-0.43249414391951102</v>
      </c>
      <c r="HH85" s="94">
        <f>IF(HA85&lt;&gt;"",LOG(GQ85*GU85/(EXP(-1*Minerals!$E$5/'Other Constants'!$B$2*(1/(273.15+'ppm-mgL-1'!$D85)-1/298.15)+LN(Minerals!$C$5)))),"")</f>
        <v>-0.563084121007845</v>
      </c>
      <c r="HI85" s="94">
        <f>IF(HC85&lt;&gt;"",LOG(GQ85*GX85^2/(EXP(-1*Minerals!$E$2/'Other Constants'!$B$2*(1/(273.15+'ppm-mgL-1'!$D85)-1/298.15)+LN(Minerals!$C$2)))),"")</f>
        <v>-2.4497176018348816</v>
      </c>
      <c r="HJ85" s="94">
        <f>IF(HD85&lt;&gt;"",LOG($FF85*$FN85/(EXP(-1*Minerals!$E$3/'Other Constants'!$B$2*(1/(273.15+'ppm-mgL-1'!$D85)-1/298.15)+LN(Minerals!$C$3)))),"")</f>
        <v>-1.5608524174505776</v>
      </c>
      <c r="HK85" s="95">
        <f>IF(HE85&lt;&gt;"",LOG($FF85*$FN85/(EXP(-1*Minerals!$E$4/'Other Constants'!$B$2*(1/(273.15+'ppm-mgL-1'!$D85)-1/298.15)+LN(Minerals!$C$4)))),"")</f>
        <v>-2.8841782357400945</v>
      </c>
      <c r="HL85" s="199"/>
      <c r="HM85" s="199"/>
    </row>
    <row r="86" spans="1:221" x14ac:dyDescent="0.25">
      <c r="A86" s="267" t="str">
        <f>'WC samples'!B57</f>
        <v>ISSR 7</v>
      </c>
      <c r="C86" s="266">
        <f>'WC samples'!A57</f>
        <v>41594</v>
      </c>
      <c r="D86" s="4">
        <f>'WC samples'!I57</f>
        <v>21.6</v>
      </c>
      <c r="E86" s="4">
        <f>'WC samples'!F57</f>
        <v>8.33</v>
      </c>
      <c r="AD86" s="83">
        <f>IF(E86&lt;&gt;"",10^(-2*$E86)/(10^(-2*$E86)+10^(-$E86-pKa!$B$2)+(10^(-pKa!$B$2-pKa!$C$2))),"")</f>
        <v>9.149123789063322E-3</v>
      </c>
      <c r="AE86" s="84">
        <f>IF(E86&lt;&gt;"",10^(-$E86-pKa!$B$2)/(10^(-2*$E86)+10^(-$E86-pKa!$B$2)+10^(-pKa!$B$2-pKa!$C$2)),"")</f>
        <v>0.98034627659900042</v>
      </c>
      <c r="AF86" s="212">
        <f>IF(E86&lt;&gt;"",10^(-pKa!$B$2-pKa!$C$2)/(10^(-2*$E86)+10^(-$E86-pKa!$B$2)+10^(-pKa!$B$2-pKa!$C$2)),"")</f>
        <v>1.0504599611936328E-2</v>
      </c>
      <c r="AG86" s="152"/>
      <c r="AH86" s="222">
        <f>IF($AK86&lt;&gt;"",$AK86/'Elements and ions'!$G$3,IF($E86="","",""))</f>
        <v>3.5400063326779954</v>
      </c>
      <c r="AI86" s="85">
        <f t="shared" si="770"/>
        <v>3.5352123045856681E-3</v>
      </c>
      <c r="AJ86" s="84">
        <f>IF(AI86&lt;&gt;"",AI86*1000*'Elements and ions'!$B$7,"")</f>
        <v>42.460374426687089</v>
      </c>
      <c r="AK86" s="99">
        <f>'WC samples'!H57</f>
        <v>216</v>
      </c>
      <c r="AL86" s="88">
        <f>IF($AK86&lt;&gt;"",$AK86/'Elements and ions'!$G$3*Minerals!$B$6/2,IF($E86="","","Enter Alk(HCO3-)"))</f>
        <v>177.15412990905463</v>
      </c>
      <c r="AM86" s="199"/>
      <c r="AN86" s="101">
        <f t="shared" si="755"/>
        <v>3.2344094995274106E-5</v>
      </c>
      <c r="AO86" s="94">
        <f t="shared" si="756"/>
        <v>3.4657322197875311E-3</v>
      </c>
      <c r="AP86" s="95">
        <f t="shared" si="757"/>
        <v>3.7135989802863142E-5</v>
      </c>
      <c r="AQ86" s="199"/>
      <c r="AR86" s="199"/>
      <c r="AS86" s="83">
        <f t="shared" si="760"/>
        <v>9.512969116257089E-2</v>
      </c>
      <c r="AT86" s="83">
        <f>IF(AN86&lt;&gt;"",AN86/'Henrys law constants'!$B$7*1000000,"")</f>
        <v>951.29691162570896</v>
      </c>
      <c r="AU86" s="268">
        <f>'WC samples'!K57</f>
        <v>3.6297999999999999</v>
      </c>
      <c r="AV86" s="269">
        <f>'WC samples'!M57</f>
        <v>1.0757000000000001</v>
      </c>
      <c r="AW86" s="269">
        <f>'WC samples'!O57</f>
        <v>77.238100000000003</v>
      </c>
      <c r="AX86" s="269">
        <f>'WC samples'!N57</f>
        <v>5.6447000000000003</v>
      </c>
      <c r="AY86" s="226">
        <f>AO86*'Elements and ions'!$G$3*1000</f>
        <v>211.46802833762061</v>
      </c>
      <c r="AZ86" s="269">
        <f>'WC samples'!Q57</f>
        <v>4.7931999999999997</v>
      </c>
      <c r="BA86" s="269">
        <f>'WC samples'!T57</f>
        <v>22.359400000000001</v>
      </c>
      <c r="BB86" s="270">
        <f>'WC samples'!V57</f>
        <v>8.6559000000000008</v>
      </c>
      <c r="BC86" s="222">
        <f>IF($E86&lt;&gt;"",10^-$E86*'Elements and ions'!B90*1000,"")</f>
        <v>0</v>
      </c>
      <c r="BE86" s="6"/>
      <c r="BF86" s="6"/>
      <c r="BG86" s="270">
        <f>'WC samples'!L57</f>
        <v>0</v>
      </c>
      <c r="BH86" s="3"/>
      <c r="BJ86" s="92">
        <f>IF($AN86&lt;&gt;"",$AN86*'Elements and ions'!$G$2*1000,"")</f>
        <v>2.0061353763809771</v>
      </c>
      <c r="BK86" s="229"/>
      <c r="BL86" s="230"/>
      <c r="BM86" s="101">
        <f>IF($E86&lt;&gt;"",(10^-14+$E86)*'Elements and ions'!$G$8,"")</f>
        <v>141.67114220000019</v>
      </c>
      <c r="BO86" s="102">
        <f>IF($AP86&lt;&gt;"",$AP86*'Elements and ions'!$G$4*1000,"")</f>
        <v>2.2284898984810337</v>
      </c>
      <c r="BP86" s="269">
        <f>'WC samples'!P57</f>
        <v>0.18029999999999999</v>
      </c>
      <c r="BQ86" s="270">
        <f>'WC samples'!R57</f>
        <v>0</v>
      </c>
      <c r="BR86" s="195"/>
      <c r="BS86" s="238">
        <f>IF($AU86&lt;&gt;"",$AU86/'Elements and ions'!$B$12,"")</f>
        <v>0.15788762191527309</v>
      </c>
      <c r="BT86" s="239">
        <f>IF($AV86&lt;&gt;"",$AV86/'Elements and ions'!$B$20,"")</f>
        <v>2.7512705155978649E-2</v>
      </c>
      <c r="BU86" s="239">
        <f>IF($AW86&lt;&gt;"",$AW86/'Elements and ions'!$B$21, "")</f>
        <v>1.927194470781975</v>
      </c>
      <c r="BV86" s="240">
        <f>IF($AX86&lt;&gt;"",$AX86/'Elements and ions'!$B$13, "")</f>
        <v>0.23224439415758075</v>
      </c>
      <c r="BW86" s="238">
        <f>IF($AY86&lt;&gt;"",$AY86/'Elements and ions'!$G$3,"")</f>
        <v>3.4657322197875313</v>
      </c>
      <c r="BX86" s="239">
        <f>IF($AZ86&lt;&gt;"",$AZ86/'Elements and ions'!$B$18,"")</f>
        <v>0.13519871379008827</v>
      </c>
      <c r="BY86" s="239">
        <f>IF($BA86&lt;&gt;"",$BA86/'Elements and ions'!$G$7,"")</f>
        <v>0.36060698428672572</v>
      </c>
      <c r="BZ86" s="241">
        <f>IF($BB86&lt;&gt;"",$BB86/'Elements and ions'!$G$5,"")</f>
        <v>9.0106867813280089E-2</v>
      </c>
      <c r="CA86" s="91">
        <f t="shared" si="761"/>
        <v>4.6773514128719728E-6</v>
      </c>
      <c r="CB86" s="163" t="str">
        <f>IF($BD86&lt;&gt;"",$BD86/'Elements and ions'!$B$14,"")</f>
        <v/>
      </c>
      <c r="CC86" s="89" t="str">
        <f>IF($BE86&lt;&gt;"",$BE86/'Elements and ions'!$B$27, "")</f>
        <v/>
      </c>
      <c r="CD86" s="249" t="str">
        <f>IF($BF86&lt;&gt;"",$BF86/'Elements and ions'!$B$26,"")</f>
        <v/>
      </c>
      <c r="CE86" s="250">
        <f>IF($BG86&lt;&gt;"",$BG86/'Elements and ions'!$G$6,"")</f>
        <v>0</v>
      </c>
      <c r="CF86" s="91" t="str">
        <f>IF($BH86&lt;&gt;"",$BH86/'Elements and ions'!$G$15,"")</f>
        <v/>
      </c>
      <c r="CG86" s="89" t="str">
        <f>IF($BI86&lt;&gt;"",$BI86/'Elements and ions'!$G$16,"")</f>
        <v/>
      </c>
      <c r="CH86" s="90">
        <f>IF($BJ86&lt;&gt;"",$BJ86/'Elements and ions'!$G$2,"")</f>
        <v>3.2344094995274103E-2</v>
      </c>
      <c r="CI86" s="91" t="str">
        <f>IF($BK86&lt;&gt;"",$BK86/'Elements and ions'!$B$15, "")</f>
        <v/>
      </c>
      <c r="CJ86" s="88" t="str">
        <f>IF($BL86&lt;&gt;"", $BL86/'Elements and ions'!$G$17,"")</f>
        <v/>
      </c>
      <c r="CK86" s="89">
        <f t="shared" si="762"/>
        <v>2.13796208950223E-3</v>
      </c>
      <c r="CL86" s="163" t="str">
        <f>IF($BN86&lt;&gt;"", $BN86/'Elements and ions'!$G$19,"")</f>
        <v/>
      </c>
      <c r="CM86" s="89">
        <f>IF($BO86&lt;&gt;"",$BO86/'Elements and ions'!$G$4,"")</f>
        <v>3.7135989802863138E-2</v>
      </c>
      <c r="CN86" s="89">
        <f>IF($BP86&lt;&gt;"",$BP86/'Elements and ions'!$B$10,"")</f>
        <v>9.4902712665872885E-3</v>
      </c>
      <c r="CO86" s="104">
        <f>IF($BQ86&lt;&gt;"",$BQ86/'Elements and ions'!$G$18,"")</f>
        <v>0</v>
      </c>
      <c r="CP86" s="242"/>
      <c r="CQ86" s="238">
        <f t="shared" si="771"/>
        <v>1.5788762191527308E-4</v>
      </c>
      <c r="CR86" s="239">
        <f t="shared" si="772"/>
        <v>2.7512705155978649E-5</v>
      </c>
      <c r="CS86" s="239">
        <f t="shared" si="773"/>
        <v>1.9271944707819749E-3</v>
      </c>
      <c r="CT86" s="241">
        <f t="shared" si="774"/>
        <v>2.3224439415758075E-4</v>
      </c>
      <c r="CU86" s="238">
        <f t="shared" si="775"/>
        <v>3.4657322197875315E-3</v>
      </c>
      <c r="CV86" s="239">
        <f t="shared" si="776"/>
        <v>1.3519871379008826E-4</v>
      </c>
      <c r="CW86" s="239">
        <f t="shared" si="777"/>
        <v>3.6060698428672572E-4</v>
      </c>
      <c r="CX86" s="241">
        <f t="shared" si="778"/>
        <v>9.0106867813280093E-5</v>
      </c>
      <c r="CY86" s="258">
        <f t="shared" si="763"/>
        <v>4.6773514128719724E-9</v>
      </c>
      <c r="CZ86" s="259" t="str">
        <f t="shared" si="779"/>
        <v/>
      </c>
      <c r="DA86" s="260" t="str">
        <f t="shared" si="780"/>
        <v/>
      </c>
      <c r="DB86" s="261" t="str">
        <f t="shared" si="781"/>
        <v/>
      </c>
      <c r="DC86" s="262">
        <f t="shared" si="782"/>
        <v>0</v>
      </c>
      <c r="DD86" s="263" t="str">
        <f t="shared" si="783"/>
        <v/>
      </c>
      <c r="DE86" s="259" t="str">
        <f t="shared" si="784"/>
        <v/>
      </c>
      <c r="DF86" s="260">
        <f t="shared" si="785"/>
        <v>3.2344094995274106E-5</v>
      </c>
      <c r="DG86" s="260" t="str">
        <f t="shared" si="786"/>
        <v/>
      </c>
      <c r="DH86" s="264" t="str">
        <f t="shared" si="787"/>
        <v/>
      </c>
      <c r="DI86" s="258">
        <f t="shared" si="764"/>
        <v>2.1379620895022301E-6</v>
      </c>
      <c r="DJ86" s="260" t="str">
        <f t="shared" si="788"/>
        <v/>
      </c>
      <c r="DK86" s="260">
        <f t="shared" si="789"/>
        <v>3.7135989802863135E-5</v>
      </c>
      <c r="DL86" s="260">
        <f t="shared" si="790"/>
        <v>9.4902712665872879E-6</v>
      </c>
      <c r="DM86" s="265">
        <f t="shared" si="791"/>
        <v>0</v>
      </c>
      <c r="DN86" s="242"/>
      <c r="DO86" s="238">
        <f t="shared" si="792"/>
        <v>0.15788762191527309</v>
      </c>
      <c r="DP86" s="239">
        <f t="shared" si="793"/>
        <v>2.7512705155978649E-2</v>
      </c>
      <c r="DQ86" s="239">
        <f t="shared" si="794"/>
        <v>3.8543889415639501</v>
      </c>
      <c r="DR86" s="241">
        <f t="shared" si="795"/>
        <v>0.46448878831516149</v>
      </c>
      <c r="DS86" s="238">
        <f t="shared" si="796"/>
        <v>-3.4657322197875313</v>
      </c>
      <c r="DT86" s="239">
        <f t="shared" si="797"/>
        <v>-0.13519871379008827</v>
      </c>
      <c r="DU86" s="239">
        <f t="shared" si="798"/>
        <v>-0.36060698428672572</v>
      </c>
      <c r="DV86" s="241">
        <f t="shared" si="799"/>
        <v>-0.18021373562656018</v>
      </c>
      <c r="DW86" s="91">
        <f t="shared" si="765"/>
        <v>4.6773514128719728E-6</v>
      </c>
      <c r="DX86" s="89">
        <f t="shared" si="800"/>
        <v>0</v>
      </c>
      <c r="DY86" s="89">
        <f t="shared" si="801"/>
        <v>0</v>
      </c>
      <c r="DZ86" s="89">
        <f t="shared" si="802"/>
        <v>0</v>
      </c>
      <c r="EA86" s="90">
        <f t="shared" si="803"/>
        <v>0</v>
      </c>
      <c r="EB86" s="91">
        <f t="shared" si="766"/>
        <v>-2.13796208950223E-3</v>
      </c>
      <c r="EC86" s="89">
        <f t="shared" si="804"/>
        <v>0</v>
      </c>
      <c r="ED86" s="89">
        <f t="shared" si="805"/>
        <v>-7.4271979605726277E-2</v>
      </c>
      <c r="EE86" s="89">
        <f t="shared" si="806"/>
        <v>-9.4902712665872885E-3</v>
      </c>
      <c r="EF86" s="90">
        <f t="shared" si="807"/>
        <v>0</v>
      </c>
      <c r="EG86" s="242"/>
      <c r="EH86" s="245">
        <f t="shared" si="808"/>
        <v>4.5042827343017766</v>
      </c>
      <c r="EI86" s="246">
        <f t="shared" si="809"/>
        <v>-4.227651866452721</v>
      </c>
      <c r="EJ86" s="198">
        <f t="shared" si="810"/>
        <v>3.1680364145781956</v>
      </c>
      <c r="EK86" s="198">
        <f t="shared" si="811"/>
        <v>1.1076397189112436E-2</v>
      </c>
      <c r="EL86" s="101">
        <f>IF(AND(CS86&lt;&gt;"",DK86&lt;&gt;""),LOG(CS86*DK86/Minerals!$C$6),"")</f>
        <v>1.3348925510629497</v>
      </c>
      <c r="EM86" s="94">
        <f>IF(AND(CS86&lt;&gt;"",DK86&lt;&gt;""),LOG(CS86*DK86/Minerals!$C$5),"")</f>
        <v>1.2044130217067319</v>
      </c>
      <c r="EN86" s="94">
        <f>IF(AND(CS86&lt;&gt;"",DL86&lt;&gt;""),LOG(CS86*DL86^2/Minerals!$C$2),"")</f>
        <v>-2.1905922619207132</v>
      </c>
      <c r="EO86" s="94">
        <f>IF(AND(CS86&lt;&gt;"",CX86&lt;&gt;""),LOG($CS86*$CX86/Minerals!$C$3),"")</f>
        <v>-2.1603362005569275</v>
      </c>
      <c r="EP86" s="95">
        <f>IF(AND(CS86&lt;&gt;"",CX86&lt;&gt;""),LOG($CS86*$CX86/Minerals!$C$4),"")</f>
        <v>-2.4003207120228303</v>
      </c>
      <c r="EQ86" s="199"/>
      <c r="ER86" s="101">
        <f t="shared" si="834"/>
        <v>0.89616629069543252</v>
      </c>
      <c r="ES86" s="94">
        <f t="shared" si="834"/>
        <v>0.89616629069543252</v>
      </c>
      <c r="ET86" s="94">
        <f t="shared" si="835"/>
        <v>0.64499213005026201</v>
      </c>
      <c r="EU86" s="94">
        <f t="shared" si="835"/>
        <v>0.64499213005026201</v>
      </c>
      <c r="EV86" s="95">
        <f t="shared" si="835"/>
        <v>0.64499213005026201</v>
      </c>
      <c r="EW86" s="101">
        <f t="shared" si="836"/>
        <v>0.89616629069543252</v>
      </c>
      <c r="EX86" s="94">
        <f t="shared" si="758"/>
        <v>0.64499213005026201</v>
      </c>
      <c r="EY86" s="94">
        <f t="shared" si="836"/>
        <v>0.89616629069543252</v>
      </c>
      <c r="EZ86" s="94">
        <f t="shared" si="836"/>
        <v>0.89616629069543252</v>
      </c>
      <c r="FA86" s="94">
        <f t="shared" si="836"/>
        <v>0.89616629069543252</v>
      </c>
      <c r="FB86" s="95">
        <f t="shared" si="759"/>
        <v>0.64499213005026201</v>
      </c>
      <c r="FC86" s="199"/>
      <c r="FD86" s="101">
        <f t="shared" si="812"/>
        <v>1.4149356447853317E-4</v>
      </c>
      <c r="FE86" s="94">
        <f t="shared" si="813"/>
        <v>2.4655958926630487E-5</v>
      </c>
      <c r="FF86" s="94">
        <f t="shared" si="814"/>
        <v>1.2430252667307534E-3</v>
      </c>
      <c r="FG86" s="94">
        <f t="shared" si="815"/>
        <v>1.4979580647993065E-4</v>
      </c>
      <c r="FH86" s="95" t="str">
        <f t="shared" si="816"/>
        <v/>
      </c>
      <c r="FI86" s="101">
        <f t="shared" si="817"/>
        <v>3.1058723879506395E-3</v>
      </c>
      <c r="FJ86" s="94">
        <f t="shared" si="818"/>
        <v>2.3952421164473502E-5</v>
      </c>
      <c r="FK86" s="94">
        <f t="shared" si="819"/>
        <v>1.2116052984405682E-4</v>
      </c>
      <c r="FL86" s="94">
        <f t="shared" si="820"/>
        <v>3.2316382350710112E-4</v>
      </c>
      <c r="FM86" s="94">
        <f t="shared" si="821"/>
        <v>8.5048611986709735E-6</v>
      </c>
      <c r="FN86" s="95">
        <f t="shared" si="822"/>
        <v>5.811822060304492E-5</v>
      </c>
      <c r="FO86" s="199"/>
      <c r="FP86" s="101">
        <f>IF(EL86&lt;&gt;"",LOG(FF86*FJ86/Minerals!$C$6),"")</f>
        <v>0.95400138220450592</v>
      </c>
      <c r="FQ86" s="94">
        <f>IF(EL86&lt;&gt;"",LOG(FF86*FJ86/Minerals!$C$5),"")</f>
        <v>0.82352185284828816</v>
      </c>
      <c r="FR86" s="94">
        <f>IF(EN86&lt;&gt;"",LOG(FF86*FM86^2/Minerals!$C$2),"")</f>
        <v>-2.476260638564546</v>
      </c>
      <c r="FS86" s="94">
        <f>IF(EO86&lt;&gt;"",LOG($FF86*$FN86/Minerals!$C$3),"")</f>
        <v>-2.5412273694153713</v>
      </c>
      <c r="FT86" s="95">
        <f>IF(EP86&lt;&gt;"",LOG($FF86*$FN86/Minerals!$C$4),"")</f>
        <v>-2.781211880881274</v>
      </c>
      <c r="FU86" s="96"/>
      <c r="FV86" s="101">
        <f>IF(FP86&lt;&gt;"",LOG(FF86*FJ86/(EXP(-1*Minerals!$E$6/'Other Constants'!$B$2*(1/(273.15+'ppm-mgL-1'!$D86)-1/298.15)+LN(Minerals!$C$6)))),"")</f>
        <v>-0.38732039621491693</v>
      </c>
      <c r="FW86" s="94">
        <f>IF(FP86&lt;&gt;"",LOG(FF86*FJ86/(EXP(-1*Minerals!$E$5/'Other Constants'!$B$2*(1/(273.15+'ppm-mgL-1'!$D86)-1/298.15)+LN(Minerals!$C$5)))),"")</f>
        <v>-0.51792118508732077</v>
      </c>
      <c r="FX86" s="94">
        <f>IF(FR86&lt;&gt;"",LOG(FF86*FM86^2/(EXP(-1*Minerals!$E$2/'Other Constants'!$B$2*(1/(273.15+'ppm-mgL-1'!$D86)-1/298.15)+LN(Minerals!$C$2)))),"")</f>
        <v>-2.4195516048283769</v>
      </c>
      <c r="FY86" s="94">
        <f>IF(FS86&lt;&gt;"",LOG($FF86*$FN86/(EXP(-1*Minerals!$E$3/'Other Constants'!$B$2*(1/(273.15+'ppm-mgL-1'!$D86)-1/298.15)+LN(Minerals!$C$3)))),"")</f>
        <v>-1.3849612948107037</v>
      </c>
      <c r="FZ86" s="95">
        <f>IF(FT86&lt;&gt;"",LOG($FF86*$FN86/(EXP(-1*Minerals!$E$4/'Other Constants'!$B$2*(1/(273.15+'ppm-mgL-1'!$D86)-1/298.15)+LN(Minerals!$C$4)))),"")</f>
        <v>-2.8143359387193279</v>
      </c>
      <c r="GA86" s="96"/>
      <c r="GB86" s="96"/>
      <c r="GC86" s="101">
        <f>10^(-1825000*(79.755*EXP(-0.0046*($D86-20))*($D86+273.15))^-1.5*$EK86^0.5/(1+'Elements and ions'!$D$12*$EK86^0.5/(2*(79.755*EXP(-0.0046*($D86-20))*($D86+273.15))^0.5)))</f>
        <v>0.89669310755173359</v>
      </c>
      <c r="GD86" s="94">
        <f>10^(-1825000*(79.755*EXP(-0.0046*($D86-20))*($D86+273.15))^-1.5*$EK86^0.5/(1+'Elements and ions'!$D$20*$EK86^0.5/(2*(79.755*EXP(-0.0046*($D86-20))*($D86+273.15))^0.5)))</f>
        <v>0.89364557806643041</v>
      </c>
      <c r="GE86" s="94">
        <f>10^(-1825000*(79.755*EXP(-0.0046*($D86-20))*($D86+273.15))^-1.5*4*$EK86^0.5/(1+'Elements and ions'!$D$21*$EK86^0.5/(2*(79.755*EXP(-0.0046*($D86-20))*($D86+273.15))^0.5)))</f>
        <v>0.66281221211978714</v>
      </c>
      <c r="GF86" s="94">
        <f>10^(-1825000*(79.755*EXP(-0.0046*($D86-20))*($D86+273.15))^-1.5*4*$EK86^0.5/(1+'Elements and ions'!$D$13*$EK86^0.5/(2*(79.755*EXP(-0.0046*($D86-20))*($D86+273.15))^0.5)))</f>
        <v>0.67769986289781703</v>
      </c>
      <c r="GG86" s="95">
        <f>10^(-1825000*(79.755*EXP(-0.0046*($D86-20))*($D86+273.15))^-1.5*4*$EK86^0.5/(1+'Elements and ions'!$D$27*$EK86^0.5/(2*(79.755*EXP(-0.0046*($D86-20))*($D86+273.15))^0.5)))</f>
        <v>0.66281221211978714</v>
      </c>
      <c r="GH86" s="101">
        <f>10^(-1825000*(79.755*EXP(-0.0046*($D86-20))*($D86+273.15))^-1.5*$EK86^0.5/(1+'Elements and ions'!$G$3*$EK86^0.5/(2*(79.755*EXP(-0.0046*($D86-20))*($D86+273.15))^0.5)))</f>
        <v>0.88557996758135926</v>
      </c>
      <c r="GI86" s="94">
        <f>10^(-1825000*(79.755*EXP(-0.0046*($D86-20))*($D86+273.15))^-1.5*4*$EK86^0.5/(1+'Elements and ions'!$G$4*$EK86^0.5/(2*(79.755*EXP(-0.0046*($D86-20))*($D86+273.15))^0.5)))</f>
        <v>0.61494932245258549</v>
      </c>
      <c r="GJ86" s="94">
        <f>10^(-1825000*(79.755*EXP(-0.0046*($D86-20))*($D86+273.15))^-1.5*$EK86^0.5/(1+'Elements and ions'!$D$18*$EK86^0.5/(2*(79.755*EXP(-0.0046*($D86-20))*($D86+273.15))^0.5)))</f>
        <v>0.89364557806643041</v>
      </c>
      <c r="GK86" s="94">
        <f>10^(-1825000*(79.755*EXP(-0.0046*($D86-20))*($D86+273.15))^-1.5*$EK86^0.5/(1+'Elements and ions'!$I$7*$EK86^0.5/(2*(79.755*EXP(-0.0046*($D86-20))*($D86+273.15))^0.5)))</f>
        <v>0.89364557806643041</v>
      </c>
      <c r="GL86" s="94">
        <f>10^(-1825000*(79.755*EXP(-0.0046*($D86-20))*($D86+273.15))^-1.5*$EK86^0.5/(1+'Elements and ions'!$D$10*$EK86^0.5/(2*(79.755*EXP(-0.0046*($D86-20))*($D86+273.15))^0.5)))</f>
        <v>0.89519146755158741</v>
      </c>
      <c r="GM86" s="95">
        <f>10^(-1825000*(79.755*EXP(-0.0046*($D86-20))*($D86+273.15))^-1.5*4*$EK86^0.5/(1+'Elements and ions'!$I$5*$EK86^0.5/(2*(79.755*EXP(-0.0046*($D86-20))*($D86+273.15))^0.5)))</f>
        <v>0.64651011826796123</v>
      </c>
      <c r="GN86" s="96"/>
      <c r="GO86" s="101">
        <f t="shared" si="823"/>
        <v>1.4157674233915941E-4</v>
      </c>
      <c r="GP86" s="94">
        <f t="shared" si="824"/>
        <v>2.45866073032858E-5</v>
      </c>
      <c r="GQ86" s="94">
        <f t="shared" si="825"/>
        <v>1.2773680303640232E-3</v>
      </c>
      <c r="GR86" s="94">
        <f t="shared" si="826"/>
        <v>1.5739199407937906E-4</v>
      </c>
      <c r="GS86" s="95" t="str">
        <f t="shared" si="827"/>
        <v/>
      </c>
      <c r="GT86" s="101">
        <f t="shared" si="828"/>
        <v>3.0691830268451143E-3</v>
      </c>
      <c r="GU86" s="94">
        <f t="shared" si="829"/>
        <v>2.2836751767876808E-5</v>
      </c>
      <c r="GV86" s="94">
        <f t="shared" si="830"/>
        <v>1.2081973273878131E-4</v>
      </c>
      <c r="GW86" s="94">
        <f t="shared" si="831"/>
        <v>3.222548369277032E-4</v>
      </c>
      <c r="GX86" s="94">
        <f t="shared" si="832"/>
        <v>8.4956098625989362E-6</v>
      </c>
      <c r="GY86" s="102">
        <f t="shared" si="833"/>
        <v>5.8255001766719262E-5</v>
      </c>
      <c r="GZ86" s="199"/>
      <c r="HA86" s="92">
        <f>IF(AND(GQ86&lt;&gt;"",GU86&lt;&gt;""),LOG(GQ86*GU86/Minerals!$C$6),"")</f>
        <v>0.9451223799747005</v>
      </c>
      <c r="HB86" s="94">
        <f>IF(AND(GQ86&lt;&gt;"",GU86&lt;&gt;""),LOG(GQ86*GU86/Minerals!$C$5),"")</f>
        <v>0.81464285061848274</v>
      </c>
      <c r="HC86" s="94">
        <f>IF(AND(GQ86&lt;&gt;"",GX86&lt;&gt;""),LOG(GQ86*GX86^2/Minerals!$C$2),"")</f>
        <v>-2.4653698921604428</v>
      </c>
      <c r="HD86" s="94">
        <f>IF(AND(GQ86&lt;&gt;"",GY86&lt;&gt;""),LOG($GQ86*$GY86/Minerals!$C$3),"")</f>
        <v>-2.5283703727513922</v>
      </c>
      <c r="HE86" s="102">
        <f>IF(AND(GQ86&lt;&gt;"",GY86&lt;&gt;""),LOG($GQ86*$GY86/Minerals!$C$3),"")</f>
        <v>-2.5283703727513922</v>
      </c>
      <c r="HF86" s="199"/>
      <c r="HG86" s="92">
        <f>IF(HA86&lt;&gt;"",LOG(GQ86*GU86/(EXP(-1*Minerals!$E$6/'Other Constants'!$B$2*(1/(273.15+'ppm-mgL-1'!$D86)-1/298.15)+LN(Minerals!$C$6)))),"")</f>
        <v>-0.39619939844472241</v>
      </c>
      <c r="HH86" s="94">
        <f>IF(HA86&lt;&gt;"",LOG(GQ86*GU86/(EXP(-1*Minerals!$E$5/'Other Constants'!$B$2*(1/(273.15+'ppm-mgL-1'!$D86)-1/298.15)+LN(Minerals!$C$5)))),"")</f>
        <v>-0.52680018731712619</v>
      </c>
      <c r="HI86" s="94">
        <f>IF(HC86&lt;&gt;"",LOG(GQ86*GX86^2/(EXP(-1*Minerals!$E$2/'Other Constants'!$B$2*(1/(273.15+'ppm-mgL-1'!$D86)-1/298.15)+LN(Minerals!$C$2)))),"")</f>
        <v>-2.4086608584242732</v>
      </c>
      <c r="HJ86" s="94">
        <f>IF(HD86&lt;&gt;"",LOG($FF86*$FN86/(EXP(-1*Minerals!$E$3/'Other Constants'!$B$2*(1/(273.15+'ppm-mgL-1'!$D86)-1/298.15)+LN(Minerals!$C$3)))),"")</f>
        <v>-1.3849612948107037</v>
      </c>
      <c r="HK86" s="95">
        <f>IF(HE86&lt;&gt;"",LOG($FF86*$FN86/(EXP(-1*Minerals!$E$4/'Other Constants'!$B$2*(1/(273.15+'ppm-mgL-1'!$D86)-1/298.15)+LN(Minerals!$C$4)))),"")</f>
        <v>-2.8143359387193279</v>
      </c>
      <c r="HL86" s="199"/>
      <c r="HM86" s="199"/>
    </row>
    <row r="87" spans="1:221" x14ac:dyDescent="0.25">
      <c r="A87" s="267" t="str">
        <f>'WC samples'!B58</f>
        <v>ISSR 7</v>
      </c>
      <c r="C87" s="266">
        <f>'WC samples'!A58</f>
        <v>41624</v>
      </c>
      <c r="D87" s="4">
        <f>'WC samples'!I58</f>
        <v>21.6</v>
      </c>
      <c r="E87" s="4">
        <f>'WC samples'!F58</f>
        <v>8.26</v>
      </c>
      <c r="AD87" s="83">
        <f>IF(E87&lt;&gt;"",10^(-2*$E87)/(10^(-2*$E87)+10^(-$E87-pKa!$B$2)+(10^(-pKa!$B$2-pKa!$C$2))),"")</f>
        <v>1.074889165118019E-2</v>
      </c>
      <c r="AE87" s="84">
        <f>IF(E87&lt;&gt;"",10^(-$E87-pKa!$B$2)/(10^(-2*$E87)+10^(-$E87-pKa!$B$2)+10^(-pKa!$B$2-pKa!$C$2)),"")</f>
        <v>0.98031056969386021</v>
      </c>
      <c r="AF87" s="212">
        <f>IF(E87&lt;&gt;"",10^(-pKa!$B$2-pKa!$C$2)/(10^(-2*$E87)+10^(-$E87-pKa!$B$2)+10^(-pKa!$B$2-pKa!$C$2)),"")</f>
        <v>8.940538654959659E-3</v>
      </c>
      <c r="AG87" s="152"/>
      <c r="AH87" s="222">
        <f>IF($AK87&lt;&gt;"",$AK87/'Elements and ions'!$G$3,IF($E87="","",""))</f>
        <v>3.4908395780574679</v>
      </c>
      <c r="AI87" s="85">
        <f t="shared" si="770"/>
        <v>3.4971618669924621E-3</v>
      </c>
      <c r="AJ87" s="84">
        <f>IF(AI87&lt;&gt;"",AI87*1000*'Elements and ions'!$B$7,"")</f>
        <v>42.003362035886362</v>
      </c>
      <c r="AK87" s="99">
        <f>'WC samples'!H58</f>
        <v>213</v>
      </c>
      <c r="AL87" s="88">
        <f>IF($AK87&lt;&gt;"",$AK87/'Elements and ions'!$G$3*Minerals!$B$6/2,IF($E87="","","Enter Alk(HCO3-)"))</f>
        <v>174.69365588253999</v>
      </c>
      <c r="AM87" s="199"/>
      <c r="AN87" s="101">
        <f t="shared" si="755"/>
        <v>3.7590613994941001E-5</v>
      </c>
      <c r="AO87" s="94">
        <f t="shared" si="756"/>
        <v>3.4283047421430242E-3</v>
      </c>
      <c r="AP87" s="95">
        <f t="shared" si="757"/>
        <v>3.1266510854496998E-5</v>
      </c>
      <c r="AQ87" s="199"/>
      <c r="AR87" s="199"/>
      <c r="AS87" s="83">
        <f t="shared" si="760"/>
        <v>0.1105606293968853</v>
      </c>
      <c r="AT87" s="83">
        <f>IF(AN87&lt;&gt;"",AN87/'Henrys law constants'!$B$7*1000000,"")</f>
        <v>1105.6062939688529</v>
      </c>
      <c r="AU87" s="268">
        <f>'WC samples'!K58</f>
        <v>4.7633000000000001</v>
      </c>
      <c r="AV87" s="269">
        <f>'WC samples'!M58</f>
        <v>1.0528999999999999</v>
      </c>
      <c r="AW87" s="269">
        <f>'WC samples'!O58</f>
        <v>70.451400000000007</v>
      </c>
      <c r="AX87" s="269">
        <f>'WC samples'!N58</f>
        <v>5.0797999999999996</v>
      </c>
      <c r="AY87" s="226">
        <f>AO87*'Elements and ions'!$G$3*1000</f>
        <v>209.18432192258214</v>
      </c>
      <c r="AZ87" s="269">
        <f>'WC samples'!Q58</f>
        <v>9.4382999999999999</v>
      </c>
      <c r="BA87" s="269">
        <f>'WC samples'!T58</f>
        <v>20.901800000000001</v>
      </c>
      <c r="BB87" s="270">
        <f>'WC samples'!V58</f>
        <v>8.6104000000000003</v>
      </c>
      <c r="BC87" s="222">
        <f>IF($E87&lt;&gt;"",10^-$E87*'Elements and ions'!B91*1000,"")</f>
        <v>0</v>
      </c>
      <c r="BE87" s="6"/>
      <c r="BF87" s="6"/>
      <c r="BG87" s="270">
        <f>'WC samples'!L58</f>
        <v>0</v>
      </c>
      <c r="BH87" s="3"/>
      <c r="BJ87" s="92">
        <f>IF($AN87&lt;&gt;"",$AN87*'Elements and ions'!$G$2*1000,"")</f>
        <v>2.3315495631011367</v>
      </c>
      <c r="BK87" s="229"/>
      <c r="BL87" s="230"/>
      <c r="BM87" s="101">
        <f>IF($E87&lt;&gt;"",(10^-14+$E87)*'Elements and ions'!$G$8,"")</f>
        <v>140.48062840000017</v>
      </c>
      <c r="BO87" s="102">
        <f>IF($AP87&lt;&gt;"",$AP87*'Elements and ions'!$G$4*1000,"")</f>
        <v>1.8762689232164249</v>
      </c>
      <c r="BP87" s="269">
        <f>'WC samples'!P58</f>
        <v>0.16600000000000001</v>
      </c>
      <c r="BQ87" s="270">
        <f>'WC samples'!R58</f>
        <v>0</v>
      </c>
      <c r="BR87" s="195"/>
      <c r="BS87" s="238">
        <f>IF($AU87&lt;&gt;"",$AU87/'Elements and ions'!$B$12,"")</f>
        <v>0.20719216195631171</v>
      </c>
      <c r="BT87" s="239">
        <f>IF($AV87&lt;&gt;"",$AV87/'Elements and ions'!$B$20,"")</f>
        <v>2.6929559597220338E-2</v>
      </c>
      <c r="BU87" s="239">
        <f>IF($AW87&lt;&gt;"",$AW87/'Elements and ions'!$B$21, "")</f>
        <v>1.7578571785019212</v>
      </c>
      <c r="BV87" s="240">
        <f>IF($AX87&lt;&gt;"",$AX87/'Elements and ions'!$B$13, "")</f>
        <v>0.20900226290886648</v>
      </c>
      <c r="BW87" s="238">
        <f>IF($AY87&lt;&gt;"",$AY87/'Elements and ions'!$G$3,"")</f>
        <v>3.4283047421430242</v>
      </c>
      <c r="BX87" s="239">
        <f>IF($AZ87&lt;&gt;"",$AZ87/'Elements and ions'!$B$18,"")</f>
        <v>0.26622006600287701</v>
      </c>
      <c r="BY87" s="239">
        <f>IF($BA87&lt;&gt;"",$BA87/'Elements and ions'!$G$7,"")</f>
        <v>0.3370991647434316</v>
      </c>
      <c r="BZ87" s="241">
        <f>IF($BB87&lt;&gt;"",$BB87/'Elements and ions'!$G$5,"")</f>
        <v>8.9633218338874859E-2</v>
      </c>
      <c r="CA87" s="91">
        <f t="shared" si="761"/>
        <v>5.4954087385762298E-6</v>
      </c>
      <c r="CB87" s="163" t="str">
        <f>IF($BD87&lt;&gt;"",$BD87/'Elements and ions'!$B$14,"")</f>
        <v/>
      </c>
      <c r="CC87" s="89" t="str">
        <f>IF($BE87&lt;&gt;"",$BE87/'Elements and ions'!$B$27, "")</f>
        <v/>
      </c>
      <c r="CD87" s="249" t="str">
        <f>IF($BF87&lt;&gt;"",$BF87/'Elements and ions'!$B$26,"")</f>
        <v/>
      </c>
      <c r="CE87" s="250">
        <f>IF($BG87&lt;&gt;"",$BG87/'Elements and ions'!$G$6,"")</f>
        <v>0</v>
      </c>
      <c r="CF87" s="91" t="str">
        <f>IF($BH87&lt;&gt;"",$BH87/'Elements and ions'!$G$15,"")</f>
        <v/>
      </c>
      <c r="CG87" s="89" t="str">
        <f>IF($BI87&lt;&gt;"",$BI87/'Elements and ions'!$G$16,"")</f>
        <v/>
      </c>
      <c r="CH87" s="90">
        <f>IF($BJ87&lt;&gt;"",$BJ87/'Elements and ions'!$G$2,"")</f>
        <v>3.7590613994941006E-2</v>
      </c>
      <c r="CI87" s="91" t="str">
        <f>IF($BK87&lt;&gt;"",$BK87/'Elements and ions'!$B$15, "")</f>
        <v/>
      </c>
      <c r="CJ87" s="88" t="str">
        <f>IF($BL87&lt;&gt;"", $BL87/'Elements and ions'!$G$17,"")</f>
        <v/>
      </c>
      <c r="CK87" s="89">
        <f t="shared" si="762"/>
        <v>1.8197008586099798E-3</v>
      </c>
      <c r="CL87" s="163" t="str">
        <f>IF($BN87&lt;&gt;"", $BN87/'Elements and ions'!$G$19,"")</f>
        <v/>
      </c>
      <c r="CM87" s="89">
        <f>IF($BO87&lt;&gt;"",$BO87/'Elements and ions'!$G$4,"")</f>
        <v>3.1266510854496998E-2</v>
      </c>
      <c r="CN87" s="89">
        <f>IF($BP87&lt;&gt;"",$BP87/'Elements and ions'!$B$10,"")</f>
        <v>8.7375764295811991E-3</v>
      </c>
      <c r="CO87" s="104">
        <f>IF($BQ87&lt;&gt;"",$BQ87/'Elements and ions'!$G$18,"")</f>
        <v>0</v>
      </c>
      <c r="CP87" s="242"/>
      <c r="CQ87" s="238">
        <f t="shared" si="771"/>
        <v>2.071921619563117E-4</v>
      </c>
      <c r="CR87" s="239">
        <f t="shared" si="772"/>
        <v>2.6929559597220337E-5</v>
      </c>
      <c r="CS87" s="239">
        <f t="shared" si="773"/>
        <v>1.7578571785019212E-3</v>
      </c>
      <c r="CT87" s="241">
        <f t="shared" si="774"/>
        <v>2.0900226290886649E-4</v>
      </c>
      <c r="CU87" s="238">
        <f t="shared" si="775"/>
        <v>3.4283047421430242E-3</v>
      </c>
      <c r="CV87" s="239">
        <f t="shared" si="776"/>
        <v>2.66220066002877E-4</v>
      </c>
      <c r="CW87" s="239">
        <f t="shared" si="777"/>
        <v>3.3709916474343162E-4</v>
      </c>
      <c r="CX87" s="241">
        <f t="shared" si="778"/>
        <v>8.9633218338874853E-5</v>
      </c>
      <c r="CY87" s="258">
        <f t="shared" si="763"/>
        <v>5.4954087385762298E-9</v>
      </c>
      <c r="CZ87" s="259" t="str">
        <f t="shared" si="779"/>
        <v/>
      </c>
      <c r="DA87" s="260" t="str">
        <f t="shared" si="780"/>
        <v/>
      </c>
      <c r="DB87" s="261" t="str">
        <f t="shared" si="781"/>
        <v/>
      </c>
      <c r="DC87" s="262">
        <f t="shared" si="782"/>
        <v>0</v>
      </c>
      <c r="DD87" s="263" t="str">
        <f t="shared" si="783"/>
        <v/>
      </c>
      <c r="DE87" s="259" t="str">
        <f t="shared" si="784"/>
        <v/>
      </c>
      <c r="DF87" s="260">
        <f t="shared" si="785"/>
        <v>3.7590613994941008E-5</v>
      </c>
      <c r="DG87" s="260" t="str">
        <f t="shared" si="786"/>
        <v/>
      </c>
      <c r="DH87" s="264" t="str">
        <f t="shared" si="787"/>
        <v/>
      </c>
      <c r="DI87" s="258">
        <f t="shared" si="764"/>
        <v>1.8197008586099798E-6</v>
      </c>
      <c r="DJ87" s="260" t="str">
        <f t="shared" si="788"/>
        <v/>
      </c>
      <c r="DK87" s="260">
        <f t="shared" si="789"/>
        <v>3.1266510854496998E-5</v>
      </c>
      <c r="DL87" s="260">
        <f t="shared" si="790"/>
        <v>8.7375764295811992E-6</v>
      </c>
      <c r="DM87" s="265">
        <f t="shared" si="791"/>
        <v>0</v>
      </c>
      <c r="DN87" s="242"/>
      <c r="DO87" s="238">
        <f t="shared" si="792"/>
        <v>0.20719216195631171</v>
      </c>
      <c r="DP87" s="239">
        <f t="shared" si="793"/>
        <v>2.6929559597220338E-2</v>
      </c>
      <c r="DQ87" s="239">
        <f t="shared" si="794"/>
        <v>3.5157143570038425</v>
      </c>
      <c r="DR87" s="241">
        <f t="shared" si="795"/>
        <v>0.41800452581773295</v>
      </c>
      <c r="DS87" s="238">
        <f t="shared" si="796"/>
        <v>-3.4283047421430242</v>
      </c>
      <c r="DT87" s="239">
        <f t="shared" si="797"/>
        <v>-0.26622006600287701</v>
      </c>
      <c r="DU87" s="239">
        <f t="shared" si="798"/>
        <v>-0.3370991647434316</v>
      </c>
      <c r="DV87" s="241">
        <f t="shared" si="799"/>
        <v>-0.17926643667774972</v>
      </c>
      <c r="DW87" s="91">
        <f t="shared" si="765"/>
        <v>5.4954087385762298E-6</v>
      </c>
      <c r="DX87" s="89">
        <f t="shared" si="800"/>
        <v>0</v>
      </c>
      <c r="DY87" s="89">
        <f t="shared" si="801"/>
        <v>0</v>
      </c>
      <c r="DZ87" s="89">
        <f t="shared" si="802"/>
        <v>0</v>
      </c>
      <c r="EA87" s="90">
        <f t="shared" si="803"/>
        <v>0</v>
      </c>
      <c r="EB87" s="91">
        <f t="shared" si="766"/>
        <v>-1.8197008586099798E-3</v>
      </c>
      <c r="EC87" s="89">
        <f t="shared" si="804"/>
        <v>0</v>
      </c>
      <c r="ED87" s="89">
        <f t="shared" si="805"/>
        <v>-6.2533021708993997E-2</v>
      </c>
      <c r="EE87" s="89">
        <f t="shared" si="806"/>
        <v>-8.7375764295811991E-3</v>
      </c>
      <c r="EF87" s="90">
        <f t="shared" si="807"/>
        <v>0</v>
      </c>
      <c r="EG87" s="242"/>
      <c r="EH87" s="245">
        <f t="shared" si="808"/>
        <v>4.167846099783846</v>
      </c>
      <c r="EI87" s="246">
        <f t="shared" si="809"/>
        <v>-4.2839807085642683</v>
      </c>
      <c r="EJ87" s="198">
        <f t="shared" si="810"/>
        <v>-1.3740770062362464</v>
      </c>
      <c r="EK87" s="198">
        <f t="shared" si="811"/>
        <v>1.0363212274434874E-2</v>
      </c>
      <c r="EL87" s="101">
        <f>IF(AND(CS87&lt;&gt;"",DK87&lt;&gt;""),LOG(CS87*DK87/Minerals!$C$6),"")</f>
        <v>1.2202350124757815</v>
      </c>
      <c r="EM87" s="94">
        <f>IF(AND(CS87&lt;&gt;"",DK87&lt;&gt;""),LOG(CS87*DK87/Minerals!$C$5),"")</f>
        <v>1.0897554831195637</v>
      </c>
      <c r="EN87" s="94">
        <f>IF(AND(CS87&lt;&gt;"",DL87&lt;&gt;""),LOG(CS87*DL87^2/Minerals!$C$2),"")</f>
        <v>-2.3023094934338046</v>
      </c>
      <c r="EO87" s="94">
        <f>IF(AND(CS87&lt;&gt;"",CX87&lt;&gt;""),LOG($CS87*$CX87/Minerals!$C$3),"")</f>
        <v>-2.2025670579060179</v>
      </c>
      <c r="EP87" s="95">
        <f>IF(AND(CS87&lt;&gt;"",CX87&lt;&gt;""),LOG($CS87*$CX87/Minerals!$C$4),"")</f>
        <v>-2.4425515693719202</v>
      </c>
      <c r="EQ87" s="199"/>
      <c r="ER87" s="101">
        <f t="shared" si="834"/>
        <v>0.89908949653631198</v>
      </c>
      <c r="ES87" s="94">
        <f t="shared" si="834"/>
        <v>0.89908949653631198</v>
      </c>
      <c r="ET87" s="94">
        <f t="shared" si="835"/>
        <v>0.65344899820368141</v>
      </c>
      <c r="EU87" s="94">
        <f t="shared" si="835"/>
        <v>0.65344899820368141</v>
      </c>
      <c r="EV87" s="95">
        <f t="shared" si="835"/>
        <v>0.65344899820368141</v>
      </c>
      <c r="EW87" s="101">
        <f t="shared" si="836"/>
        <v>0.89908949653631198</v>
      </c>
      <c r="EX87" s="94">
        <f t="shared" si="758"/>
        <v>0.65344899820368141</v>
      </c>
      <c r="EY87" s="94">
        <f t="shared" si="836"/>
        <v>0.89908949653631198</v>
      </c>
      <c r="EZ87" s="94">
        <f t="shared" si="836"/>
        <v>0.89908949653631198</v>
      </c>
      <c r="FA87" s="94">
        <f t="shared" si="836"/>
        <v>0.89908949653631198</v>
      </c>
      <c r="FB87" s="95">
        <f t="shared" si="759"/>
        <v>0.65344899820368141</v>
      </c>
      <c r="FC87" s="199"/>
      <c r="FD87" s="101">
        <f t="shared" si="812"/>
        <v>1.862842965795703E-4</v>
      </c>
      <c r="FE87" s="94">
        <f t="shared" si="813"/>
        <v>2.4212084180209442E-5</v>
      </c>
      <c r="FF87" s="94">
        <f t="shared" si="814"/>
        <v>1.1486700122772303E-3</v>
      </c>
      <c r="FG87" s="94">
        <f t="shared" si="815"/>
        <v>1.3657231932010124E-4</v>
      </c>
      <c r="FH87" s="95" t="str">
        <f t="shared" si="816"/>
        <v/>
      </c>
      <c r="FI87" s="101">
        <f t="shared" si="817"/>
        <v>3.0823527845864223E-3</v>
      </c>
      <c r="FJ87" s="94">
        <f t="shared" si="818"/>
        <v>2.0431070195195595E-5</v>
      </c>
      <c r="FK87" s="94">
        <f t="shared" si="819"/>
        <v>2.3935566511039042E-4</v>
      </c>
      <c r="FL87" s="94">
        <f t="shared" si="820"/>
        <v>3.030823183119832E-4</v>
      </c>
      <c r="FM87" s="94">
        <f t="shared" si="821"/>
        <v>7.8558631930197073E-6</v>
      </c>
      <c r="FN87" s="95">
        <f t="shared" si="822"/>
        <v>5.8570736729309615E-5</v>
      </c>
      <c r="FO87" s="199"/>
      <c r="FP87" s="101">
        <f>IF(EL87&lt;&gt;"",LOG(FF87*FJ87/Minerals!$C$6),"")</f>
        <v>0.85065840545019766</v>
      </c>
      <c r="FQ87" s="94">
        <f>IF(EL87&lt;&gt;"",LOG(FF87*FJ87/Minerals!$C$5),"")</f>
        <v>0.7201788760939799</v>
      </c>
      <c r="FR87" s="94">
        <f>IF(EN87&lt;&gt;"",LOG(FF87*FM87^2/Minerals!$C$2),"")</f>
        <v>-2.5794919487029926</v>
      </c>
      <c r="FS87" s="94">
        <f>IF(EO87&lt;&gt;"",LOG($FF87*$FN87/Minerals!$C$3),"")</f>
        <v>-2.5721436649316014</v>
      </c>
      <c r="FT87" s="95">
        <f>IF(EP87&lt;&gt;"",LOG($FF87*$FN87/Minerals!$C$4),"")</f>
        <v>-2.8121281763975041</v>
      </c>
      <c r="FU87" s="96"/>
      <c r="FV87" s="101">
        <f>IF(FP87&lt;&gt;"",LOG(FF87*FJ87/(EXP(-1*Minerals!$E$6/'Other Constants'!$B$2*(1/(273.15+'ppm-mgL-1'!$D87)-1/298.15)+LN(Minerals!$C$6)))),"")</f>
        <v>-0.49066337296922524</v>
      </c>
      <c r="FW87" s="94">
        <f>IF(FP87&lt;&gt;"",LOG(FF87*FJ87/(EXP(-1*Minerals!$E$5/'Other Constants'!$B$2*(1/(273.15+'ppm-mgL-1'!$D87)-1/298.15)+LN(Minerals!$C$5)))),"")</f>
        <v>-0.62126416184162903</v>
      </c>
      <c r="FX87" s="94">
        <f>IF(FR87&lt;&gt;"",LOG(FF87*FM87^2/(EXP(-1*Minerals!$E$2/'Other Constants'!$B$2*(1/(273.15+'ppm-mgL-1'!$D87)-1/298.15)+LN(Minerals!$C$2)))),"")</f>
        <v>-2.5227829149668235</v>
      </c>
      <c r="FY87" s="94">
        <f>IF(FS87&lt;&gt;"",LOG($FF87*$FN87/(EXP(-1*Minerals!$E$3/'Other Constants'!$B$2*(1/(273.15+'ppm-mgL-1'!$D87)-1/298.15)+LN(Minerals!$C$3)))),"")</f>
        <v>-1.4158775903269338</v>
      </c>
      <c r="FZ87" s="95">
        <f>IF(FT87&lt;&gt;"",LOG($FF87*$FN87/(EXP(-1*Minerals!$E$4/'Other Constants'!$B$2*(1/(273.15+'ppm-mgL-1'!$D87)-1/298.15)+LN(Minerals!$C$4)))),"")</f>
        <v>-2.8452522342355584</v>
      </c>
      <c r="GA87" s="96"/>
      <c r="GB87" s="96"/>
      <c r="GC87" s="101">
        <f>10^(-1825000*(79.755*EXP(-0.0046*($D87-20))*($D87+273.15))^-1.5*$EK87^0.5/(1+'Elements and ions'!$D$12*$EK87^0.5/(2*(79.755*EXP(-0.0046*($D87-20))*($D87+273.15))^0.5)))</f>
        <v>0.89952138414061467</v>
      </c>
      <c r="GD87" s="94">
        <f>10^(-1825000*(79.755*EXP(-0.0046*($D87-20))*($D87+273.15))^-1.5*$EK87^0.5/(1+'Elements and ions'!$D$20*$EK87^0.5/(2*(79.755*EXP(-0.0046*($D87-20))*($D87+273.15))^0.5)))</f>
        <v>0.89664058904173172</v>
      </c>
      <c r="GE87" s="94">
        <f>10^(-1825000*(79.755*EXP(-0.0046*($D87-20))*($D87+273.15))^-1.5*4*$EK87^0.5/(1+'Elements and ions'!$D$21*$EK87^0.5/(2*(79.755*EXP(-0.0046*($D87-20))*($D87+273.15))^0.5)))</f>
        <v>0.67028935068194351</v>
      </c>
      <c r="GF87" s="94">
        <f>10^(-1825000*(79.755*EXP(-0.0046*($D87-20))*($D87+273.15))^-1.5*4*$EK87^0.5/(1+'Elements and ions'!$D$13*$EK87^0.5/(2*(79.755*EXP(-0.0046*($D87-20))*($D87+273.15))^0.5)))</f>
        <v>0.68454751093833244</v>
      </c>
      <c r="GG87" s="95">
        <f>10^(-1825000*(79.755*EXP(-0.0046*($D87-20))*($D87+273.15))^-1.5*4*$EK87^0.5/(1+'Elements and ions'!$D$27*$EK87^0.5/(2*(79.755*EXP(-0.0046*($D87-20))*($D87+273.15))^0.5)))</f>
        <v>0.67028935068194351</v>
      </c>
      <c r="GH87" s="101">
        <f>10^(-1825000*(79.755*EXP(-0.0046*($D87-20))*($D87+273.15))^-1.5*$EK87^0.5/(1+'Elements and ions'!$G$3*$EK87^0.5/(2*(79.755*EXP(-0.0046*($D87-20))*($D87+273.15))^0.5)))</f>
        <v>0.88903851659623878</v>
      </c>
      <c r="GI87" s="94">
        <f>10^(-1825000*(79.755*EXP(-0.0046*($D87-20))*($D87+273.15))^-1.5*4*$EK87^0.5/(1+'Elements and ions'!$G$4*$EK87^0.5/(2*(79.755*EXP(-0.0046*($D87-20))*($D87+273.15))^0.5)))</f>
        <v>0.62461877181989389</v>
      </c>
      <c r="GJ87" s="94">
        <f>10^(-1825000*(79.755*EXP(-0.0046*($D87-20))*($D87+273.15))^-1.5*$EK87^0.5/(1+'Elements and ions'!$D$18*$EK87^0.5/(2*(79.755*EXP(-0.0046*($D87-20))*($D87+273.15))^0.5)))</f>
        <v>0.89664058904173172</v>
      </c>
      <c r="GK87" s="94">
        <f>10^(-1825000*(79.755*EXP(-0.0046*($D87-20))*($D87+273.15))^-1.5*$EK87^0.5/(1+'Elements and ions'!$I$7*$EK87^0.5/(2*(79.755*EXP(-0.0046*($D87-20))*($D87+273.15))^0.5)))</f>
        <v>0.89664058904173172</v>
      </c>
      <c r="GL87" s="94">
        <f>10^(-1825000*(79.755*EXP(-0.0046*($D87-20))*($D87+273.15))^-1.5*$EK87^0.5/(1+'Elements and ions'!$D$10*$EK87^0.5/(2*(79.755*EXP(-0.0046*($D87-20))*($D87+273.15))^0.5)))</f>
        <v>0.89810132271031751</v>
      </c>
      <c r="GM87" s="95">
        <f>10^(-1825000*(79.755*EXP(-0.0046*($D87-20))*($D87+273.15))^-1.5*4*$EK87^0.5/(1+'Elements and ions'!$I$5*$EK87^0.5/(2*(79.755*EXP(-0.0046*($D87-20))*($D87+273.15))^0.5)))</f>
        <v>0.6547054690548525</v>
      </c>
      <c r="GN87" s="96"/>
      <c r="GO87" s="101">
        <f t="shared" si="823"/>
        <v>1.8637378030602789E-4</v>
      </c>
      <c r="GP87" s="94">
        <f t="shared" si="824"/>
        <v>2.4146136179886062E-5</v>
      </c>
      <c r="GQ87" s="94">
        <f t="shared" si="825"/>
        <v>1.1782729467696459E-3</v>
      </c>
      <c r="GR87" s="94">
        <f t="shared" si="826"/>
        <v>1.430719788547435E-4</v>
      </c>
      <c r="GS87" s="95" t="str">
        <f t="shared" si="827"/>
        <v/>
      </c>
      <c r="GT87" s="101">
        <f t="shared" si="828"/>
        <v>3.047894962394685E-3</v>
      </c>
      <c r="GU87" s="94">
        <f t="shared" si="829"/>
        <v>1.9529649609029297E-5</v>
      </c>
      <c r="GV87" s="94">
        <f t="shared" si="830"/>
        <v>2.3870371679554834E-4</v>
      </c>
      <c r="GW87" s="94">
        <f t="shared" si="831"/>
        <v>3.0225679364102631E-4</v>
      </c>
      <c r="GX87" s="94">
        <f t="shared" si="832"/>
        <v>7.8472289486893692E-6</v>
      </c>
      <c r="GY87" s="102">
        <f t="shared" si="833"/>
        <v>5.868335825544907E-5</v>
      </c>
      <c r="GZ87" s="199"/>
      <c r="HA87" s="92">
        <f>IF(AND(GQ87&lt;&gt;"",GU87&lt;&gt;""),LOG(GQ87*GU87/Minerals!$C$6),"")</f>
        <v>0.84211236405655998</v>
      </c>
      <c r="HB87" s="94">
        <f>IF(AND(GQ87&lt;&gt;"",GU87&lt;&gt;""),LOG(GQ87*GU87/Minerals!$C$5),"")</f>
        <v>0.71163283470034222</v>
      </c>
      <c r="HC87" s="94">
        <f>IF(AND(GQ87&lt;&gt;"",GX87&lt;&gt;""),LOG(GQ87*GX87^2/Minerals!$C$2),"")</f>
        <v>-2.5693965018767821</v>
      </c>
      <c r="HD87" s="94">
        <f>IF(AND(GQ87&lt;&gt;"",GY87&lt;&gt;""),LOG($GQ87*$GY87/Minerals!$C$3),"")</f>
        <v>-2.5602587695752548</v>
      </c>
      <c r="HE87" s="102">
        <f>IF(AND(GQ87&lt;&gt;"",GY87&lt;&gt;""),LOG($GQ87*$GY87/Minerals!$C$3),"")</f>
        <v>-2.5602587695752548</v>
      </c>
      <c r="HF87" s="199"/>
      <c r="HG87" s="92">
        <f>IF(HA87&lt;&gt;"",LOG(GQ87*GU87/(EXP(-1*Minerals!$E$6/'Other Constants'!$B$2*(1/(273.15+'ppm-mgL-1'!$D87)-1/298.15)+LN(Minerals!$C$6)))),"")</f>
        <v>-0.49920941436286281</v>
      </c>
      <c r="HH87" s="94">
        <f>IF(HA87&lt;&gt;"",LOG(GQ87*GU87/(EXP(-1*Minerals!$E$5/'Other Constants'!$B$2*(1/(273.15+'ppm-mgL-1'!$D87)-1/298.15)+LN(Minerals!$C$5)))),"")</f>
        <v>-0.6298102032352666</v>
      </c>
      <c r="HI87" s="94">
        <f>IF(HC87&lt;&gt;"",LOG(GQ87*GX87^2/(EXP(-1*Minerals!$E$2/'Other Constants'!$B$2*(1/(273.15+'ppm-mgL-1'!$D87)-1/298.15)+LN(Minerals!$C$2)))),"")</f>
        <v>-2.5126874681406126</v>
      </c>
      <c r="HJ87" s="94">
        <f>IF(HD87&lt;&gt;"",LOG($FF87*$FN87/(EXP(-1*Minerals!$E$3/'Other Constants'!$B$2*(1/(273.15+'ppm-mgL-1'!$D87)-1/298.15)+LN(Minerals!$C$3)))),"")</f>
        <v>-1.4158775903269338</v>
      </c>
      <c r="HK87" s="95">
        <f>IF(HE87&lt;&gt;"",LOG($FF87*$FN87/(EXP(-1*Minerals!$E$4/'Other Constants'!$B$2*(1/(273.15+'ppm-mgL-1'!$D87)-1/298.15)+LN(Minerals!$C$4)))),"")</f>
        <v>-2.8452522342355584</v>
      </c>
      <c r="HL87" s="199"/>
      <c r="HM87" s="199"/>
    </row>
    <row r="88" spans="1:221" x14ac:dyDescent="0.25">
      <c r="A88" s="267" t="str">
        <f>'WC samples'!B59</f>
        <v>ISSR 7</v>
      </c>
      <c r="C88" s="266">
        <f>'WC samples'!A59</f>
        <v>41659</v>
      </c>
      <c r="D88" s="4">
        <f>'WC samples'!I59</f>
        <v>21.6</v>
      </c>
      <c r="E88" s="4">
        <f>'WC samples'!F59</f>
        <v>8.51</v>
      </c>
      <c r="AD88" s="83">
        <f>IF(E88&lt;&gt;"",10^(-2*$E88)/(10^(-2*$E88)+10^(-$E88-pKa!$B$2)+(10^(-pKa!$B$2-pKa!$C$2))),"")</f>
        <v>6.0309528622154111E-3</v>
      </c>
      <c r="AE88" s="84">
        <f>IF(E88&lt;&gt;"",10^(-$E88-pKa!$B$2)/(10^(-2*$E88)+10^(-$E88-pKa!$B$2)+10^(-pKa!$B$2-pKa!$C$2)),"")</f>
        <v>0.9781060248636696</v>
      </c>
      <c r="AF88" s="212">
        <f>IF(E88&lt;&gt;"",10^(-pKa!$B$2-pKa!$C$2)/(10^(-2*$E88)+10^(-$E88-pKa!$B$2)+10^(-pKa!$B$2-pKa!$C$2)),"")</f>
        <v>1.5863022274114971E-2</v>
      </c>
      <c r="AG88" s="152"/>
      <c r="AH88" s="222">
        <f>IF($AK88&lt;&gt;"",$AK88/'Elements and ions'!$G$3,IF($E88="","",""))</f>
        <v>3.4908395780574679</v>
      </c>
      <c r="AI88" s="85">
        <f t="shared" si="770"/>
        <v>3.4568483720705838E-3</v>
      </c>
      <c r="AJ88" s="84">
        <f>IF(AI88&lt;&gt;"",AI88*1000*'Elements and ions'!$B$7,"")</f>
        <v>41.519168742428157</v>
      </c>
      <c r="AK88" s="99">
        <f>'WC samples'!H59</f>
        <v>213</v>
      </c>
      <c r="AL88" s="88">
        <f>IF($AK88&lt;&gt;"",$AK88/'Elements and ions'!$G$3*Minerals!$B$6/2,IF($E88="","","Enter Alk(HCO3-)"))</f>
        <v>174.69365588253999</v>
      </c>
      <c r="AM88" s="199"/>
      <c r="AN88" s="101">
        <f t="shared" si="755"/>
        <v>2.0848089583783772E-5</v>
      </c>
      <c r="AO88" s="94">
        <f t="shared" si="756"/>
        <v>3.3811642197624061E-3</v>
      </c>
      <c r="AP88" s="95">
        <f t="shared" si="757"/>
        <v>5.4836062724393748E-5</v>
      </c>
      <c r="AQ88" s="199"/>
      <c r="AR88" s="199"/>
      <c r="AS88" s="83">
        <f t="shared" si="760"/>
        <v>6.1317910540540504E-2</v>
      </c>
      <c r="AT88" s="83">
        <f>IF(AN88&lt;&gt;"",AN88/'Henrys law constants'!$B$7*1000000,"")</f>
        <v>613.17910540540504</v>
      </c>
      <c r="AU88" s="268">
        <f>'WC samples'!K59</f>
        <v>3.9016000000000002</v>
      </c>
      <c r="AV88" s="269">
        <f>'WC samples'!M59</f>
        <v>0.94430000000000003</v>
      </c>
      <c r="AW88" s="269">
        <f>'WC samples'!O59</f>
        <v>68.797399999999996</v>
      </c>
      <c r="AX88" s="269">
        <f>'WC samples'!N59</f>
        <v>7.2481</v>
      </c>
      <c r="AY88" s="226">
        <f>AO88*'Elements and ions'!$G$3*1000</f>
        <v>206.30795621096757</v>
      </c>
      <c r="AZ88" s="269">
        <f>'WC samples'!Q59</f>
        <v>5.3650000000000002</v>
      </c>
      <c r="BA88" s="269">
        <f>'WC samples'!T59</f>
        <v>23.701499999999999</v>
      </c>
      <c r="BB88" s="270">
        <f>'WC samples'!V59</f>
        <v>8.1708999999999996</v>
      </c>
      <c r="BC88" s="222">
        <f>IF($E88&lt;&gt;"",10^-$E88*'Elements and ions'!B92*1000,"")</f>
        <v>0</v>
      </c>
      <c r="BE88" s="6"/>
      <c r="BF88" s="6"/>
      <c r="BG88" s="270">
        <f>'WC samples'!L59</f>
        <v>0</v>
      </c>
      <c r="BH88" s="3"/>
      <c r="BJ88" s="92">
        <f>IF($AN88&lt;&gt;"",$AN88*'Elements and ions'!$G$2*1000,"")</f>
        <v>1.2930981698544797</v>
      </c>
      <c r="BK88" s="229"/>
      <c r="BL88" s="230"/>
      <c r="BM88" s="101">
        <f>IF($E88&lt;&gt;"",(10^-14+$E88)*'Elements and ions'!$G$8,"")</f>
        <v>144.73246340000017</v>
      </c>
      <c r="BO88" s="102">
        <f>IF($AP88&lt;&gt;"",$AP88*'Elements and ions'!$G$4*1000,"")</f>
        <v>3.2906518044218718</v>
      </c>
      <c r="BP88" s="269">
        <f>'WC samples'!P59</f>
        <v>0.1757</v>
      </c>
      <c r="BQ88" s="270">
        <f>'WC samples'!R59</f>
        <v>0</v>
      </c>
      <c r="BR88" s="195"/>
      <c r="BS88" s="238">
        <f>IF($AU88&lt;&gt;"",$AU88/'Elements and ions'!$B$12,"")</f>
        <v>0.16971027209891165</v>
      </c>
      <c r="BT88" s="239">
        <f>IF($AV88&lt;&gt;"",$AV88/'Elements and ions'!$B$20,"")</f>
        <v>2.415194522523997E-2</v>
      </c>
      <c r="BU88" s="239">
        <f>IF($AW88&lt;&gt;"",$AW88/'Elements and ions'!$B$21, "")</f>
        <v>1.7165876540745544</v>
      </c>
      <c r="BV88" s="240">
        <f>IF($AX88&lt;&gt;"",$AX88/'Elements and ions'!$B$13, "")</f>
        <v>0.29821435918535283</v>
      </c>
      <c r="BW88" s="238">
        <f>IF($AY88&lt;&gt;"",$AY88/'Elements and ions'!$G$3,"")</f>
        <v>3.3811642197624066</v>
      </c>
      <c r="BX88" s="239">
        <f>IF($AZ88&lt;&gt;"",$AZ88/'Elements and ions'!$B$18,"")</f>
        <v>0.15132710913039799</v>
      </c>
      <c r="BY88" s="239">
        <f>IF($BA88&lt;&gt;"",$BA88/'Elements and ions'!$G$7,"")</f>
        <v>0.38225204782202699</v>
      </c>
      <c r="BZ88" s="241">
        <f>IF($BB88&lt;&gt;"",$BB88/'Elements and ions'!$G$5,"")</f>
        <v>8.505807671247706E-2</v>
      </c>
      <c r="CA88" s="91">
        <f t="shared" si="761"/>
        <v>3.0902954325135894E-6</v>
      </c>
      <c r="CB88" s="163" t="str">
        <f>IF($BD88&lt;&gt;"",$BD88/'Elements and ions'!$B$14,"")</f>
        <v/>
      </c>
      <c r="CC88" s="89" t="str">
        <f>IF($BE88&lt;&gt;"",$BE88/'Elements and ions'!$B$27, "")</f>
        <v/>
      </c>
      <c r="CD88" s="249" t="str">
        <f>IF($BF88&lt;&gt;"",$BF88/'Elements and ions'!$B$26,"")</f>
        <v/>
      </c>
      <c r="CE88" s="250">
        <f>IF($BG88&lt;&gt;"",$BG88/'Elements and ions'!$G$6,"")</f>
        <v>0</v>
      </c>
      <c r="CF88" s="91" t="str">
        <f>IF($BH88&lt;&gt;"",$BH88/'Elements and ions'!$G$15,"")</f>
        <v/>
      </c>
      <c r="CG88" s="89" t="str">
        <f>IF($BI88&lt;&gt;"",$BI88/'Elements and ions'!$G$16,"")</f>
        <v/>
      </c>
      <c r="CH88" s="90">
        <f>IF($BJ88&lt;&gt;"",$BJ88/'Elements and ions'!$G$2,"")</f>
        <v>2.0848089583783768E-2</v>
      </c>
      <c r="CI88" s="91" t="str">
        <f>IF($BK88&lt;&gt;"",$BK88/'Elements and ions'!$B$15, "")</f>
        <v/>
      </c>
      <c r="CJ88" s="88" t="str">
        <f>IF($BL88&lt;&gt;"", $BL88/'Elements and ions'!$G$17,"")</f>
        <v/>
      </c>
      <c r="CK88" s="89">
        <f t="shared" si="762"/>
        <v>3.2359365692962798E-3</v>
      </c>
      <c r="CL88" s="163" t="str">
        <f>IF($BN88&lt;&gt;"", $BN88/'Elements and ions'!$G$19,"")</f>
        <v/>
      </c>
      <c r="CM88" s="89">
        <f>IF($BO88&lt;&gt;"",$BO88/'Elements and ions'!$G$4,"")</f>
        <v>5.4836062724393744E-2</v>
      </c>
      <c r="CN88" s="89">
        <f>IF($BP88&lt;&gt;"",$BP88/'Elements and ions'!$B$10,"")</f>
        <v>9.2481456546832323E-3</v>
      </c>
      <c r="CO88" s="104">
        <f>IF($BQ88&lt;&gt;"",$BQ88/'Elements and ions'!$G$18,"")</f>
        <v>0</v>
      </c>
      <c r="CP88" s="242"/>
      <c r="CQ88" s="238">
        <f t="shared" si="771"/>
        <v>1.6971027209891165E-4</v>
      </c>
      <c r="CR88" s="239">
        <f t="shared" si="772"/>
        <v>2.415194522523997E-5</v>
      </c>
      <c r="CS88" s="239">
        <f t="shared" si="773"/>
        <v>1.7165876540745544E-3</v>
      </c>
      <c r="CT88" s="241">
        <f t="shared" si="774"/>
        <v>2.9821435918535284E-4</v>
      </c>
      <c r="CU88" s="238">
        <f t="shared" si="775"/>
        <v>3.3811642197624065E-3</v>
      </c>
      <c r="CV88" s="239">
        <f t="shared" si="776"/>
        <v>1.5132710913039798E-4</v>
      </c>
      <c r="CW88" s="239">
        <f t="shared" si="777"/>
        <v>3.8225204782202696E-4</v>
      </c>
      <c r="CX88" s="241">
        <f t="shared" si="778"/>
        <v>8.5058076712477053E-5</v>
      </c>
      <c r="CY88" s="258">
        <f t="shared" si="763"/>
        <v>3.0902954325135894E-9</v>
      </c>
      <c r="CZ88" s="259" t="str">
        <f t="shared" si="779"/>
        <v/>
      </c>
      <c r="DA88" s="260" t="str">
        <f t="shared" si="780"/>
        <v/>
      </c>
      <c r="DB88" s="261" t="str">
        <f t="shared" si="781"/>
        <v/>
      </c>
      <c r="DC88" s="262">
        <f t="shared" si="782"/>
        <v>0</v>
      </c>
      <c r="DD88" s="263" t="str">
        <f t="shared" si="783"/>
        <v/>
      </c>
      <c r="DE88" s="259" t="str">
        <f t="shared" si="784"/>
        <v/>
      </c>
      <c r="DF88" s="260">
        <f t="shared" si="785"/>
        <v>2.0848089583783768E-5</v>
      </c>
      <c r="DG88" s="260" t="str">
        <f t="shared" si="786"/>
        <v/>
      </c>
      <c r="DH88" s="264" t="str">
        <f t="shared" si="787"/>
        <v/>
      </c>
      <c r="DI88" s="258">
        <f t="shared" si="764"/>
        <v>3.2359365692962801E-6</v>
      </c>
      <c r="DJ88" s="260" t="str">
        <f t="shared" si="788"/>
        <v/>
      </c>
      <c r="DK88" s="260">
        <f t="shared" si="789"/>
        <v>5.4836062724393741E-5</v>
      </c>
      <c r="DL88" s="260">
        <f t="shared" si="790"/>
        <v>9.2481456546832323E-6</v>
      </c>
      <c r="DM88" s="265">
        <f t="shared" si="791"/>
        <v>0</v>
      </c>
      <c r="DN88" s="242"/>
      <c r="DO88" s="238">
        <f t="shared" si="792"/>
        <v>0.16971027209891165</v>
      </c>
      <c r="DP88" s="239">
        <f t="shared" si="793"/>
        <v>2.415194522523997E-2</v>
      </c>
      <c r="DQ88" s="239">
        <f t="shared" si="794"/>
        <v>3.4331753081491088</v>
      </c>
      <c r="DR88" s="241">
        <f t="shared" si="795"/>
        <v>0.59642871837070566</v>
      </c>
      <c r="DS88" s="238">
        <f t="shared" si="796"/>
        <v>-3.3811642197624066</v>
      </c>
      <c r="DT88" s="239">
        <f t="shared" si="797"/>
        <v>-0.15132710913039799</v>
      </c>
      <c r="DU88" s="239">
        <f t="shared" si="798"/>
        <v>-0.38225204782202699</v>
      </c>
      <c r="DV88" s="241">
        <f t="shared" si="799"/>
        <v>-0.17011615342495412</v>
      </c>
      <c r="DW88" s="91">
        <f t="shared" si="765"/>
        <v>3.0902954325135894E-6</v>
      </c>
      <c r="DX88" s="89">
        <f t="shared" si="800"/>
        <v>0</v>
      </c>
      <c r="DY88" s="89">
        <f t="shared" si="801"/>
        <v>0</v>
      </c>
      <c r="DZ88" s="89">
        <f t="shared" si="802"/>
        <v>0</v>
      </c>
      <c r="EA88" s="90">
        <f t="shared" si="803"/>
        <v>0</v>
      </c>
      <c r="EB88" s="91">
        <f t="shared" si="766"/>
        <v>-3.2359365692962798E-3</v>
      </c>
      <c r="EC88" s="89">
        <f t="shared" si="804"/>
        <v>0</v>
      </c>
      <c r="ED88" s="89">
        <f t="shared" si="805"/>
        <v>-0.10967212544878749</v>
      </c>
      <c r="EE88" s="89">
        <f t="shared" si="806"/>
        <v>-9.2481456546832323E-3</v>
      </c>
      <c r="EF88" s="90">
        <f t="shared" si="807"/>
        <v>0</v>
      </c>
      <c r="EG88" s="242"/>
      <c r="EH88" s="245">
        <f t="shared" si="808"/>
        <v>4.2234693341393994</v>
      </c>
      <c r="EI88" s="246">
        <f t="shared" si="809"/>
        <v>-4.2070157378125517</v>
      </c>
      <c r="EJ88" s="198">
        <f t="shared" si="810"/>
        <v>0.19516784842652179</v>
      </c>
      <c r="EK88" s="198">
        <f t="shared" si="811"/>
        <v>1.0458367229736372E-2</v>
      </c>
      <c r="EL88" s="101">
        <f>IF(AND(CS88&lt;&gt;"",DK88&lt;&gt;""),LOG(CS88*DK88/Minerals!$C$6),"")</f>
        <v>1.4539042554474482</v>
      </c>
      <c r="EM88" s="94">
        <f>IF(AND(CS88&lt;&gt;"",DK88&lt;&gt;""),LOG(CS88*DK88/Minerals!$C$5),"")</f>
        <v>1.3234247260912304</v>
      </c>
      <c r="EN88" s="94">
        <f>IF(AND(CS88&lt;&gt;"",DL88&lt;&gt;""),LOG(CS88*DL88^2/Minerals!$C$2),"")</f>
        <v>-2.2632997486574693</v>
      </c>
      <c r="EO88" s="94">
        <f>IF(AND(CS88&lt;&gt;"",CX88&lt;&gt;""),LOG($CS88*$CX88/Minerals!$C$3),"")</f>
        <v>-2.2356380919127963</v>
      </c>
      <c r="EP88" s="95">
        <f>IF(AND(CS88&lt;&gt;"",CX88&lt;&gt;""),LOG($CS88*$CX88/Minerals!$C$4),"")</f>
        <v>-2.475622603378699</v>
      </c>
      <c r="EQ88" s="199"/>
      <c r="ER88" s="101">
        <f t="shared" si="834"/>
        <v>0.89869215482751219</v>
      </c>
      <c r="ES88" s="94">
        <f t="shared" si="834"/>
        <v>0.89869215482751219</v>
      </c>
      <c r="ET88" s="94">
        <f t="shared" si="835"/>
        <v>0.65229462825741213</v>
      </c>
      <c r="EU88" s="94">
        <f t="shared" si="835"/>
        <v>0.65229462825741213</v>
      </c>
      <c r="EV88" s="95">
        <f t="shared" si="835"/>
        <v>0.65229462825741213</v>
      </c>
      <c r="EW88" s="101">
        <f t="shared" si="836"/>
        <v>0.89869215482751219</v>
      </c>
      <c r="EX88" s="94">
        <f t="shared" si="758"/>
        <v>0.65229462825741213</v>
      </c>
      <c r="EY88" s="94">
        <f t="shared" si="836"/>
        <v>0.89869215482751219</v>
      </c>
      <c r="EZ88" s="94">
        <f t="shared" si="836"/>
        <v>0.89869215482751219</v>
      </c>
      <c r="FA88" s="94">
        <f t="shared" si="836"/>
        <v>0.89869215482751219</v>
      </c>
      <c r="FB88" s="95">
        <f t="shared" si="759"/>
        <v>0.65229462825741213</v>
      </c>
      <c r="FC88" s="199"/>
      <c r="FD88" s="101">
        <f t="shared" si="812"/>
        <v>1.5251729012893432E-4</v>
      </c>
      <c r="FE88" s="94">
        <f t="shared" si="813"/>
        <v>2.1705163697746954E-5</v>
      </c>
      <c r="FF88" s="94">
        <f t="shared" si="814"/>
        <v>1.1197209056858246E-3</v>
      </c>
      <c r="FG88" s="94">
        <f t="shared" si="815"/>
        <v>1.945236245658321E-4</v>
      </c>
      <c r="FH88" s="95" t="str">
        <f t="shared" si="816"/>
        <v/>
      </c>
      <c r="FI88" s="101">
        <f t="shared" si="817"/>
        <v>3.0386257584839611E-3</v>
      </c>
      <c r="FJ88" s="94">
        <f t="shared" si="818"/>
        <v>3.5769269149908547E-5</v>
      </c>
      <c r="FK88" s="94">
        <f t="shared" si="819"/>
        <v>1.3599648578821544E-4</v>
      </c>
      <c r="FL88" s="94">
        <f t="shared" si="820"/>
        <v>3.4352691654440665E-4</v>
      </c>
      <c r="FM88" s="94">
        <f t="shared" si="821"/>
        <v>8.3112359465659678E-6</v>
      </c>
      <c r="FN88" s="95">
        <f t="shared" si="822"/>
        <v>5.5482926529455665E-5</v>
      </c>
      <c r="FO88" s="199"/>
      <c r="FP88" s="101">
        <f>IF(EL88&lt;&gt;"",LOG(FF88*FJ88/Minerals!$C$6),"")</f>
        <v>1.0827918595634949</v>
      </c>
      <c r="FQ88" s="94">
        <f>IF(EL88&lt;&gt;"",LOG(FF88*FJ88/Minerals!$C$5),"")</f>
        <v>0.95231233020727701</v>
      </c>
      <c r="FR88" s="94">
        <f>IF(EN88&lt;&gt;"",LOG(FF88*FM88^2/Minerals!$C$2),"")</f>
        <v>-2.5416340455704343</v>
      </c>
      <c r="FS88" s="94">
        <f>IF(EO88&lt;&gt;"",LOG($FF88*$FN88/Minerals!$C$3),"")</f>
        <v>-2.6067504877967496</v>
      </c>
      <c r="FT88" s="95">
        <f>IF(EP88&lt;&gt;"",LOG($FF88*$FN88/Minerals!$C$4),"")</f>
        <v>-2.8467349992626523</v>
      </c>
      <c r="FU88" s="96"/>
      <c r="FV88" s="101">
        <f>IF(FP88&lt;&gt;"",LOG(FF88*FJ88/(EXP(-1*Minerals!$E$6/'Other Constants'!$B$2*(1/(273.15+'ppm-mgL-1'!$D88)-1/298.15)+LN(Minerals!$C$6)))),"")</f>
        <v>-0.25852991885592808</v>
      </c>
      <c r="FW88" s="94">
        <f>IF(FP88&lt;&gt;"",LOG(FF88*FJ88/(EXP(-1*Minerals!$E$5/'Other Constants'!$B$2*(1/(273.15+'ppm-mgL-1'!$D88)-1/298.15)+LN(Minerals!$C$5)))),"")</f>
        <v>-0.3891307077283318</v>
      </c>
      <c r="FX88" s="94">
        <f>IF(FR88&lt;&gt;"",LOG(FF88*FM88^2/(EXP(-1*Minerals!$E$2/'Other Constants'!$B$2*(1/(273.15+'ppm-mgL-1'!$D88)-1/298.15)+LN(Minerals!$C$2)))),"")</f>
        <v>-2.4849250118342652</v>
      </c>
      <c r="FY88" s="94">
        <f>IF(FS88&lt;&gt;"",LOG($FF88*$FN88/(EXP(-1*Minerals!$E$3/'Other Constants'!$B$2*(1/(273.15+'ppm-mgL-1'!$D88)-1/298.15)+LN(Minerals!$C$3)))),"")</f>
        <v>-1.450484413192082</v>
      </c>
      <c r="FZ88" s="95">
        <f>IF(FT88&lt;&gt;"",LOG($FF88*$FN88/(EXP(-1*Minerals!$E$4/'Other Constants'!$B$2*(1/(273.15+'ppm-mgL-1'!$D88)-1/298.15)+LN(Minerals!$C$4)))),"")</f>
        <v>-2.8798590571007061</v>
      </c>
      <c r="GA88" s="96"/>
      <c r="GB88" s="96"/>
      <c r="GC88" s="101">
        <f>10^(-1825000*(79.755*EXP(-0.0046*($D88-20))*($D88+273.15))^-1.5*$EK88^0.5/(1+'Elements and ions'!$D$12*$EK88^0.5/(2*(79.755*EXP(-0.0046*($D88-20))*($D88+273.15))^0.5)))</f>
        <v>0.89913668122557</v>
      </c>
      <c r="GD88" s="94">
        <f>10^(-1825000*(79.755*EXP(-0.0046*($D88-20))*($D88+273.15))^-1.5*$EK88^0.5/(1+'Elements and ions'!$D$20*$EK88^0.5/(2*(79.755*EXP(-0.0046*($D88-20))*($D88+273.15))^0.5)))</f>
        <v>0.89623348940951741</v>
      </c>
      <c r="GE88" s="94">
        <f>10^(-1825000*(79.755*EXP(-0.0046*($D88-20))*($D88+273.15))^-1.5*4*$EK88^0.5/(1+'Elements and ions'!$D$21*$EK88^0.5/(2*(79.755*EXP(-0.0046*($D88-20))*($D88+273.15))^0.5)))</f>
        <v>0.66926730604462581</v>
      </c>
      <c r="GF88" s="94">
        <f>10^(-1825000*(79.755*EXP(-0.0046*($D88-20))*($D88+273.15))^-1.5*4*$EK88^0.5/(1+'Elements and ions'!$D$13*$EK88^0.5/(2*(79.755*EXP(-0.0046*($D88-20))*($D88+273.15))^0.5)))</f>
        <v>0.68361078911368134</v>
      </c>
      <c r="GG88" s="95">
        <f>10^(-1825000*(79.755*EXP(-0.0046*($D88-20))*($D88+273.15))^-1.5*4*$EK88^0.5/(1+'Elements and ions'!$D$27*$EK88^0.5/(2*(79.755*EXP(-0.0046*($D88-20))*($D88+273.15))^0.5)))</f>
        <v>0.66926730604462581</v>
      </c>
      <c r="GH88" s="101">
        <f>10^(-1825000*(79.755*EXP(-0.0046*($D88-20))*($D88+273.15))^-1.5*$EK88^0.5/(1+'Elements and ions'!$G$3*$EK88^0.5/(2*(79.755*EXP(-0.0046*($D88-20))*($D88+273.15))^0.5)))</f>
        <v>0.88856927079348369</v>
      </c>
      <c r="GI88" s="94">
        <f>10^(-1825000*(79.755*EXP(-0.0046*($D88-20))*($D88+273.15))^-1.5*4*$EK88^0.5/(1+'Elements and ions'!$G$4*$EK88^0.5/(2*(79.755*EXP(-0.0046*($D88-20))*($D88+273.15))^0.5)))</f>
        <v>0.62330021977211347</v>
      </c>
      <c r="GJ88" s="94">
        <f>10^(-1825000*(79.755*EXP(-0.0046*($D88-20))*($D88+273.15))^-1.5*$EK88^0.5/(1+'Elements and ions'!$D$18*$EK88^0.5/(2*(79.755*EXP(-0.0046*($D88-20))*($D88+273.15))^0.5)))</f>
        <v>0.89623348940951741</v>
      </c>
      <c r="GK88" s="94">
        <f>10^(-1825000*(79.755*EXP(-0.0046*($D88-20))*($D88+273.15))^-1.5*$EK88^0.5/(1+'Elements and ions'!$I$7*$EK88^0.5/(2*(79.755*EXP(-0.0046*($D88-20))*($D88+273.15))^0.5)))</f>
        <v>0.89623348940951741</v>
      </c>
      <c r="GL88" s="94">
        <f>10^(-1825000*(79.755*EXP(-0.0046*($D88-20))*($D88+273.15))^-1.5*$EK88^0.5/(1+'Elements and ions'!$D$10*$EK88^0.5/(2*(79.755*EXP(-0.0046*($D88-20))*($D88+273.15))^0.5)))</f>
        <v>0.89770565877753594</v>
      </c>
      <c r="GM88" s="95">
        <f>10^(-1825000*(79.755*EXP(-0.0046*($D88-20))*($D88+273.15))^-1.5*4*$EK88^0.5/(1+'Elements and ions'!$I$5*$EK88^0.5/(2*(79.755*EXP(-0.0046*($D88-20))*($D88+273.15))^0.5)))</f>
        <v>0.65358618238973276</v>
      </c>
      <c r="GN88" s="96"/>
      <c r="GO88" s="101">
        <f t="shared" si="823"/>
        <v>1.5259273082490388E-4</v>
      </c>
      <c r="GP88" s="94">
        <f t="shared" si="824"/>
        <v>2.1645782145244351E-5</v>
      </c>
      <c r="GQ88" s="94">
        <f t="shared" si="825"/>
        <v>1.1488559948319411E-3</v>
      </c>
      <c r="GR88" s="94">
        <f t="shared" si="826"/>
        <v>2.0386255340772985E-4</v>
      </c>
      <c r="GS88" s="95" t="str">
        <f t="shared" si="827"/>
        <v/>
      </c>
      <c r="GT88" s="101">
        <f t="shared" si="828"/>
        <v>3.0043986251872996E-3</v>
      </c>
      <c r="GU88" s="94">
        <f t="shared" si="829"/>
        <v>3.417932994755202E-5</v>
      </c>
      <c r="GV88" s="94">
        <f t="shared" si="830"/>
        <v>1.3562442305819141E-4</v>
      </c>
      <c r="GW88" s="94">
        <f t="shared" si="831"/>
        <v>3.4258708665346895E-4</v>
      </c>
      <c r="GX88" s="94">
        <f t="shared" si="832"/>
        <v>8.3021126874080171E-6</v>
      </c>
      <c r="GY88" s="102">
        <f t="shared" si="833"/>
        <v>5.5592783639920911E-5</v>
      </c>
      <c r="GZ88" s="199"/>
      <c r="HA88" s="92">
        <f>IF(AND(GQ88&lt;&gt;"",GU88&lt;&gt;""),LOG(GQ88*GU88/Minerals!$C$6),"")</f>
        <v>1.0742011455448839</v>
      </c>
      <c r="HB88" s="94">
        <f>IF(AND(GQ88&lt;&gt;"",GU88&lt;&gt;""),LOG(GQ88*GU88/Minerals!$C$5),"")</f>
        <v>0.94372161618866612</v>
      </c>
      <c r="HC88" s="94">
        <f>IF(AND(GQ88&lt;&gt;"",GX88&lt;&gt;""),LOG(GQ88*GX88^2/Minerals!$C$2),"")</f>
        <v>-2.5314322129601448</v>
      </c>
      <c r="HD88" s="94">
        <f>IF(AND(GQ88&lt;&gt;"",GY88&lt;&gt;""),LOG($GQ88*$GY88/Minerals!$C$3),"")</f>
        <v>-2.5947356197315883</v>
      </c>
      <c r="HE88" s="102">
        <f>IF(AND(GQ88&lt;&gt;"",GY88&lt;&gt;""),LOG($GQ88*$GY88/Minerals!$C$3),"")</f>
        <v>-2.5947356197315883</v>
      </c>
      <c r="HF88" s="199"/>
      <c r="HG88" s="92">
        <f>IF(HA88&lt;&gt;"",LOG(GQ88*GU88/(EXP(-1*Minerals!$E$6/'Other Constants'!$B$2*(1/(273.15+'ppm-mgL-1'!$D88)-1/298.15)+LN(Minerals!$C$6)))),"")</f>
        <v>-0.26712063287453902</v>
      </c>
      <c r="HH88" s="94">
        <f>IF(HA88&lt;&gt;"",LOG(GQ88*GU88/(EXP(-1*Minerals!$E$5/'Other Constants'!$B$2*(1/(273.15+'ppm-mgL-1'!$D88)-1/298.15)+LN(Minerals!$C$5)))),"")</f>
        <v>-0.3977214217469428</v>
      </c>
      <c r="HI88" s="94">
        <f>IF(HC88&lt;&gt;"",LOG(GQ88*GX88^2/(EXP(-1*Minerals!$E$2/'Other Constants'!$B$2*(1/(273.15+'ppm-mgL-1'!$D88)-1/298.15)+LN(Minerals!$C$2)))),"")</f>
        <v>-2.4747231792239752</v>
      </c>
      <c r="HJ88" s="94">
        <f>IF(HD88&lt;&gt;"",LOG($FF88*$FN88/(EXP(-1*Minerals!$E$3/'Other Constants'!$B$2*(1/(273.15+'ppm-mgL-1'!$D88)-1/298.15)+LN(Minerals!$C$3)))),"")</f>
        <v>-1.450484413192082</v>
      </c>
      <c r="HK88" s="95">
        <f>IF(HE88&lt;&gt;"",LOG($FF88*$FN88/(EXP(-1*Minerals!$E$4/'Other Constants'!$B$2*(1/(273.15+'ppm-mgL-1'!$D88)-1/298.15)+LN(Minerals!$C$4)))),"")</f>
        <v>-2.8798590571007061</v>
      </c>
      <c r="HL88" s="199"/>
      <c r="HM88" s="199"/>
    </row>
    <row r="89" spans="1:221" x14ac:dyDescent="0.25">
      <c r="A89" s="267" t="str">
        <f>'WC samples'!B60</f>
        <v>ISSR 7</v>
      </c>
      <c r="C89" s="266">
        <f>'WC samples'!A60</f>
        <v>41685</v>
      </c>
      <c r="D89" s="4">
        <f>'WC samples'!I60</f>
        <v>21.4</v>
      </c>
      <c r="E89" s="4">
        <f>'WC samples'!F60</f>
        <v>8.31</v>
      </c>
      <c r="AD89" s="83">
        <f>IF(E89&lt;&gt;"",10^(-2*$E89)/(10^(-2*$E89)+10^(-$E89-pKa!$B$2)+(10^(-pKa!$B$2-pKa!$C$2))),"")</f>
        <v>9.5807072660588286E-3</v>
      </c>
      <c r="AE89" s="84">
        <f>IF(E89&lt;&gt;"",10^(-$E89-pKa!$B$2)/(10^(-2*$E89)+10^(-$E89-pKa!$B$2)+10^(-pKa!$B$2-pKa!$C$2)),"")</f>
        <v>0.98038706064513226</v>
      </c>
      <c r="AF89" s="212">
        <f>IF(E89&lt;&gt;"",10^(-pKa!$B$2-pKa!$C$2)/(10^(-2*$E89)+10^(-$E89-pKa!$B$2)+10^(-pKa!$B$2-pKa!$C$2)),"")</f>
        <v>1.0032232088808881E-2</v>
      </c>
      <c r="AG89" s="152"/>
      <c r="AH89" s="222">
        <f>IF($AK89&lt;&gt;"",$AK89/'Elements and ions'!$G$3,IF($E89="","",""))</f>
        <v>3.6055620055053659</v>
      </c>
      <c r="AI89" s="85">
        <f t="shared" si="770"/>
        <v>3.6039327035900176E-3</v>
      </c>
      <c r="AJ89" s="84">
        <f>IF(AI89&lt;&gt;"",AI89*1000*'Elements and ions'!$B$7,"")</f>
        <v>43.285754523008627</v>
      </c>
      <c r="AK89" s="99">
        <f>'WC samples'!H60</f>
        <v>220</v>
      </c>
      <c r="AL89" s="88">
        <f>IF($AK89&lt;&gt;"",$AK89/'Elements and ions'!$G$3*Minerals!$B$6/2,IF($E89="","","Enter Alk(HCO3-)"))</f>
        <v>180.43476194440751</v>
      </c>
      <c r="AM89" s="199"/>
      <c r="AN89" s="101">
        <f t="shared" si="755"/>
        <v>3.4528224239671921E-5</v>
      </c>
      <c r="AO89" s="94">
        <f t="shared" si="756"/>
        <v>3.5332489900354821E-3</v>
      </c>
      <c r="AP89" s="95">
        <f t="shared" si="757"/>
        <v>3.6155489314863518E-5</v>
      </c>
      <c r="AQ89" s="199"/>
      <c r="AR89" s="199"/>
      <c r="AS89" s="83">
        <f t="shared" si="760"/>
        <v>0.10155360070491741</v>
      </c>
      <c r="AT89" s="83">
        <f>IF(AN89&lt;&gt;"",AN89/'Henrys law constants'!$B$7*1000000,"")</f>
        <v>1015.536007049174</v>
      </c>
      <c r="AU89" s="268">
        <f>'WC samples'!K60</f>
        <v>3.7433000000000001</v>
      </c>
      <c r="AV89" s="269">
        <f>'WC samples'!M60</f>
        <v>1.1858</v>
      </c>
      <c r="AW89" s="269">
        <f>'WC samples'!O60</f>
        <v>71.343500000000006</v>
      </c>
      <c r="AX89" s="269">
        <f>'WC samples'!N60</f>
        <v>7.8025000000000002</v>
      </c>
      <c r="AY89" s="226">
        <f>AO89*'Elements and ions'!$G$3*1000</f>
        <v>215.5876883051566</v>
      </c>
      <c r="AZ89" s="269">
        <f>'WC samples'!Q60</f>
        <v>5.3517999999999999</v>
      </c>
      <c r="BA89" s="269">
        <f>'WC samples'!T60</f>
        <v>19.292999999999999</v>
      </c>
      <c r="BB89" s="270">
        <f>'WC samples'!V60</f>
        <v>7.4409000000000001</v>
      </c>
      <c r="BC89" s="222">
        <f>IF($E89&lt;&gt;"",10^-$E89*'Elements and ions'!B93*1000,"")</f>
        <v>0</v>
      </c>
      <c r="BE89" s="6"/>
      <c r="BF89" s="6"/>
      <c r="BG89" s="270">
        <f>'WC samples'!L60</f>
        <v>0</v>
      </c>
      <c r="BH89" s="3"/>
      <c r="BJ89" s="92">
        <f>IF($AN89&lt;&gt;"",$AN89*'Elements and ions'!$G$2*1000,"")</f>
        <v>2.141605512256318</v>
      </c>
      <c r="BK89" s="229"/>
      <c r="BL89" s="230"/>
      <c r="BM89" s="101">
        <f>IF($E89&lt;&gt;"",(10^-14+$E89)*'Elements and ions'!$G$8,"")</f>
        <v>141.33099540000018</v>
      </c>
      <c r="BO89" s="102">
        <f>IF($AP89&lt;&gt;"",$AP89*'Elements and ions'!$G$4*1000,"")</f>
        <v>2.1696511427467131</v>
      </c>
      <c r="BP89" s="269">
        <f>'WC samples'!P60</f>
        <v>0.1855</v>
      </c>
      <c r="BQ89" s="270">
        <f>'WC samples'!R60</f>
        <v>0</v>
      </c>
      <c r="BR89" s="195"/>
      <c r="BS89" s="238">
        <f>IF($AU89&lt;&gt;"",$AU89/'Elements and ions'!$B$12,"")</f>
        <v>0.16282460056075865</v>
      </c>
      <c r="BT89" s="239">
        <f>IF($AV89&lt;&gt;"",$AV89/'Elements and ions'!$B$20,"")</f>
        <v>3.0328684367351009E-2</v>
      </c>
      <c r="BU89" s="239">
        <f>IF($AW89&lt;&gt;"",$AW89/'Elements and ions'!$B$21, "")</f>
        <v>1.7801162732671292</v>
      </c>
      <c r="BV89" s="240">
        <f>IF($AX89&lt;&gt;"",$AX89/'Elements and ions'!$B$13, "")</f>
        <v>0.32102448055955568</v>
      </c>
      <c r="BW89" s="238">
        <f>IF($AY89&lt;&gt;"",$AY89/'Elements and ions'!$G$3,"")</f>
        <v>3.5332489900354824</v>
      </c>
      <c r="BX89" s="239">
        <f>IF($AZ89&lt;&gt;"",$AZ89/'Elements and ions'!$B$18,"")</f>
        <v>0.15095478520858599</v>
      </c>
      <c r="BY89" s="239">
        <f>IF($BA89&lt;&gt;"",$BA89/'Elements and ions'!$G$7,"")</f>
        <v>0.31115282824421941</v>
      </c>
      <c r="BZ89" s="241">
        <f>IF($BB89&lt;&gt;"",$BB89/'Elements and ions'!$G$5,"")</f>
        <v>7.7458865364876645E-2</v>
      </c>
      <c r="CA89" s="91">
        <f t="shared" si="761"/>
        <v>4.8977881936844507E-6</v>
      </c>
      <c r="CB89" s="163" t="str">
        <f>IF($BD89&lt;&gt;"",$BD89/'Elements and ions'!$B$14,"")</f>
        <v/>
      </c>
      <c r="CC89" s="89" t="str">
        <f>IF($BE89&lt;&gt;"",$BE89/'Elements and ions'!$B$27, "")</f>
        <v/>
      </c>
      <c r="CD89" s="249" t="str">
        <f>IF($BF89&lt;&gt;"",$BF89/'Elements and ions'!$B$26,"")</f>
        <v/>
      </c>
      <c r="CE89" s="250">
        <f>IF($BG89&lt;&gt;"",$BG89/'Elements and ions'!$G$6,"")</f>
        <v>0</v>
      </c>
      <c r="CF89" s="91" t="str">
        <f>IF($BH89&lt;&gt;"",$BH89/'Elements and ions'!$G$15,"")</f>
        <v/>
      </c>
      <c r="CG89" s="89" t="str">
        <f>IF($BI89&lt;&gt;"",$BI89/'Elements and ions'!$G$16,"")</f>
        <v/>
      </c>
      <c r="CH89" s="90">
        <f>IF($BJ89&lt;&gt;"",$BJ89/'Elements and ions'!$G$2,"")</f>
        <v>3.4528224239671924E-2</v>
      </c>
      <c r="CI89" s="91" t="str">
        <f>IF($BK89&lt;&gt;"",$BK89/'Elements and ions'!$B$15, "")</f>
        <v/>
      </c>
      <c r="CJ89" s="88" t="str">
        <f>IF($BL89&lt;&gt;"", $BL89/'Elements and ions'!$G$17,"")</f>
        <v/>
      </c>
      <c r="CK89" s="89">
        <f t="shared" si="762"/>
        <v>2.0417379446695276E-3</v>
      </c>
      <c r="CL89" s="163" t="str">
        <f>IF($BN89&lt;&gt;"", $BN89/'Elements and ions'!$G$19,"")</f>
        <v/>
      </c>
      <c r="CM89" s="89">
        <f>IF($BO89&lt;&gt;"",$BO89/'Elements and ions'!$G$4,"")</f>
        <v>3.6155489314863516E-2</v>
      </c>
      <c r="CN89" s="89">
        <f>IF($BP89&lt;&gt;"",$BP89/'Elements and ions'!$B$10,"")</f>
        <v>9.7639784800440492E-3</v>
      </c>
      <c r="CO89" s="104">
        <f>IF($BQ89&lt;&gt;"",$BQ89/'Elements and ions'!$G$18,"")</f>
        <v>0</v>
      </c>
      <c r="CP89" s="242"/>
      <c r="CQ89" s="238">
        <f t="shared" si="771"/>
        <v>1.6282460056075865E-4</v>
      </c>
      <c r="CR89" s="239">
        <f t="shared" si="772"/>
        <v>3.0328684367351009E-5</v>
      </c>
      <c r="CS89" s="239">
        <f t="shared" si="773"/>
        <v>1.7801162732671292E-3</v>
      </c>
      <c r="CT89" s="241">
        <f t="shared" si="774"/>
        <v>3.2102448055955569E-4</v>
      </c>
      <c r="CU89" s="238">
        <f t="shared" si="775"/>
        <v>3.5332489900354825E-3</v>
      </c>
      <c r="CV89" s="239">
        <f t="shared" si="776"/>
        <v>1.50954785208586E-4</v>
      </c>
      <c r="CW89" s="239">
        <f t="shared" si="777"/>
        <v>3.1115282824421939E-4</v>
      </c>
      <c r="CX89" s="241">
        <f t="shared" si="778"/>
        <v>7.7458865364876642E-5</v>
      </c>
      <c r="CY89" s="258">
        <f t="shared" si="763"/>
        <v>4.8977881936844509E-9</v>
      </c>
      <c r="CZ89" s="259" t="str">
        <f t="shared" si="779"/>
        <v/>
      </c>
      <c r="DA89" s="260" t="str">
        <f t="shared" si="780"/>
        <v/>
      </c>
      <c r="DB89" s="261" t="str">
        <f t="shared" si="781"/>
        <v/>
      </c>
      <c r="DC89" s="262">
        <f t="shared" si="782"/>
        <v>0</v>
      </c>
      <c r="DD89" s="263" t="str">
        <f t="shared" si="783"/>
        <v/>
      </c>
      <c r="DE89" s="259" t="str">
        <f t="shared" si="784"/>
        <v/>
      </c>
      <c r="DF89" s="260">
        <f t="shared" si="785"/>
        <v>3.4528224239671921E-5</v>
      </c>
      <c r="DG89" s="260" t="str">
        <f t="shared" si="786"/>
        <v/>
      </c>
      <c r="DH89" s="264" t="str">
        <f t="shared" si="787"/>
        <v/>
      </c>
      <c r="DI89" s="258">
        <f t="shared" si="764"/>
        <v>2.0417379446695277E-6</v>
      </c>
      <c r="DJ89" s="260" t="str">
        <f t="shared" si="788"/>
        <v/>
      </c>
      <c r="DK89" s="260">
        <f t="shared" si="789"/>
        <v>3.6155489314863518E-5</v>
      </c>
      <c r="DL89" s="260">
        <f t="shared" si="790"/>
        <v>9.763978480044049E-6</v>
      </c>
      <c r="DM89" s="265">
        <f t="shared" si="791"/>
        <v>0</v>
      </c>
      <c r="DN89" s="242"/>
      <c r="DO89" s="238">
        <f t="shared" si="792"/>
        <v>0.16282460056075865</v>
      </c>
      <c r="DP89" s="239">
        <f t="shared" si="793"/>
        <v>3.0328684367351009E-2</v>
      </c>
      <c r="DQ89" s="239">
        <f t="shared" si="794"/>
        <v>3.5602325465342584</v>
      </c>
      <c r="DR89" s="241">
        <f t="shared" si="795"/>
        <v>0.64204896111911136</v>
      </c>
      <c r="DS89" s="238">
        <f t="shared" si="796"/>
        <v>-3.5332489900354824</v>
      </c>
      <c r="DT89" s="239">
        <f t="shared" si="797"/>
        <v>-0.15095478520858599</v>
      </c>
      <c r="DU89" s="239">
        <f t="shared" si="798"/>
        <v>-0.31115282824421941</v>
      </c>
      <c r="DV89" s="241">
        <f t="shared" si="799"/>
        <v>-0.15491773072975329</v>
      </c>
      <c r="DW89" s="91">
        <f t="shared" si="765"/>
        <v>4.8977881936844507E-6</v>
      </c>
      <c r="DX89" s="89">
        <f t="shared" si="800"/>
        <v>0</v>
      </c>
      <c r="DY89" s="89">
        <f t="shared" si="801"/>
        <v>0</v>
      </c>
      <c r="DZ89" s="89">
        <f t="shared" si="802"/>
        <v>0</v>
      </c>
      <c r="EA89" s="90">
        <f t="shared" si="803"/>
        <v>0</v>
      </c>
      <c r="EB89" s="91">
        <f t="shared" si="766"/>
        <v>-2.0417379446695276E-3</v>
      </c>
      <c r="EC89" s="89">
        <f t="shared" si="804"/>
        <v>0</v>
      </c>
      <c r="ED89" s="89">
        <f t="shared" si="805"/>
        <v>-7.2310978629727032E-2</v>
      </c>
      <c r="EE89" s="89">
        <f t="shared" si="806"/>
        <v>-9.7639784800440492E-3</v>
      </c>
      <c r="EF89" s="90">
        <f t="shared" si="807"/>
        <v>0</v>
      </c>
      <c r="EG89" s="242"/>
      <c r="EH89" s="245">
        <f t="shared" si="808"/>
        <v>4.3954396903696731</v>
      </c>
      <c r="EI89" s="246">
        <f t="shared" si="809"/>
        <v>-4.2343910292724818</v>
      </c>
      <c r="EJ89" s="198">
        <f t="shared" si="810"/>
        <v>1.8661856336374274</v>
      </c>
      <c r="EK89" s="198">
        <f t="shared" si="811"/>
        <v>1.0813535410214467E-2</v>
      </c>
      <c r="EL89" s="101">
        <f>IF(AND(CS89&lt;&gt;"",DK89&lt;&gt;""),LOG(CS89*DK89/Minerals!$C$6),"")</f>
        <v>1.2887946201056197</v>
      </c>
      <c r="EM89" s="94">
        <f>IF(AND(CS89&lt;&gt;"",DK89&lt;&gt;""),LOG(CS89*DK89/Minerals!$C$5),"")</f>
        <v>1.158315090749402</v>
      </c>
      <c r="EN89" s="94">
        <f>IF(AND(CS89&lt;&gt;"",DL89&lt;&gt;""),LOG(CS89*DL89^2/Minerals!$C$2),"")</f>
        <v>-2.2003730580500567</v>
      </c>
      <c r="EO89" s="94">
        <f>IF(AND(CS89&lt;&gt;"",CX89&lt;&gt;""),LOG($CS89*$CX89/Minerals!$C$3),"")</f>
        <v>-2.2605001336204498</v>
      </c>
      <c r="EP89" s="95">
        <f>IF(AND(CS89&lt;&gt;"",CX89&lt;&gt;""),LOG($CS89*$CX89/Minerals!$C$4),"")</f>
        <v>-2.500484645086352</v>
      </c>
      <c r="EQ89" s="199"/>
      <c r="ER89" s="101">
        <f t="shared" si="834"/>
        <v>0.89722922647819325</v>
      </c>
      <c r="ES89" s="94">
        <f t="shared" si="834"/>
        <v>0.89722922647819325</v>
      </c>
      <c r="ET89" s="94">
        <f t="shared" si="835"/>
        <v>0.64805765901459289</v>
      </c>
      <c r="EU89" s="94">
        <f t="shared" si="835"/>
        <v>0.64805765901459289</v>
      </c>
      <c r="EV89" s="95">
        <f t="shared" si="835"/>
        <v>0.64805765901459289</v>
      </c>
      <c r="EW89" s="101">
        <f t="shared" si="836"/>
        <v>0.89722922647819325</v>
      </c>
      <c r="EX89" s="94">
        <f t="shared" si="758"/>
        <v>0.64805765901459289</v>
      </c>
      <c r="EY89" s="94">
        <f t="shared" si="836"/>
        <v>0.89722922647819325</v>
      </c>
      <c r="EZ89" s="94">
        <f t="shared" si="836"/>
        <v>0.89722922647819325</v>
      </c>
      <c r="FA89" s="94">
        <f t="shared" si="836"/>
        <v>0.89722922647819325</v>
      </c>
      <c r="FB89" s="95">
        <f t="shared" si="759"/>
        <v>0.64805765901459289</v>
      </c>
      <c r="FC89" s="199"/>
      <c r="FD89" s="101">
        <f t="shared" si="812"/>
        <v>1.4609099041275027E-4</v>
      </c>
      <c r="FE89" s="94">
        <f t="shared" si="813"/>
        <v>2.7211782015019619E-5</v>
      </c>
      <c r="FF89" s="94">
        <f t="shared" si="814"/>
        <v>1.153617984827277E-3</v>
      </c>
      <c r="FG89" s="94">
        <f t="shared" si="815"/>
        <v>2.0804237335780135E-4</v>
      </c>
      <c r="FH89" s="95" t="str">
        <f t="shared" si="816"/>
        <v/>
      </c>
      <c r="FI89" s="101">
        <f t="shared" si="817"/>
        <v>3.1701342582843937E-3</v>
      </c>
      <c r="FJ89" s="94">
        <f t="shared" si="818"/>
        <v>2.3430841765917577E-5</v>
      </c>
      <c r="FK89" s="94">
        <f t="shared" si="819"/>
        <v>1.3544104516588143E-4</v>
      </c>
      <c r="FL89" s="94">
        <f t="shared" si="820"/>
        <v>2.7917541140206307E-4</v>
      </c>
      <c r="FM89" s="94">
        <f t="shared" si="821"/>
        <v>8.7605268589996471E-6</v>
      </c>
      <c r="FN89" s="95">
        <f t="shared" si="822"/>
        <v>5.0197810958288485E-5</v>
      </c>
      <c r="FO89" s="199"/>
      <c r="FP89" s="101">
        <f>IF(EL89&lt;&gt;"",LOG(FF89*FJ89/Minerals!$C$6),"")</f>
        <v>0.91202191542045608</v>
      </c>
      <c r="FQ89" s="94">
        <f>IF(EL89&lt;&gt;"",LOG(FF89*FJ89/Minerals!$C$5),"")</f>
        <v>0.78154238606423831</v>
      </c>
      <c r="FR89" s="94">
        <f>IF(EN89&lt;&gt;"",LOG(FF89*FM89^2/Minerals!$C$2),"")</f>
        <v>-2.482952586563929</v>
      </c>
      <c r="FS89" s="94">
        <f>IF(EO89&lt;&gt;"",LOG($FF89*$FN89/Minerals!$C$3),"")</f>
        <v>-2.6372728383056132</v>
      </c>
      <c r="FT89" s="95">
        <f>IF(EP89&lt;&gt;"",LOG($FF89*$FN89/Minerals!$C$4),"")</f>
        <v>-2.8772573497715155</v>
      </c>
      <c r="FU89" s="96"/>
      <c r="FV89" s="101">
        <f>IF(FP89&lt;&gt;"",LOG(FF89*FJ89/(EXP(-1*Minerals!$E$6/'Other Constants'!$B$2*(1/(273.15+'ppm-mgL-1'!$D89)-1/298.15)+LN(Minerals!$C$6)))),"")</f>
        <v>-0.50916547819180535</v>
      </c>
      <c r="FW89" s="94">
        <f>IF(FP89&lt;&gt;"",LOG(FF89*FJ89/(EXP(-1*Minerals!$E$5/'Other Constants'!$B$2*(1/(273.15+'ppm-mgL-1'!$D89)-1/298.15)+LN(Minerals!$C$5)))),"")</f>
        <v>-0.63977348715562476</v>
      </c>
      <c r="FX89" s="94">
        <f>IF(FR89&lt;&gt;"",LOG(FF89*FM89^2/(EXP(-1*Minerals!$E$2/'Other Constants'!$B$2*(1/(273.15+'ppm-mgL-1'!$D89)-1/298.15)+LN(Minerals!$C$2)))),"")</f>
        <v>-2.4228669567423178</v>
      </c>
      <c r="FY89" s="94">
        <f>IF(FS89&lt;&gt;"",LOG($FF89*$FN89/(EXP(-1*Minerals!$E$3/'Other Constants'!$B$2*(1/(273.15+'ppm-mgL-1'!$D89)-1/298.15)+LN(Minerals!$C$3)))),"")</f>
        <v>-1.4121598226755574</v>
      </c>
      <c r="FZ89" s="95">
        <f>IF(FT89&lt;&gt;"",LOG($FF89*$FN89/(EXP(-1*Minerals!$E$4/'Other Constants'!$B$2*(1/(273.15+'ppm-mgL-1'!$D89)-1/298.15)+LN(Minerals!$C$4)))),"")</f>
        <v>-2.9123536959146454</v>
      </c>
      <c r="GA89" s="96"/>
      <c r="GB89" s="96"/>
      <c r="GC89" s="101">
        <f>10^(-1825000*(79.755*EXP(-0.0046*($D89-20))*($D89+273.15))^-1.5*$EK89^0.5/(1+'Elements and ions'!$D$12*$EK89^0.5/(2*(79.755*EXP(-0.0046*($D89-20))*($D89+273.15))^0.5)))</f>
        <v>0.8977546471901432</v>
      </c>
      <c r="GD89" s="94">
        <f>10^(-1825000*(79.755*EXP(-0.0046*($D89-20))*($D89+273.15))^-1.5*$EK89^0.5/(1+'Elements and ions'!$D$20*$EK89^0.5/(2*(79.755*EXP(-0.0046*($D89-20))*($D89+273.15))^0.5)))</f>
        <v>0.89476952113584873</v>
      </c>
      <c r="GE89" s="94">
        <f>10^(-1825000*(79.755*EXP(-0.0046*($D89-20))*($D89+273.15))^-1.5*4*$EK89^0.5/(1+'Elements and ions'!$D$21*$EK89^0.5/(2*(79.755*EXP(-0.0046*($D89-20))*($D89+273.15))^0.5)))</f>
        <v>0.66561234666850488</v>
      </c>
      <c r="GF89" s="94">
        <f>10^(-1825000*(79.755*EXP(-0.0046*($D89-20))*($D89+273.15))^-1.5*4*$EK89^0.5/(1+'Elements and ions'!$D$13*$EK89^0.5/(2*(79.755*EXP(-0.0046*($D89-20))*($D89+273.15))^0.5)))</f>
        <v>0.68026620922450054</v>
      </c>
      <c r="GG89" s="95">
        <f>10^(-1825000*(79.755*EXP(-0.0046*($D89-20))*($D89+273.15))^-1.5*4*$EK89^0.5/(1+'Elements and ions'!$D$27*$EK89^0.5/(2*(79.755*EXP(-0.0046*($D89-20))*($D89+273.15))^0.5)))</f>
        <v>0.66561234666850488</v>
      </c>
      <c r="GH89" s="101">
        <f>10^(-1825000*(79.755*EXP(-0.0046*($D89-20))*($D89+273.15))^-1.5*$EK89^0.5/(1+'Elements and ions'!$G$3*$EK89^0.5/(2*(79.755*EXP(-0.0046*($D89-20))*($D89+273.15))^0.5)))</f>
        <v>0.88687753693653837</v>
      </c>
      <c r="GI89" s="94">
        <f>10^(-1825000*(79.755*EXP(-0.0046*($D89-20))*($D89+273.15))^-1.5*4*$EK89^0.5/(1+'Elements and ions'!$G$4*$EK89^0.5/(2*(79.755*EXP(-0.0046*($D89-20))*($D89+273.15))^0.5)))</f>
        <v>0.61856382151993206</v>
      </c>
      <c r="GJ89" s="94">
        <f>10^(-1825000*(79.755*EXP(-0.0046*($D89-20))*($D89+273.15))^-1.5*$EK89^0.5/(1+'Elements and ions'!$D$18*$EK89^0.5/(2*(79.755*EXP(-0.0046*($D89-20))*($D89+273.15))^0.5)))</f>
        <v>0.89476952113584873</v>
      </c>
      <c r="GK89" s="94">
        <f>10^(-1825000*(79.755*EXP(-0.0046*($D89-20))*($D89+273.15))^-1.5*$EK89^0.5/(1+'Elements and ions'!$I$7*$EK89^0.5/(2*(79.755*EXP(-0.0046*($D89-20))*($D89+273.15))^0.5)))</f>
        <v>0.89476952113584873</v>
      </c>
      <c r="GL89" s="94">
        <f>10^(-1825000*(79.755*EXP(-0.0046*($D89-20))*($D89+273.15))^-1.5*$EK89^0.5/(1+'Elements and ions'!$D$10*$EK89^0.5/(2*(79.755*EXP(-0.0046*($D89-20))*($D89+273.15))^0.5)))</f>
        <v>0.89628353622779366</v>
      </c>
      <c r="GM89" s="95">
        <f>10^(-1825000*(79.755*EXP(-0.0046*($D89-20))*($D89+273.15))^-1.5*4*$EK89^0.5/(1+'Elements and ions'!$I$5*$EK89^0.5/(2*(79.755*EXP(-0.0046*($D89-20))*($D89+273.15))^0.5)))</f>
        <v>0.64957701270009593</v>
      </c>
      <c r="GN89" s="96"/>
      <c r="GO89" s="101">
        <f t="shared" si="823"/>
        <v>1.4617654183029987E-4</v>
      </c>
      <c r="GP89" s="94">
        <f t="shared" si="824"/>
        <v>2.7137182388054964E-5</v>
      </c>
      <c r="GQ89" s="94">
        <f t="shared" si="825"/>
        <v>1.1848673699921275E-3</v>
      </c>
      <c r="GR89" s="94">
        <f t="shared" si="826"/>
        <v>2.1838210645851332E-4</v>
      </c>
      <c r="GS89" s="95" t="str">
        <f t="shared" si="827"/>
        <v/>
      </c>
      <c r="GT89" s="101">
        <f t="shared" si="828"/>
        <v>3.1335591616661806E-3</v>
      </c>
      <c r="GU89" s="94">
        <f t="shared" si="829"/>
        <v>2.2364477639525047E-5</v>
      </c>
      <c r="GV89" s="94">
        <f t="shared" si="830"/>
        <v>1.3506974087425138E-4</v>
      </c>
      <c r="GW89" s="94">
        <f t="shared" si="831"/>
        <v>2.7841006712814515E-4</v>
      </c>
      <c r="GX89" s="94">
        <f t="shared" si="832"/>
        <v>8.751293159745958E-6</v>
      </c>
      <c r="GY89" s="102">
        <f t="shared" si="833"/>
        <v>5.0315498370855498E-5</v>
      </c>
      <c r="GZ89" s="199"/>
      <c r="HA89" s="92">
        <f>IF(AND(GQ89&lt;&gt;"",GU89&lt;&gt;""),LOG(GQ89*GU89/Minerals!$C$6),"")</f>
        <v>0.90340050478918643</v>
      </c>
      <c r="HB89" s="94">
        <f>IF(AND(GQ89&lt;&gt;"",GU89&lt;&gt;""),LOG(GQ89*GU89/Minerals!$C$5),"")</f>
        <v>0.77292097543296878</v>
      </c>
      <c r="HC89" s="94">
        <f>IF(AND(GQ89&lt;&gt;"",GX89&lt;&gt;""),LOG(GQ89*GX89^2/Minerals!$C$2),"")</f>
        <v>-2.4722608508773232</v>
      </c>
      <c r="HD89" s="94">
        <f>IF(AND(GQ89&lt;&gt;"",GY89&lt;&gt;""),LOG($GQ89*$GY89/Minerals!$C$3),"")</f>
        <v>-2.6246481167417839</v>
      </c>
      <c r="HE89" s="102">
        <f>IF(AND(GQ89&lt;&gt;"",GY89&lt;&gt;""),LOG($GQ89*$GY89/Minerals!$C$3),"")</f>
        <v>-2.6246481167417839</v>
      </c>
      <c r="HF89" s="199"/>
      <c r="HG89" s="92">
        <f>IF(HA89&lt;&gt;"",LOG(GQ89*GU89/(EXP(-1*Minerals!$E$6/'Other Constants'!$B$2*(1/(273.15+'ppm-mgL-1'!$D89)-1/298.15)+LN(Minerals!$C$6)))),"")</f>
        <v>-0.517786888823075</v>
      </c>
      <c r="HH89" s="94">
        <f>IF(HA89&lt;&gt;"",LOG(GQ89*GU89/(EXP(-1*Minerals!$E$5/'Other Constants'!$B$2*(1/(273.15+'ppm-mgL-1'!$D89)-1/298.15)+LN(Minerals!$C$5)))),"")</f>
        <v>-0.64839489778689441</v>
      </c>
      <c r="HI89" s="94">
        <f>IF(HC89&lt;&gt;"",LOG(GQ89*GX89^2/(EXP(-1*Minerals!$E$2/'Other Constants'!$B$2*(1/(273.15+'ppm-mgL-1'!$D89)-1/298.15)+LN(Minerals!$C$2)))),"")</f>
        <v>-2.4121752210557115</v>
      </c>
      <c r="HJ89" s="94">
        <f>IF(HD89&lt;&gt;"",LOG($FF89*$FN89/(EXP(-1*Minerals!$E$3/'Other Constants'!$B$2*(1/(273.15+'ppm-mgL-1'!$D89)-1/298.15)+LN(Minerals!$C$3)))),"")</f>
        <v>-1.4121598226755574</v>
      </c>
      <c r="HK89" s="95">
        <f>IF(HE89&lt;&gt;"",LOG($FF89*$FN89/(EXP(-1*Minerals!$E$4/'Other Constants'!$B$2*(1/(273.15+'ppm-mgL-1'!$D89)-1/298.15)+LN(Minerals!$C$4)))),"")</f>
        <v>-2.9123536959146454</v>
      </c>
      <c r="HL89" s="199"/>
      <c r="HM89" s="199"/>
    </row>
    <row r="90" spans="1:221" x14ac:dyDescent="0.25">
      <c r="A90" s="267" t="str">
        <f>'WC samples'!B61</f>
        <v>ISSR 7</v>
      </c>
      <c r="C90" s="266">
        <f>'WC samples'!A61</f>
        <v>41727</v>
      </c>
      <c r="D90" s="4">
        <f>'WC samples'!I61</f>
        <v>21.5</v>
      </c>
      <c r="E90" s="4">
        <f>'WC samples'!F61</f>
        <v>8.3000000000000007</v>
      </c>
      <c r="AD90" s="83">
        <f>IF(E90&lt;&gt;"",10^(-2*$E90)/(10^(-2*$E90)+10^(-$E90-pKa!$B$2)+(10^(-pKa!$B$2-pKa!$C$2))),"")</f>
        <v>9.8039215686274977E-3</v>
      </c>
      <c r="AE90" s="84">
        <f>IF(E90&lt;&gt;"",10^(-$E90-pKa!$B$2)/(10^(-2*$E90)+10^(-$E90-pKa!$B$2)+10^(-pKa!$B$2-pKa!$C$2)),"")</f>
        <v>0.98039215686274495</v>
      </c>
      <c r="AF90" s="212">
        <f>IF(E90&lt;&gt;"",10^(-pKa!$B$2-pKa!$C$2)/(10^(-2*$E90)+10^(-$E90-pKa!$B$2)+10^(-pKa!$B$2-pKa!$C$2)),"")</f>
        <v>9.8039215686274977E-3</v>
      </c>
      <c r="AG90" s="152"/>
      <c r="AH90" s="222">
        <f>IF($AK90&lt;&gt;"",$AK90/'Elements and ions'!$G$3,IF($E90="","",""))</f>
        <v>3.4180727812190868</v>
      </c>
      <c r="AI90" s="85">
        <f t="shared" si="770"/>
        <v>3.4180707909686444E-3</v>
      </c>
      <c r="AJ90" s="84">
        <f>IF(AI90&lt;&gt;"",AI90*1000*'Elements and ions'!$B$7,"")</f>
        <v>41.053422849087099</v>
      </c>
      <c r="AK90" s="99">
        <f>'WC samples'!H61</f>
        <v>208.56</v>
      </c>
      <c r="AL90" s="88">
        <f>IF($AK90&lt;&gt;"",$AK90/'Elements and ions'!$G$3*Minerals!$B$6/2,IF($E90="","","Enter Alk(HCO3-)"))</f>
        <v>171.05215432329831</v>
      </c>
      <c r="AM90" s="199"/>
      <c r="AN90" s="101">
        <f t="shared" si="755"/>
        <v>3.3510497950673143E-5</v>
      </c>
      <c r="AO90" s="94">
        <f t="shared" si="756"/>
        <v>3.3510497950672981E-3</v>
      </c>
      <c r="AP90" s="95">
        <f t="shared" si="757"/>
        <v>3.3510497950673143E-5</v>
      </c>
      <c r="AQ90" s="199"/>
      <c r="AR90" s="199"/>
      <c r="AS90" s="83">
        <f t="shared" si="760"/>
        <v>9.8560288090215123E-2</v>
      </c>
      <c r="AT90" s="83">
        <f>IF(AN90&lt;&gt;"",AN90/'Henrys law constants'!$B$7*1000000,"")</f>
        <v>985.60288090215124</v>
      </c>
      <c r="AU90" s="268">
        <f>'WC samples'!K61</f>
        <v>4.0332999999999997</v>
      </c>
      <c r="AV90" s="269">
        <f>'WC samples'!M61</f>
        <v>1.2074</v>
      </c>
      <c r="AW90" s="269">
        <f>'WC samples'!O61</f>
        <v>69.294200000000004</v>
      </c>
      <c r="AX90" s="269">
        <f>'WC samples'!N61</f>
        <v>7.4089</v>
      </c>
      <c r="AY90" s="226">
        <f>AO90*'Elements and ions'!$G$3*1000</f>
        <v>204.47046917765411</v>
      </c>
      <c r="AZ90" s="269">
        <f>'WC samples'!Q61</f>
        <v>7.2424999999999997</v>
      </c>
      <c r="BA90" s="269">
        <f>'WC samples'!T61</f>
        <v>17.954999999999998</v>
      </c>
      <c r="BB90" s="270">
        <f>'WC samples'!V61</f>
        <v>7.7088000000000001</v>
      </c>
      <c r="BC90" s="222">
        <f>IF($E90&lt;&gt;"",10^-$E90*'Elements and ions'!B94*1000,"")</f>
        <v>0</v>
      </c>
      <c r="BE90" s="6"/>
      <c r="BF90" s="6"/>
      <c r="BG90" s="270">
        <f>'WC samples'!L61</f>
        <v>0</v>
      </c>
      <c r="BH90" s="3"/>
      <c r="BJ90" s="92">
        <f>IF($AN90&lt;&gt;"",$AN90*'Elements and ions'!$G$2*1000,"")</f>
        <v>2.0784812630809526</v>
      </c>
      <c r="BK90" s="229"/>
      <c r="BL90" s="230"/>
      <c r="BM90" s="101">
        <f>IF($E90&lt;&gt;"",(10^-14+$E90)*'Elements and ions'!$G$8,"")</f>
        <v>141.1609220000002</v>
      </c>
      <c r="BO90" s="102">
        <f>IF($AP90&lt;&gt;"",$AP90*'Elements and ions'!$G$4*1000,"")</f>
        <v>2.0109281204721494</v>
      </c>
      <c r="BP90" s="269">
        <f>'WC samples'!P61</f>
        <v>0.18090000000000001</v>
      </c>
      <c r="BQ90" s="270">
        <f>'WC samples'!R61</f>
        <v>0</v>
      </c>
      <c r="BR90" s="195"/>
      <c r="BS90" s="238">
        <f>IF($AU90&lt;&gt;"",$AU90/'Elements and ions'!$B$12,"")</f>
        <v>0.17543890723204333</v>
      </c>
      <c r="BT90" s="239">
        <f>IF($AV90&lt;&gt;"",$AV90/'Elements and ions'!$B$20,"")</f>
        <v>3.0881138054595723E-2</v>
      </c>
      <c r="BU90" s="239">
        <f>IF($AW90&lt;&gt;"",$AW90/'Elements and ions'!$B$21, "")</f>
        <v>1.728983482209691</v>
      </c>
      <c r="BV90" s="240">
        <f>IF($AX90&lt;&gt;"",$AX90/'Elements and ions'!$B$13, "")</f>
        <v>0.30483028183501337</v>
      </c>
      <c r="BW90" s="238">
        <f>IF($AY90&lt;&gt;"",$AY90/'Elements and ions'!$G$3,"")</f>
        <v>3.3510497950672984</v>
      </c>
      <c r="BX90" s="239">
        <f>IF($AZ90&lt;&gt;"",$AZ90/'Elements and ions'!$B$18,"")</f>
        <v>0.20428454573660901</v>
      </c>
      <c r="BY90" s="239">
        <f>IF($BA90&lt;&gt;"",$BA90/'Elements and ions'!$G$7,"")</f>
        <v>0.2895738885152625</v>
      </c>
      <c r="BZ90" s="241">
        <f>IF($BB90&lt;&gt;"",$BB90/'Elements and ions'!$G$5,"")</f>
        <v>8.0247671830660422E-2</v>
      </c>
      <c r="CA90" s="91">
        <f t="shared" si="761"/>
        <v>5.0118723362727114E-6</v>
      </c>
      <c r="CB90" s="163" t="str">
        <f>IF($BD90&lt;&gt;"",$BD90/'Elements and ions'!$B$14,"")</f>
        <v/>
      </c>
      <c r="CC90" s="89" t="str">
        <f>IF($BE90&lt;&gt;"",$BE90/'Elements and ions'!$B$27, "")</f>
        <v/>
      </c>
      <c r="CD90" s="249" t="str">
        <f>IF($BF90&lt;&gt;"",$BF90/'Elements and ions'!$B$26,"")</f>
        <v/>
      </c>
      <c r="CE90" s="250">
        <f>IF($BG90&lt;&gt;"",$BG90/'Elements and ions'!$G$6,"")</f>
        <v>0</v>
      </c>
      <c r="CF90" s="91" t="str">
        <f>IF($BH90&lt;&gt;"",$BH90/'Elements and ions'!$G$15,"")</f>
        <v/>
      </c>
      <c r="CG90" s="89" t="str">
        <f>IF($BI90&lt;&gt;"",$BI90/'Elements and ions'!$G$16,"")</f>
        <v/>
      </c>
      <c r="CH90" s="90">
        <f>IF($BJ90&lt;&gt;"",$BJ90/'Elements and ions'!$G$2,"")</f>
        <v>3.3510497950673145E-2</v>
      </c>
      <c r="CI90" s="91" t="str">
        <f>IF($BK90&lt;&gt;"",$BK90/'Elements and ions'!$B$15, "")</f>
        <v/>
      </c>
      <c r="CJ90" s="88" t="str">
        <f>IF($BL90&lt;&gt;"", $BL90/'Elements and ions'!$G$17,"")</f>
        <v/>
      </c>
      <c r="CK90" s="89">
        <f t="shared" si="762"/>
        <v>1.9952623149688815E-3</v>
      </c>
      <c r="CL90" s="163" t="str">
        <f>IF($BN90&lt;&gt;"", $BN90/'Elements and ions'!$G$19,"")</f>
        <v/>
      </c>
      <c r="CM90" s="89">
        <f>IF($BO90&lt;&gt;"",$BO90/'Elements and ions'!$G$4,"")</f>
        <v>3.3510497950673145E-2</v>
      </c>
      <c r="CN90" s="89">
        <f>IF($BP90&lt;&gt;"",$BP90/'Elements and ions'!$B$10,"")</f>
        <v>9.521852868139993E-3</v>
      </c>
      <c r="CO90" s="104">
        <f>IF($BQ90&lt;&gt;"",$BQ90/'Elements and ions'!$G$18,"")</f>
        <v>0</v>
      </c>
      <c r="CP90" s="242"/>
      <c r="CQ90" s="238">
        <f t="shared" si="771"/>
        <v>1.7543890723204332E-4</v>
      </c>
      <c r="CR90" s="239">
        <f t="shared" si="772"/>
        <v>3.0881138054595721E-5</v>
      </c>
      <c r="CS90" s="239">
        <f t="shared" si="773"/>
        <v>1.7289834822096909E-3</v>
      </c>
      <c r="CT90" s="241">
        <f t="shared" si="774"/>
        <v>3.0483028183501336E-4</v>
      </c>
      <c r="CU90" s="238">
        <f t="shared" si="775"/>
        <v>3.3510497950672985E-3</v>
      </c>
      <c r="CV90" s="239">
        <f t="shared" si="776"/>
        <v>2.04284545736609E-4</v>
      </c>
      <c r="CW90" s="239">
        <f t="shared" si="777"/>
        <v>2.895738885152625E-4</v>
      </c>
      <c r="CX90" s="241">
        <f t="shared" si="778"/>
        <v>8.0247671830660419E-5</v>
      </c>
      <c r="CY90" s="258">
        <f t="shared" si="763"/>
        <v>5.0118723362727114E-9</v>
      </c>
      <c r="CZ90" s="259" t="str">
        <f t="shared" si="779"/>
        <v/>
      </c>
      <c r="DA90" s="260" t="str">
        <f t="shared" si="780"/>
        <v/>
      </c>
      <c r="DB90" s="261" t="str">
        <f t="shared" si="781"/>
        <v/>
      </c>
      <c r="DC90" s="262">
        <f t="shared" si="782"/>
        <v>0</v>
      </c>
      <c r="DD90" s="263" t="str">
        <f t="shared" si="783"/>
        <v/>
      </c>
      <c r="DE90" s="259" t="str">
        <f t="shared" si="784"/>
        <v/>
      </c>
      <c r="DF90" s="260">
        <f t="shared" si="785"/>
        <v>3.3510497950673143E-5</v>
      </c>
      <c r="DG90" s="260" t="str">
        <f t="shared" si="786"/>
        <v/>
      </c>
      <c r="DH90" s="264" t="str">
        <f t="shared" si="787"/>
        <v/>
      </c>
      <c r="DI90" s="258">
        <f t="shared" si="764"/>
        <v>1.9952623149688817E-6</v>
      </c>
      <c r="DJ90" s="260" t="str">
        <f t="shared" si="788"/>
        <v/>
      </c>
      <c r="DK90" s="260">
        <f t="shared" si="789"/>
        <v>3.3510497950673143E-5</v>
      </c>
      <c r="DL90" s="260">
        <f t="shared" si="790"/>
        <v>9.5218528681399933E-6</v>
      </c>
      <c r="DM90" s="265">
        <f t="shared" si="791"/>
        <v>0</v>
      </c>
      <c r="DN90" s="242"/>
      <c r="DO90" s="238">
        <f t="shared" si="792"/>
        <v>0.17543890723204333</v>
      </c>
      <c r="DP90" s="239">
        <f t="shared" si="793"/>
        <v>3.0881138054595723E-2</v>
      </c>
      <c r="DQ90" s="239">
        <f t="shared" si="794"/>
        <v>3.457966964419382</v>
      </c>
      <c r="DR90" s="241">
        <f t="shared" si="795"/>
        <v>0.60966056367002674</v>
      </c>
      <c r="DS90" s="238">
        <f t="shared" si="796"/>
        <v>-3.3510497950672984</v>
      </c>
      <c r="DT90" s="239">
        <f t="shared" si="797"/>
        <v>-0.20428454573660901</v>
      </c>
      <c r="DU90" s="239">
        <f t="shared" si="798"/>
        <v>-0.2895738885152625</v>
      </c>
      <c r="DV90" s="241">
        <f t="shared" si="799"/>
        <v>-0.16049534366132084</v>
      </c>
      <c r="DW90" s="91">
        <f t="shared" si="765"/>
        <v>5.0118723362727114E-6</v>
      </c>
      <c r="DX90" s="89">
        <f t="shared" si="800"/>
        <v>0</v>
      </c>
      <c r="DY90" s="89">
        <f t="shared" si="801"/>
        <v>0</v>
      </c>
      <c r="DZ90" s="89">
        <f t="shared" si="802"/>
        <v>0</v>
      </c>
      <c r="EA90" s="90">
        <f t="shared" si="803"/>
        <v>0</v>
      </c>
      <c r="EB90" s="91">
        <f t="shared" si="766"/>
        <v>-1.9952623149688815E-3</v>
      </c>
      <c r="EC90" s="89">
        <f t="shared" si="804"/>
        <v>0</v>
      </c>
      <c r="ED90" s="89">
        <f t="shared" si="805"/>
        <v>-6.7020995901346289E-2</v>
      </c>
      <c r="EE90" s="89">
        <f t="shared" si="806"/>
        <v>-9.521852868139993E-3</v>
      </c>
      <c r="EF90" s="90">
        <f t="shared" si="807"/>
        <v>0</v>
      </c>
      <c r="EG90" s="242"/>
      <c r="EH90" s="245">
        <f t="shared" si="808"/>
        <v>4.2739525852483844</v>
      </c>
      <c r="EI90" s="246">
        <f t="shared" si="809"/>
        <v>-4.0839416840649463</v>
      </c>
      <c r="EJ90" s="198">
        <f t="shared" si="810"/>
        <v>2.2734303050599496</v>
      </c>
      <c r="EK90" s="198">
        <f t="shared" si="811"/>
        <v>1.0486620807238433E-2</v>
      </c>
      <c r="EL90" s="101">
        <f>IF(AND(CS90&lt;&gt;"",DK90&lt;&gt;""),LOG(CS90*DK90/Minerals!$C$6),"")</f>
        <v>1.243143731799691</v>
      </c>
      <c r="EM90" s="94">
        <f>IF(AND(CS90&lt;&gt;"",DK90&lt;&gt;""),LOG(CS90*DK90/Minerals!$C$5),"")</f>
        <v>1.1126642024434732</v>
      </c>
      <c r="EN90" s="94">
        <f>IF(AND(CS90&lt;&gt;"",DL90&lt;&gt;""),LOG(CS90*DL90^2/Minerals!$C$2),"")</f>
        <v>-2.2348412783503977</v>
      </c>
      <c r="EO90" s="94">
        <f>IF(AND(CS90&lt;&gt;"",CX90&lt;&gt;""),LOG($CS90*$CX90/Minerals!$C$3),"")</f>
        <v>-2.2577963494114277</v>
      </c>
      <c r="EP90" s="95">
        <f>IF(AND(CS90&lt;&gt;"",CX90&lt;&gt;""),LOG($CS90*$CX90/Minerals!$C$4),"")</f>
        <v>-2.49778086087733</v>
      </c>
      <c r="EQ90" s="199"/>
      <c r="ER90" s="101">
        <f t="shared" si="834"/>
        <v>0.89857462194222482</v>
      </c>
      <c r="ES90" s="94">
        <f t="shared" si="834"/>
        <v>0.89857462194222482</v>
      </c>
      <c r="ET90" s="94">
        <f t="shared" si="835"/>
        <v>0.65195346123692888</v>
      </c>
      <c r="EU90" s="94">
        <f t="shared" si="835"/>
        <v>0.65195346123692888</v>
      </c>
      <c r="EV90" s="95">
        <f t="shared" si="835"/>
        <v>0.65195346123692888</v>
      </c>
      <c r="EW90" s="101">
        <f t="shared" si="836"/>
        <v>0.89857462194222482</v>
      </c>
      <c r="EX90" s="94">
        <f t="shared" si="758"/>
        <v>0.65195346123692888</v>
      </c>
      <c r="EY90" s="94">
        <f t="shared" si="836"/>
        <v>0.89857462194222482</v>
      </c>
      <c r="EZ90" s="94">
        <f t="shared" si="836"/>
        <v>0.89857462194222482</v>
      </c>
      <c r="FA90" s="94">
        <f t="shared" si="836"/>
        <v>0.89857462194222482</v>
      </c>
      <c r="FB90" s="95">
        <f t="shared" si="759"/>
        <v>0.65195346123692888</v>
      </c>
      <c r="FC90" s="199"/>
      <c r="FD90" s="101">
        <f t="shared" si="812"/>
        <v>1.5764494973999037E-4</v>
      </c>
      <c r="FE90" s="94">
        <f t="shared" si="813"/>
        <v>2.7749006952554002E-5</v>
      </c>
      <c r="FF90" s="94">
        <f t="shared" si="814"/>
        <v>1.1272167656480861E-3</v>
      </c>
      <c r="FG90" s="94">
        <f t="shared" si="815"/>
        <v>1.9873515733216548E-4</v>
      </c>
      <c r="FH90" s="95" t="str">
        <f t="shared" si="816"/>
        <v/>
      </c>
      <c r="FI90" s="101">
        <f t="shared" si="817"/>
        <v>3.0111683027121677E-3</v>
      </c>
      <c r="FJ90" s="94">
        <f t="shared" si="818"/>
        <v>2.1847285126714366E-5</v>
      </c>
      <c r="FK90" s="94">
        <f t="shared" si="819"/>
        <v>1.8356490845391257E-4</v>
      </c>
      <c r="FL90" s="94">
        <f t="shared" si="820"/>
        <v>2.6020374739694195E-4</v>
      </c>
      <c r="FM90" s="94">
        <f t="shared" si="821"/>
        <v>8.5560953411783835E-6</v>
      </c>
      <c r="FN90" s="95">
        <f t="shared" si="822"/>
        <v>5.2317747406204256E-5</v>
      </c>
      <c r="FO90" s="199"/>
      <c r="FP90" s="101">
        <f>IF(EL90&lt;&gt;"",LOG(FF90*FJ90/Minerals!$C$6),"")</f>
        <v>0.87157692249860885</v>
      </c>
      <c r="FQ90" s="94">
        <f>IF(EL90&lt;&gt;"",LOG(FF90*FJ90/Minerals!$C$5),"")</f>
        <v>0.7410973931423912</v>
      </c>
      <c r="FR90" s="94">
        <f>IF(EN90&lt;&gt;"",LOG(FF90*FM90^2/Minerals!$C$2),"")</f>
        <v>-2.5135163853262092</v>
      </c>
      <c r="FS90" s="94">
        <f>IF(EO90&lt;&gt;"",LOG($FF90*$FN90/Minerals!$C$3),"")</f>
        <v>-2.6293631587125099</v>
      </c>
      <c r="FT90" s="95">
        <f>IF(EP90&lt;&gt;"",LOG($FF90*$FN90/Minerals!$C$4),"")</f>
        <v>-2.8693476701784122</v>
      </c>
      <c r="FU90" s="96"/>
      <c r="FV90" s="101">
        <f>IF(FP90&lt;&gt;"",LOG(FF90*FJ90/(EXP(-1*Minerals!$E$6/'Other Constants'!$B$2*(1/(273.15+'ppm-mgL-1'!$D90)-1/298.15)+LN(Minerals!$C$6)))),"")</f>
        <v>-0.50966411089289854</v>
      </c>
      <c r="FW90" s="94">
        <f>IF(FP90&lt;&gt;"",LOG(FF90*FJ90/(EXP(-1*Minerals!$E$5/'Other Constants'!$B$2*(1/(273.15+'ppm-mgL-1'!$D90)-1/298.15)+LN(Minerals!$C$5)))),"")</f>
        <v>-0.64026850858581208</v>
      </c>
      <c r="FX90" s="94">
        <f>IF(FR90&lt;&gt;"",LOG(FF90*FM90^2/(EXP(-1*Minerals!$E$2/'Other Constants'!$B$2*(1/(273.15+'ppm-mgL-1'!$D90)-1/298.15)+LN(Minerals!$C$2)))),"")</f>
        <v>-2.4551196265315518</v>
      </c>
      <c r="FY90" s="94">
        <f>IF(FS90&lt;&gt;"",LOG($FF90*$FN90/(EXP(-1*Minerals!$E$3/'Other Constants'!$B$2*(1/(273.15+'ppm-mgL-1'!$D90)-1/298.15)+LN(Minerals!$C$3)))),"")</f>
        <v>-1.4386852964291941</v>
      </c>
      <c r="FZ90" s="95">
        <f>IF(FT90&lt;&gt;"",LOG($FF90*$FN90/(EXP(-1*Minerals!$E$4/'Other Constants'!$B$2*(1/(273.15+'ppm-mgL-1'!$D90)-1/298.15)+LN(Minerals!$C$4)))),"")</f>
        <v>-2.9034575374857692</v>
      </c>
      <c r="GA90" s="96"/>
      <c r="GB90" s="96"/>
      <c r="GC90" s="101">
        <f>10^(-1825000*(79.755*EXP(-0.0046*($D90-20))*($D90+273.15))^-1.5*$EK90^0.5/(1+'Elements and ions'!$D$12*$EK90^0.5/(2*(79.755*EXP(-0.0046*($D90-20))*($D90+273.15))^0.5)))</f>
        <v>0.89903954104333916</v>
      </c>
      <c r="GD90" s="94">
        <f>10^(-1825000*(79.755*EXP(-0.0046*($D90-20))*($D90+273.15))^-1.5*$EK90^0.5/(1+'Elements and ions'!$D$20*$EK90^0.5/(2*(79.755*EXP(-0.0046*($D90-20))*($D90+273.15))^0.5)))</f>
        <v>0.89613031869561788</v>
      </c>
      <c r="GE90" s="94">
        <f>10^(-1825000*(79.755*EXP(-0.0046*($D90-20))*($D90+273.15))^-1.5*4*$EK90^0.5/(1+'Elements and ions'!$D$21*$EK90^0.5/(2*(79.755*EXP(-0.0046*($D90-20))*($D90+273.15))^0.5)))</f>
        <v>0.66901129342222909</v>
      </c>
      <c r="GF90" s="94">
        <f>10^(-1825000*(79.755*EXP(-0.0046*($D90-20))*($D90+273.15))^-1.5*4*$EK90^0.5/(1+'Elements and ions'!$D$13*$EK90^0.5/(2*(79.755*EXP(-0.0046*($D90-20))*($D90+273.15))^0.5)))</f>
        <v>0.68337784436343241</v>
      </c>
      <c r="GG90" s="95">
        <f>10^(-1825000*(79.755*EXP(-0.0046*($D90-20))*($D90+273.15))^-1.5*4*$EK90^0.5/(1+'Elements and ions'!$D$27*$EK90^0.5/(2*(79.755*EXP(-0.0046*($D90-20))*($D90+273.15))^0.5)))</f>
        <v>0.66901129342222909</v>
      </c>
      <c r="GH90" s="101">
        <f>10^(-1825000*(79.755*EXP(-0.0046*($D90-20))*($D90+273.15))^-1.5*$EK90^0.5/(1+'Elements and ions'!$G$3*$EK90^0.5/(2*(79.755*EXP(-0.0046*($D90-20))*($D90+273.15))^0.5)))</f>
        <v>0.88844931225226531</v>
      </c>
      <c r="GI90" s="94">
        <f>10^(-1825000*(79.755*EXP(-0.0046*($D90-20))*($D90+273.15))^-1.5*4*$EK90^0.5/(1+'Elements and ions'!$G$4*$EK90^0.5/(2*(79.755*EXP(-0.0046*($D90-20))*($D90+273.15))^0.5)))</f>
        <v>0.62296346657802415</v>
      </c>
      <c r="GJ90" s="94">
        <f>10^(-1825000*(79.755*EXP(-0.0046*($D90-20))*($D90+273.15))^-1.5*$EK90^0.5/(1+'Elements and ions'!$D$18*$EK90^0.5/(2*(79.755*EXP(-0.0046*($D90-20))*($D90+273.15))^0.5)))</f>
        <v>0.89613031869561788</v>
      </c>
      <c r="GK90" s="94">
        <f>10^(-1825000*(79.755*EXP(-0.0046*($D90-20))*($D90+273.15))^-1.5*$EK90^0.5/(1+'Elements and ions'!$I$7*$EK90^0.5/(2*(79.755*EXP(-0.0046*($D90-20))*($D90+273.15))^0.5)))</f>
        <v>0.89613031869561788</v>
      </c>
      <c r="GL90" s="94">
        <f>10^(-1825000*(79.755*EXP(-0.0046*($D90-20))*($D90+273.15))^-1.5*$EK90^0.5/(1+'Elements and ions'!$D$10*$EK90^0.5/(2*(79.755*EXP(-0.0046*($D90-20))*($D90+273.15))^0.5)))</f>
        <v>0.89760556864075591</v>
      </c>
      <c r="GM90" s="95">
        <f>10^(-1825000*(79.755*EXP(-0.0046*($D90-20))*($D90+273.15))^-1.5*4*$EK90^0.5/(1+'Elements and ions'!$I$5*$EK90^0.5/(2*(79.755*EXP(-0.0046*($D90-20))*($D90+273.15))^0.5)))</f>
        <v>0.65330378175324844</v>
      </c>
      <c r="GN90" s="96"/>
      <c r="GO90" s="101">
        <f t="shared" si="823"/>
        <v>1.5772651463904119E-4</v>
      </c>
      <c r="GP90" s="94">
        <f t="shared" si="824"/>
        <v>2.7673524086548235E-5</v>
      </c>
      <c r="GQ90" s="94">
        <f t="shared" si="825"/>
        <v>1.1567094757387749E-3</v>
      </c>
      <c r="GR90" s="94">
        <f t="shared" si="826"/>
        <v>2.0831426089710898E-4</v>
      </c>
      <c r="GS90" s="95" t="str">
        <f t="shared" si="827"/>
        <v/>
      </c>
      <c r="GT90" s="101">
        <f t="shared" si="828"/>
        <v>2.9772378857506358E-3</v>
      </c>
      <c r="GU90" s="94">
        <f t="shared" si="829"/>
        <v>2.0875815970107114E-5</v>
      </c>
      <c r="GV90" s="94">
        <f t="shared" si="830"/>
        <v>1.8306557507553696E-4</v>
      </c>
      <c r="GW90" s="94">
        <f t="shared" si="831"/>
        <v>2.594959410011115E-4</v>
      </c>
      <c r="GX90" s="94">
        <f t="shared" si="832"/>
        <v>8.5468681582204117E-6</v>
      </c>
      <c r="GY90" s="102">
        <f t="shared" si="833"/>
        <v>5.2426107483864076E-5</v>
      </c>
      <c r="GZ90" s="199"/>
      <c r="HA90" s="92">
        <f>IF(AND(GQ90&lt;&gt;"",GU90&lt;&gt;""),LOG(GQ90*GU90/Minerals!$C$6),"")</f>
        <v>0.86303975924700549</v>
      </c>
      <c r="HB90" s="94">
        <f>IF(AND(GQ90&lt;&gt;"",GU90&lt;&gt;""),LOG(GQ90*GU90/Minerals!$C$5),"")</f>
        <v>0.73256022989078784</v>
      </c>
      <c r="HC90" s="94">
        <f>IF(AND(GQ90&lt;&gt;"",GX90&lt;&gt;""),LOG(GQ90*GX90^2/Minerals!$C$2),"")</f>
        <v>-2.5032367528317385</v>
      </c>
      <c r="HD90" s="94">
        <f>IF(AND(GQ90&lt;&gt;"",GY90&lt;&gt;""),LOG($GQ90*$GY90/Minerals!$C$3),"")</f>
        <v>-2.6172477281787265</v>
      </c>
      <c r="HE90" s="102">
        <f>IF(AND(GQ90&lt;&gt;"",GY90&lt;&gt;""),LOG($GQ90*$GY90/Minerals!$C$3),"")</f>
        <v>-2.6172477281787265</v>
      </c>
      <c r="HF90" s="199"/>
      <c r="HG90" s="92">
        <f>IF(HA90&lt;&gt;"",LOG(GQ90*GU90/(EXP(-1*Minerals!$E$6/'Other Constants'!$B$2*(1/(273.15+'ppm-mgL-1'!$D90)-1/298.15)+LN(Minerals!$C$6)))),"")</f>
        <v>-0.51820127414450201</v>
      </c>
      <c r="HH90" s="94">
        <f>IF(HA90&lt;&gt;"",LOG(GQ90*GU90/(EXP(-1*Minerals!$E$5/'Other Constants'!$B$2*(1/(273.15+'ppm-mgL-1'!$D90)-1/298.15)+LN(Minerals!$C$5)))),"")</f>
        <v>-0.64880567183741555</v>
      </c>
      <c r="HI90" s="94">
        <f>IF(HC90&lt;&gt;"",LOG(GQ90*GX90^2/(EXP(-1*Minerals!$E$2/'Other Constants'!$B$2*(1/(273.15+'ppm-mgL-1'!$D90)-1/298.15)+LN(Minerals!$C$2)))),"")</f>
        <v>-2.4448399940370811</v>
      </c>
      <c r="HJ90" s="94">
        <f>IF(HD90&lt;&gt;"",LOG($FF90*$FN90/(EXP(-1*Minerals!$E$3/'Other Constants'!$B$2*(1/(273.15+'ppm-mgL-1'!$D90)-1/298.15)+LN(Minerals!$C$3)))),"")</f>
        <v>-1.4386852964291941</v>
      </c>
      <c r="HK90" s="95">
        <f>IF(HE90&lt;&gt;"",LOG($FF90*$FN90/(EXP(-1*Minerals!$E$4/'Other Constants'!$B$2*(1/(273.15+'ppm-mgL-1'!$D90)-1/298.15)+LN(Minerals!$C$4)))),"")</f>
        <v>-2.9034575374857692</v>
      </c>
      <c r="HL90" s="199"/>
      <c r="HM90" s="199"/>
    </row>
    <row r="91" spans="1:221" x14ac:dyDescent="0.25">
      <c r="A91" s="267" t="str">
        <f>'WC samples'!B62</f>
        <v>ISSR 8</v>
      </c>
      <c r="C91" s="266">
        <f>'WC samples'!A62</f>
        <v>41448</v>
      </c>
      <c r="D91" s="4">
        <f>'WC samples'!I62</f>
        <v>21.4</v>
      </c>
      <c r="E91" s="4">
        <f>'WC samples'!F62</f>
        <v>8.11</v>
      </c>
      <c r="AD91" s="83">
        <f>IF(E91&lt;&gt;"",10^(-2*$E91)/(10^(-2*$E91)+10^(-$E91-pKa!$B$2)+(10^(-pKa!$B$2-pKa!$C$2))),"")</f>
        <v>1.5155581374034766E-2</v>
      </c>
      <c r="AE91" s="84">
        <f>IF(E91&lt;&gt;"",10^(-$E91-pKa!$B$2)/(10^(-2*$E91)+10^(-$E91-pKa!$B$2)+10^(-pKa!$B$2-pKa!$C$2)),"")</f>
        <v>0.97852652076243707</v>
      </c>
      <c r="AF91" s="212">
        <f>IF(E91&lt;&gt;"",10^(-pKa!$B$2-pKa!$C$2)/(10^(-2*$E91)+10^(-$E91-pKa!$B$2)+10^(-pKa!$B$2-pKa!$C$2)),"")</f>
        <v>6.3178978635283489E-3</v>
      </c>
      <c r="AG91" s="152"/>
      <c r="AH91" s="222">
        <f>IF($AK91&lt;&gt;"",$AK91/'Elements and ions'!$G$3,IF($E91="","",""))</f>
        <v>4.7429529290602401</v>
      </c>
      <c r="AI91" s="85">
        <f t="shared" si="770"/>
        <v>4.7852421038077622E-3</v>
      </c>
      <c r="AJ91" s="84">
        <f>IF(AI91&lt;&gt;"",AI91*1000*'Elements and ions'!$B$7,"")</f>
        <v>57.474107336203893</v>
      </c>
      <c r="AK91" s="99">
        <f>'WC samples'!H62</f>
        <v>289.39999999999998</v>
      </c>
      <c r="AL91" s="88">
        <f>IF($AK91&lt;&gt;"",$AK91/'Elements and ions'!$G$3*Minerals!$B$6/2,IF($E91="","","Enter Alk(HCO3-)"))</f>
        <v>237.35372775777967</v>
      </c>
      <c r="AM91" s="199"/>
      <c r="AN91" s="101">
        <f t="shared" si="755"/>
        <v>7.2523126098715857E-5</v>
      </c>
      <c r="AO91" s="94">
        <f t="shared" si="756"/>
        <v>4.6824863068449345E-3</v>
      </c>
      <c r="AP91" s="95">
        <f t="shared" si="757"/>
        <v>3.0232670864112961E-5</v>
      </c>
      <c r="AQ91" s="199"/>
      <c r="AR91" s="199"/>
      <c r="AS91" s="83">
        <f t="shared" si="760"/>
        <v>0.21330331205504663</v>
      </c>
      <c r="AT91" s="83">
        <f>IF(AN91&lt;&gt;"",AN91/'Henrys law constants'!$B$7*1000000,"")</f>
        <v>2133.0331205504663</v>
      </c>
      <c r="AU91" s="268">
        <f>'WC samples'!K62</f>
        <v>4.5785999999999998</v>
      </c>
      <c r="AV91" s="269">
        <f>'WC samples'!M62</f>
        <v>1.0403</v>
      </c>
      <c r="AW91" s="269">
        <f>'WC samples'!O62</f>
        <v>69.505200000000002</v>
      </c>
      <c r="AX91" s="269">
        <f>'WC samples'!N62</f>
        <v>7.1577000000000002</v>
      </c>
      <c r="AY91" s="226">
        <f>AO91*'Elements and ions'!$G$3*1000</f>
        <v>285.71051778694823</v>
      </c>
      <c r="AZ91" s="269">
        <f>'WC samples'!Q62</f>
        <v>7.1868999999999996</v>
      </c>
      <c r="BA91" s="269">
        <f>'WC samples'!T62</f>
        <v>15.524900000000001</v>
      </c>
      <c r="BB91" s="270">
        <f>'WC samples'!V62</f>
        <v>9.4696999999999996</v>
      </c>
      <c r="BC91" s="222">
        <f>IF($E91&lt;&gt;"",10^-$E91*'Elements and ions'!B95*1000,"")</f>
        <v>0</v>
      </c>
      <c r="BE91" s="6"/>
      <c r="BF91" s="6"/>
      <c r="BG91" s="270">
        <f>'WC samples'!L62</f>
        <v>0</v>
      </c>
      <c r="BH91" s="3"/>
      <c r="BJ91" s="92">
        <f>IF($AN91&lt;&gt;"",$AN91*'Elements and ions'!$G$2*1000,"")</f>
        <v>4.4982309411851089</v>
      </c>
      <c r="BK91" s="229"/>
      <c r="BL91" s="230"/>
      <c r="BM91" s="101">
        <f>IF($E91&lt;&gt;"",(10^-14+$E91)*'Elements and ions'!$G$8,"")</f>
        <v>137.92952740000015</v>
      </c>
      <c r="BO91" s="102">
        <f>IF($AP91&lt;&gt;"",$AP91*'Elements and ions'!$G$4*1000,"")</f>
        <v>1.8142293226174682</v>
      </c>
      <c r="BP91" s="269">
        <f>'WC samples'!P62</f>
        <v>0.1525</v>
      </c>
      <c r="BQ91" s="270">
        <f>'WC samples'!R62</f>
        <v>0</v>
      </c>
      <c r="BR91" s="195"/>
      <c r="BS91" s="238">
        <f>IF($AU91&lt;&gt;"",$AU91/'Elements and ions'!$B$12,"")</f>
        <v>0.1991581535349797</v>
      </c>
      <c r="BT91" s="239">
        <f>IF($AV91&lt;&gt;"",$AV91/'Elements and ions'!$B$20,"")</f>
        <v>2.6607294946327589E-2</v>
      </c>
      <c r="BU91" s="239">
        <f>IF($AW91&lt;&gt;"",$AW91/'Elements and ions'!$B$21, "")</f>
        <v>1.7342482159788413</v>
      </c>
      <c r="BV91" s="240">
        <f>IF($AX91&lt;&gt;"",$AX91/'Elements and ions'!$B$13, "")</f>
        <v>0.2944949598847974</v>
      </c>
      <c r="BW91" s="238">
        <f>IF($AY91&lt;&gt;"",$AY91/'Elements and ions'!$G$3,"")</f>
        <v>4.6824863068449343</v>
      </c>
      <c r="BX91" s="239">
        <f>IF($AZ91&lt;&gt;"",$AZ91/'Elements and ions'!$B$18,"")</f>
        <v>0.20271627224776462</v>
      </c>
      <c r="BY91" s="239">
        <f>IF($BA91&lt;&gt;"",$BA91/'Elements and ions'!$G$7,"")</f>
        <v>0.25038182466224446</v>
      </c>
      <c r="BZ91" s="241">
        <f>IF($BB91&lt;&gt;"",$BB91/'Elements and ions'!$G$5,"")</f>
        <v>9.8578426984070794E-2</v>
      </c>
      <c r="CA91" s="91">
        <f t="shared" si="761"/>
        <v>7.7624711662869125E-6</v>
      </c>
      <c r="CB91" s="163" t="str">
        <f>IF($BD91&lt;&gt;"",$BD91/'Elements and ions'!$B$14,"")</f>
        <v/>
      </c>
      <c r="CC91" s="89" t="str">
        <f>IF($BE91&lt;&gt;"",$BE91/'Elements and ions'!$B$27, "")</f>
        <v/>
      </c>
      <c r="CD91" s="249" t="str">
        <f>IF($BF91&lt;&gt;"",$BF91/'Elements and ions'!$B$26,"")</f>
        <v/>
      </c>
      <c r="CE91" s="250">
        <f>IF($BG91&lt;&gt;"",$BG91/'Elements and ions'!$G$6,"")</f>
        <v>0</v>
      </c>
      <c r="CF91" s="91" t="str">
        <f>IF($BH91&lt;&gt;"",$BH91/'Elements and ions'!$G$15,"")</f>
        <v/>
      </c>
      <c r="CG91" s="89" t="str">
        <f>IF($BI91&lt;&gt;"",$BI91/'Elements and ions'!$G$16,"")</f>
        <v/>
      </c>
      <c r="CH91" s="90">
        <f>IF($BJ91&lt;&gt;"",$BJ91/'Elements and ions'!$G$2,"")</f>
        <v>7.2523126098715862E-2</v>
      </c>
      <c r="CI91" s="91" t="str">
        <f>IF($BK91&lt;&gt;"",$BK91/'Elements and ions'!$B$15, "")</f>
        <v/>
      </c>
      <c r="CJ91" s="88" t="str">
        <f>IF($BL91&lt;&gt;"", $BL91/'Elements and ions'!$G$17,"")</f>
        <v/>
      </c>
      <c r="CK91" s="89">
        <f t="shared" si="762"/>
        <v>1.2882495516931308E-3</v>
      </c>
      <c r="CL91" s="163" t="str">
        <f>IF($BN91&lt;&gt;"", $BN91/'Elements and ions'!$G$19,"")</f>
        <v/>
      </c>
      <c r="CM91" s="89">
        <f>IF($BO91&lt;&gt;"",$BO91/'Elements and ions'!$G$4,"")</f>
        <v>3.0232670864112961E-2</v>
      </c>
      <c r="CN91" s="89">
        <f>IF($BP91&lt;&gt;"",$BP91/'Elements and ions'!$B$10,"")</f>
        <v>8.0269903946453783E-3</v>
      </c>
      <c r="CO91" s="104">
        <f>IF($BQ91&lt;&gt;"",$BQ91/'Elements and ions'!$G$18,"")</f>
        <v>0</v>
      </c>
      <c r="CP91" s="242"/>
      <c r="CQ91" s="238">
        <f t="shared" si="771"/>
        <v>1.9915815353497971E-4</v>
      </c>
      <c r="CR91" s="239">
        <f t="shared" si="772"/>
        <v>2.6607294946327589E-5</v>
      </c>
      <c r="CS91" s="239">
        <f t="shared" si="773"/>
        <v>1.7342482159788412E-3</v>
      </c>
      <c r="CT91" s="241">
        <f t="shared" si="774"/>
        <v>2.9449495988479742E-4</v>
      </c>
      <c r="CU91" s="238">
        <f t="shared" si="775"/>
        <v>4.6824863068449345E-3</v>
      </c>
      <c r="CV91" s="239">
        <f t="shared" si="776"/>
        <v>2.0271627224776462E-4</v>
      </c>
      <c r="CW91" s="239">
        <f t="shared" si="777"/>
        <v>2.5038182466224446E-4</v>
      </c>
      <c r="CX91" s="241">
        <f t="shared" si="778"/>
        <v>9.8578426984070799E-5</v>
      </c>
      <c r="CY91" s="258">
        <f t="shared" si="763"/>
        <v>7.7624711662869124E-9</v>
      </c>
      <c r="CZ91" s="259" t="str">
        <f t="shared" si="779"/>
        <v/>
      </c>
      <c r="DA91" s="260" t="str">
        <f t="shared" si="780"/>
        <v/>
      </c>
      <c r="DB91" s="261" t="str">
        <f t="shared" si="781"/>
        <v/>
      </c>
      <c r="DC91" s="262">
        <f t="shared" si="782"/>
        <v>0</v>
      </c>
      <c r="DD91" s="263" t="str">
        <f t="shared" si="783"/>
        <v/>
      </c>
      <c r="DE91" s="259" t="str">
        <f t="shared" si="784"/>
        <v/>
      </c>
      <c r="DF91" s="260">
        <f t="shared" si="785"/>
        <v>7.2523126098715857E-5</v>
      </c>
      <c r="DG91" s="260" t="str">
        <f t="shared" si="786"/>
        <v/>
      </c>
      <c r="DH91" s="264" t="str">
        <f t="shared" si="787"/>
        <v/>
      </c>
      <c r="DI91" s="258">
        <f t="shared" si="764"/>
        <v>1.2882495516931309E-6</v>
      </c>
      <c r="DJ91" s="260" t="str">
        <f t="shared" si="788"/>
        <v/>
      </c>
      <c r="DK91" s="260">
        <f t="shared" si="789"/>
        <v>3.0232670864112961E-5</v>
      </c>
      <c r="DL91" s="260">
        <f t="shared" si="790"/>
        <v>8.0269903946453782E-6</v>
      </c>
      <c r="DM91" s="265">
        <f t="shared" si="791"/>
        <v>0</v>
      </c>
      <c r="DN91" s="242"/>
      <c r="DO91" s="238">
        <f t="shared" si="792"/>
        <v>0.1991581535349797</v>
      </c>
      <c r="DP91" s="239">
        <f t="shared" si="793"/>
        <v>2.6607294946327589E-2</v>
      </c>
      <c r="DQ91" s="239">
        <f t="shared" si="794"/>
        <v>3.4684964319576825</v>
      </c>
      <c r="DR91" s="241">
        <f t="shared" si="795"/>
        <v>0.58898991976959481</v>
      </c>
      <c r="DS91" s="238">
        <f t="shared" si="796"/>
        <v>-4.6824863068449343</v>
      </c>
      <c r="DT91" s="239">
        <f t="shared" si="797"/>
        <v>-0.20271627224776462</v>
      </c>
      <c r="DU91" s="239">
        <f t="shared" si="798"/>
        <v>-0.25038182466224446</v>
      </c>
      <c r="DV91" s="241">
        <f t="shared" si="799"/>
        <v>-0.19715685396814159</v>
      </c>
      <c r="DW91" s="91">
        <f t="shared" si="765"/>
        <v>7.7624711662869125E-6</v>
      </c>
      <c r="DX91" s="89">
        <f t="shared" si="800"/>
        <v>0</v>
      </c>
      <c r="DY91" s="89">
        <f t="shared" si="801"/>
        <v>0</v>
      </c>
      <c r="DZ91" s="89">
        <f t="shared" si="802"/>
        <v>0</v>
      </c>
      <c r="EA91" s="90">
        <f t="shared" si="803"/>
        <v>0</v>
      </c>
      <c r="EB91" s="91">
        <f t="shared" si="766"/>
        <v>-1.2882495516931308E-3</v>
      </c>
      <c r="EC91" s="89">
        <f t="shared" si="804"/>
        <v>0</v>
      </c>
      <c r="ED91" s="89">
        <f t="shared" si="805"/>
        <v>-6.0465341728225923E-2</v>
      </c>
      <c r="EE91" s="89">
        <f t="shared" si="806"/>
        <v>-8.0269903946453783E-3</v>
      </c>
      <c r="EF91" s="90">
        <f t="shared" si="807"/>
        <v>0</v>
      </c>
      <c r="EG91" s="242"/>
      <c r="EH91" s="245">
        <f t="shared" si="808"/>
        <v>4.2832595626797509</v>
      </c>
      <c r="EI91" s="246">
        <f t="shared" si="809"/>
        <v>-5.4025218393976484</v>
      </c>
      <c r="EJ91" s="198">
        <f t="shared" si="810"/>
        <v>-11.555725142401405</v>
      </c>
      <c r="EK91" s="198">
        <f t="shared" si="811"/>
        <v>1.1193974832706285E-2</v>
      </c>
      <c r="EL91" s="101">
        <f>IF(AND(CS91&lt;&gt;"",DK91&lt;&gt;""),LOG(CS91*DK91/Minerals!$C$6),"")</f>
        <v>1.1997597786642478</v>
      </c>
      <c r="EM91" s="94">
        <f>IF(AND(CS91&lt;&gt;"",DK91&lt;&gt;""),LOG(CS91*DK91/Minerals!$C$5),"")</f>
        <v>1.06928024930803</v>
      </c>
      <c r="EN91" s="94">
        <f>IF(AND(CS91&lt;&gt;"",DL91&lt;&gt;""),LOG(CS91*DL91^2/Minerals!$C$2),"")</f>
        <v>-2.3818583125661732</v>
      </c>
      <c r="EO91" s="94">
        <f>IF(AND(CS91&lt;&gt;"",CX91&lt;&gt;""),LOG($CS91*$CX91/Minerals!$C$3),"")</f>
        <v>-2.1671264948150157</v>
      </c>
      <c r="EP91" s="95">
        <f>IF(AND(CS91&lt;&gt;"",CX91&lt;&gt;""),LOG($CS91*$CX91/Minerals!$C$4),"")</f>
        <v>-2.4071110062809185</v>
      </c>
      <c r="EQ91" s="199"/>
      <c r="ER91" s="101">
        <f t="shared" si="834"/>
        <v>0.89569610185392967</v>
      </c>
      <c r="ES91" s="94">
        <f t="shared" si="834"/>
        <v>0.89569610185392967</v>
      </c>
      <c r="ET91" s="94">
        <f t="shared" si="835"/>
        <v>0.64363957074560973</v>
      </c>
      <c r="EU91" s="94">
        <f t="shared" si="835"/>
        <v>0.64363957074560973</v>
      </c>
      <c r="EV91" s="95">
        <f t="shared" si="835"/>
        <v>0.64363957074560973</v>
      </c>
      <c r="EW91" s="101">
        <f t="shared" si="836"/>
        <v>0.89569610185392967</v>
      </c>
      <c r="EX91" s="94">
        <f t="shared" si="758"/>
        <v>0.64363957074560973</v>
      </c>
      <c r="EY91" s="94">
        <f t="shared" si="836"/>
        <v>0.89569610185392967</v>
      </c>
      <c r="EZ91" s="94">
        <f t="shared" si="836"/>
        <v>0.89569610185392967</v>
      </c>
      <c r="FA91" s="94">
        <f t="shared" si="836"/>
        <v>0.89569610185392967</v>
      </c>
      <c r="FB91" s="95">
        <f t="shared" si="759"/>
        <v>0.64363957074560973</v>
      </c>
      <c r="FC91" s="199"/>
      <c r="FD91" s="101">
        <f t="shared" si="812"/>
        <v>1.7838518177370775E-4</v>
      </c>
      <c r="FE91" s="94">
        <f t="shared" si="813"/>
        <v>2.3832050364303383E-5</v>
      </c>
      <c r="FF91" s="94">
        <f t="shared" si="814"/>
        <v>1.1162307772989608E-3</v>
      </c>
      <c r="FG91" s="94">
        <f t="shared" si="815"/>
        <v>1.8954860956699656E-4</v>
      </c>
      <c r="FH91" s="95" t="str">
        <f t="shared" si="816"/>
        <v/>
      </c>
      <c r="FI91" s="101">
        <f t="shared" si="817"/>
        <v>4.1940847320254115E-3</v>
      </c>
      <c r="FJ91" s="94">
        <f t="shared" si="818"/>
        <v>1.945894329747097E-5</v>
      </c>
      <c r="FK91" s="94">
        <f t="shared" si="819"/>
        <v>1.8157217483468272E-4</v>
      </c>
      <c r="FL91" s="94">
        <f t="shared" si="820"/>
        <v>2.2426602432504646E-4</v>
      </c>
      <c r="FM91" s="94">
        <f t="shared" si="821"/>
        <v>7.1897440061028016E-6</v>
      </c>
      <c r="FN91" s="95">
        <f t="shared" si="822"/>
        <v>6.3448976428804761E-5</v>
      </c>
      <c r="FO91" s="199"/>
      <c r="FP91" s="101">
        <f>IF(EL91&lt;&gt;"",LOG(FF91*FJ91/Minerals!$C$6),"")</f>
        <v>0.81704525171890696</v>
      </c>
      <c r="FQ91" s="94">
        <f>IF(EL91&lt;&gt;"",LOG(FF91*FJ91/Minerals!$C$5),"")</f>
        <v>0.6865657223626892</v>
      </c>
      <c r="FR91" s="94">
        <f>IF(EN91&lt;&gt;"",LOG(FF91*FM91^2/Minerals!$C$2),"")</f>
        <v>-2.6688942077751792</v>
      </c>
      <c r="FS91" s="94">
        <f>IF(EO91&lt;&gt;"",LOG($FF91*$FN91/Minerals!$C$3),"")</f>
        <v>-2.5498410217603569</v>
      </c>
      <c r="FT91" s="95">
        <f>IF(EP91&lt;&gt;"",LOG($FF91*$FN91/Minerals!$C$4),"")</f>
        <v>-2.7898255332262591</v>
      </c>
      <c r="FU91" s="96"/>
      <c r="FV91" s="101">
        <f>IF(FP91&lt;&gt;"",LOG(FF91*FJ91/(EXP(-1*Minerals!$E$6/'Other Constants'!$B$2*(1/(273.15+'ppm-mgL-1'!$D91)-1/298.15)+LN(Minerals!$C$6)))),"")</f>
        <v>-0.60414214189335458</v>
      </c>
      <c r="FW91" s="94">
        <f>IF(FP91&lt;&gt;"",LOG(FF91*FJ91/(EXP(-1*Minerals!$E$5/'Other Constants'!$B$2*(1/(273.15+'ppm-mgL-1'!$D91)-1/298.15)+LN(Minerals!$C$5)))),"")</f>
        <v>-0.73475015085717388</v>
      </c>
      <c r="FX91" s="94">
        <f>IF(FR91&lt;&gt;"",LOG(FF91*FM91^2/(EXP(-1*Minerals!$E$2/'Other Constants'!$B$2*(1/(273.15+'ppm-mgL-1'!$D91)-1/298.15)+LN(Minerals!$C$2)))),"")</f>
        <v>-2.6088085779535675</v>
      </c>
      <c r="FY91" s="94">
        <f>IF(FS91&lt;&gt;"",LOG($FF91*$FN91/(EXP(-1*Minerals!$E$3/'Other Constants'!$B$2*(1/(273.15+'ppm-mgL-1'!$D91)-1/298.15)+LN(Minerals!$C$3)))),"")</f>
        <v>-1.3247280061303008</v>
      </c>
      <c r="FZ91" s="95">
        <f>IF(FT91&lt;&gt;"",LOG($FF91*$FN91/(EXP(-1*Minerals!$E$4/'Other Constants'!$B$2*(1/(273.15+'ppm-mgL-1'!$D91)-1/298.15)+LN(Minerals!$C$4)))),"")</f>
        <v>-2.8249218793693891</v>
      </c>
      <c r="GA91" s="96"/>
      <c r="GB91" s="96"/>
      <c r="GC91" s="101">
        <f>10^(-1825000*(79.755*EXP(-0.0046*($D91-20))*($D91+273.15))^-1.5*$EK91^0.5/(1+'Elements and ions'!$D$12*$EK91^0.5/(2*(79.755*EXP(-0.0046*($D91-20))*($D91+273.15))^0.5)))</f>
        <v>0.8962726884608696</v>
      </c>
      <c r="GD91" s="94">
        <f>10^(-1825000*(79.755*EXP(-0.0046*($D91-20))*($D91+273.15))^-1.5*$EK91^0.5/(1+'Elements and ions'!$D$20*$EK91^0.5/(2*(79.755*EXP(-0.0046*($D91-20))*($D91+273.15))^0.5)))</f>
        <v>0.8931992001170489</v>
      </c>
      <c r="GE91" s="94">
        <f>10^(-1825000*(79.755*EXP(-0.0046*($D91-20))*($D91+273.15))^-1.5*4*$EK91^0.5/(1+'Elements and ions'!$D$21*$EK91^0.5/(2*(79.755*EXP(-0.0046*($D91-20))*($D91+273.15))^0.5)))</f>
        <v>0.6617117642944218</v>
      </c>
      <c r="GF91" s="94">
        <f>10^(-1825000*(79.755*EXP(-0.0046*($D91-20))*($D91+273.15))^-1.5*4*$EK91^0.5/(1+'Elements and ions'!$D$13*$EK91^0.5/(2*(79.755*EXP(-0.0046*($D91-20))*($D91+273.15))^0.5)))</f>
        <v>0.67669654645461053</v>
      </c>
      <c r="GG91" s="95">
        <f>10^(-1825000*(79.755*EXP(-0.0046*($D91-20))*($D91+273.15))^-1.5*4*$EK91^0.5/(1+'Elements and ions'!$D$27*$EK91^0.5/(2*(79.755*EXP(-0.0046*($D91-20))*($D91+273.15))^0.5)))</f>
        <v>0.6617117642944218</v>
      </c>
      <c r="GH91" s="101">
        <f>10^(-1825000*(79.755*EXP(-0.0046*($D91-20))*($D91+273.15))^-1.5*$EK91^0.5/(1+'Elements and ions'!$G$3*$EK91^0.5/(2*(79.755*EXP(-0.0046*($D91-20))*($D91+273.15))^0.5)))</f>
        <v>0.88506113402451803</v>
      </c>
      <c r="GI91" s="94">
        <f>10^(-1825000*(79.755*EXP(-0.0046*($D91-20))*($D91+273.15))^-1.5*4*$EK91^0.5/(1+'Elements and ions'!$G$4*$EK91^0.5/(2*(79.755*EXP(-0.0046*($D91-20))*($D91+273.15))^0.5)))</f>
        <v>0.61350846453444641</v>
      </c>
      <c r="GJ91" s="94">
        <f>10^(-1825000*(79.755*EXP(-0.0046*($D91-20))*($D91+273.15))^-1.5*$EK91^0.5/(1+'Elements and ions'!$D$18*$EK91^0.5/(2*(79.755*EXP(-0.0046*($D91-20))*($D91+273.15))^0.5)))</f>
        <v>0.8931992001170489</v>
      </c>
      <c r="GK91" s="94">
        <f>10^(-1825000*(79.755*EXP(-0.0046*($D91-20))*($D91+273.15))^-1.5*$EK91^0.5/(1+'Elements and ions'!$I$7*$EK91^0.5/(2*(79.755*EXP(-0.0046*($D91-20))*($D91+273.15))^0.5)))</f>
        <v>0.8931992001170489</v>
      </c>
      <c r="GL91" s="94">
        <f>10^(-1825000*(79.755*EXP(-0.0046*($D91-20))*($D91+273.15))^-1.5*$EK91^0.5/(1+'Elements and ions'!$D$10*$EK91^0.5/(2*(79.755*EXP(-0.0046*($D91-20))*($D91+273.15))^0.5)))</f>
        <v>0.89475835468404508</v>
      </c>
      <c r="GM91" s="95">
        <f>10^(-1825000*(79.755*EXP(-0.0046*($D91-20))*($D91+273.15))^-1.5*4*$EK91^0.5/(1+'Elements and ions'!$I$5*$EK91^0.5/(2*(79.755*EXP(-0.0046*($D91-20))*($D91+273.15))^0.5)))</f>
        <v>0.64529849258352634</v>
      </c>
      <c r="GN91" s="96"/>
      <c r="GO91" s="101">
        <f t="shared" si="823"/>
        <v>1.785000136976989E-4</v>
      </c>
      <c r="GP91" s="94">
        <f t="shared" si="824"/>
        <v>2.3765614563338201E-5</v>
      </c>
      <c r="GQ91" s="94">
        <f t="shared" si="825"/>
        <v>1.1475724467198125E-3</v>
      </c>
      <c r="GR91" s="94">
        <f t="shared" si="826"/>
        <v>1.9928372230233149E-4</v>
      </c>
      <c r="GS91" s="95" t="str">
        <f t="shared" si="827"/>
        <v/>
      </c>
      <c r="GT91" s="101">
        <f t="shared" si="828"/>
        <v>4.144286640790455E-3</v>
      </c>
      <c r="GU91" s="94">
        <f t="shared" si="829"/>
        <v>1.8547999480617238E-5</v>
      </c>
      <c r="GV91" s="94">
        <f t="shared" si="830"/>
        <v>1.8106601222241328E-4</v>
      </c>
      <c r="GW91" s="94">
        <f t="shared" si="831"/>
        <v>2.2364084551216394E-4</v>
      </c>
      <c r="GX91" s="94">
        <f t="shared" si="832"/>
        <v>7.182216718577532E-6</v>
      </c>
      <c r="GY91" s="102">
        <f t="shared" si="833"/>
        <v>6.3612510334076105E-5</v>
      </c>
      <c r="GZ91" s="199"/>
      <c r="HA91" s="92">
        <f>IF(AND(GQ91&lt;&gt;"",GU91&lt;&gt;""),LOG(GQ91*GU91/Minerals!$C$6),"")</f>
        <v>0.80824919355064506</v>
      </c>
      <c r="HB91" s="94">
        <f>IF(AND(GQ91&lt;&gt;"",GU91&lt;&gt;""),LOG(GQ91*GU91/Minerals!$C$5),"")</f>
        <v>0.6777696641944273</v>
      </c>
      <c r="HC91" s="94">
        <f>IF(AND(GQ91&lt;&gt;"",GX91&lt;&gt;""),LOG(GQ91*GX91^2/Minerals!$C$2),"")</f>
        <v>-2.6577779322226074</v>
      </c>
      <c r="HD91" s="94">
        <f>IF(AND(GQ91&lt;&gt;"",GY91&lt;&gt;""),LOG($GQ91*$GY91/Minerals!$C$3),"")</f>
        <v>-2.5366969883673849</v>
      </c>
      <c r="HE91" s="102">
        <f>IF(AND(GQ91&lt;&gt;"",GY91&lt;&gt;""),LOG($GQ91*$GY91/Minerals!$C$3),"")</f>
        <v>-2.5366969883673849</v>
      </c>
      <c r="HF91" s="199"/>
      <c r="HG91" s="92">
        <f>IF(HA91&lt;&gt;"",LOG(GQ91*GU91/(EXP(-1*Minerals!$E$6/'Other Constants'!$B$2*(1/(273.15+'ppm-mgL-1'!$D91)-1/298.15)+LN(Minerals!$C$6)))),"")</f>
        <v>-0.61293820006161637</v>
      </c>
      <c r="HH91" s="94">
        <f>IF(HA91&lt;&gt;"",LOG(GQ91*GU91/(EXP(-1*Minerals!$E$5/'Other Constants'!$B$2*(1/(273.15+'ppm-mgL-1'!$D91)-1/298.15)+LN(Minerals!$C$5)))),"")</f>
        <v>-0.74354620902543578</v>
      </c>
      <c r="HI91" s="94">
        <f>IF(HC91&lt;&gt;"",LOG(GQ91*GX91^2/(EXP(-1*Minerals!$E$2/'Other Constants'!$B$2*(1/(273.15+'ppm-mgL-1'!$D91)-1/298.15)+LN(Minerals!$C$2)))),"")</f>
        <v>-2.5976923024009952</v>
      </c>
      <c r="HJ91" s="94">
        <f>IF(HD91&lt;&gt;"",LOG($FF91*$FN91/(EXP(-1*Minerals!$E$3/'Other Constants'!$B$2*(1/(273.15+'ppm-mgL-1'!$D91)-1/298.15)+LN(Minerals!$C$3)))),"")</f>
        <v>-1.3247280061303008</v>
      </c>
      <c r="HK91" s="95">
        <f>IF(HE91&lt;&gt;"",LOG($FF91*$FN91/(EXP(-1*Minerals!$E$4/'Other Constants'!$B$2*(1/(273.15+'ppm-mgL-1'!$D91)-1/298.15)+LN(Minerals!$C$4)))),"")</f>
        <v>-2.8249218793693891</v>
      </c>
      <c r="HL91" s="199"/>
      <c r="HM91" s="199"/>
    </row>
    <row r="92" spans="1:221" x14ac:dyDescent="0.25">
      <c r="A92" s="267" t="str">
        <f>'WC samples'!B63</f>
        <v>ISSR 8</v>
      </c>
      <c r="C92" s="266">
        <f>'WC samples'!A63</f>
        <v>41474</v>
      </c>
      <c r="D92" s="4">
        <f>'WC samples'!I63</f>
        <v>24.6</v>
      </c>
      <c r="E92" s="4">
        <f>'WC samples'!F63</f>
        <v>7.92</v>
      </c>
      <c r="AD92" s="83">
        <f>IF(E92&lt;&gt;"",10^(-2*$E92)/(10^(-2*$E92)+10^(-$E92-pKa!$B$2)+(10^(-pKa!$B$2-pKa!$C$2))),"")</f>
        <v>2.3331386795005012E-2</v>
      </c>
      <c r="AE92" s="84">
        <f>IF(E92&lt;&gt;"",10^(-$E92-pKa!$B$2)/(10^(-2*$E92)+10^(-$E92-pKa!$B$2)+10^(-pKa!$B$2-pKa!$C$2)),"")</f>
        <v>0.97261408287417184</v>
      </c>
      <c r="AF92" s="212">
        <f>IF(E92&lt;&gt;"",10^(-pKa!$B$2-pKa!$C$2)/(10^(-2*$E92)+10^(-$E92-pKa!$B$2)+10^(-pKa!$B$2-pKa!$C$2)),"")</f>
        <v>4.0545303308231941E-3</v>
      </c>
      <c r="AG92" s="152"/>
      <c r="AH92" s="222">
        <f>IF($AK92&lt;&gt;"",$AK92/'Elements and ions'!$G$3,IF($E92="","",""))</f>
        <v>4.0808406335037999</v>
      </c>
      <c r="AI92" s="85">
        <f t="shared" si="770"/>
        <v>4.1610518122881766E-3</v>
      </c>
      <c r="AJ92" s="84">
        <f>IF(AI92&lt;&gt;"",AI92*1000*'Elements and ions'!$B$7,"")</f>
        <v>49.977145001849607</v>
      </c>
      <c r="AK92" s="99">
        <f>'WC samples'!H63</f>
        <v>249</v>
      </c>
      <c r="AL92" s="88">
        <f>IF($AK92&lt;&gt;"",$AK92/'Elements and ions'!$G$3*Minerals!$B$6/2,IF($E92="","","Enter Alk(HCO3-)"))</f>
        <v>204.21934420071574</v>
      </c>
      <c r="AM92" s="199"/>
      <c r="AN92" s="101">
        <f t="shared" si="755"/>
        <v>9.7083109306552042E-5</v>
      </c>
      <c r="AO92" s="94">
        <f t="shared" si="756"/>
        <v>4.0470975922005754E-3</v>
      </c>
      <c r="AP92" s="95">
        <f t="shared" si="757"/>
        <v>1.6871110781049232E-5</v>
      </c>
      <c r="AQ92" s="199"/>
      <c r="AR92" s="199"/>
      <c r="AS92" s="83">
        <f t="shared" si="760"/>
        <v>0.2855385567839766</v>
      </c>
      <c r="AT92" s="83">
        <f>IF(AN92&lt;&gt;"",AN92/'Henrys law constants'!$B$7*1000000,"")</f>
        <v>2855.3855678397658</v>
      </c>
      <c r="AU92" s="268">
        <f>'WC samples'!K63</f>
        <v>4.3446999999999996</v>
      </c>
      <c r="AV92" s="269">
        <f>'WC samples'!M63</f>
        <v>1.0548</v>
      </c>
      <c r="AW92" s="269">
        <f>'WC samples'!O63</f>
        <v>82.079099999999997</v>
      </c>
      <c r="AX92" s="269">
        <f>'WC samples'!N63</f>
        <v>6.9771999999999998</v>
      </c>
      <c r="AY92" s="226">
        <f>AO92*'Elements and ions'!$G$3*1000</f>
        <v>246.94110624768771</v>
      </c>
      <c r="AZ92" s="269">
        <f>'WC samples'!Q63</f>
        <v>7.4846000000000004</v>
      </c>
      <c r="BA92" s="269">
        <f>'WC samples'!T63</f>
        <v>14.9876</v>
      </c>
      <c r="BB92" s="270">
        <f>'WC samples'!V63</f>
        <v>10.2958</v>
      </c>
      <c r="BC92" s="222">
        <f>IF($E92&lt;&gt;"",10^-$E92*'Elements and ions'!B96*1000,"")</f>
        <v>0</v>
      </c>
      <c r="BE92" s="6"/>
      <c r="BF92" s="6"/>
      <c r="BG92" s="270">
        <f>'WC samples'!L63</f>
        <v>0</v>
      </c>
      <c r="BH92" s="3"/>
      <c r="BJ92" s="92">
        <f>IF($AN92&lt;&gt;"",$AN92*'Elements and ions'!$G$2*1000,"")</f>
        <v>6.0215584964548423</v>
      </c>
      <c r="BK92" s="229"/>
      <c r="BL92" s="230"/>
      <c r="BM92" s="101">
        <f>IF($E92&lt;&gt;"",(10^-14+$E92)*'Elements and ions'!$G$8,"")</f>
        <v>134.69813280000017</v>
      </c>
      <c r="BO92" s="102">
        <f>IF($AP92&lt;&gt;"",$AP92*'Elements and ions'!$G$4*1000,"")</f>
        <v>1.0124167997489053</v>
      </c>
      <c r="BP92" s="269">
        <f>'WC samples'!P63</f>
        <v>0.16800000000000001</v>
      </c>
      <c r="BQ92" s="270">
        <f>'WC samples'!R63</f>
        <v>0</v>
      </c>
      <c r="BR92" s="195"/>
      <c r="BS92" s="238">
        <f>IF($AU92&lt;&gt;"",$AU92/'Elements and ions'!$B$12,"")</f>
        <v>0.1889840627404504</v>
      </c>
      <c r="BT92" s="239">
        <f>IF($AV92&lt;&gt;"",$AV92/'Elements and ions'!$B$20,"")</f>
        <v>2.6978155060450197E-2</v>
      </c>
      <c r="BU92" s="239">
        <f>IF($AW92&lt;&gt;"",$AW92/'Elements and ions'!$B$21, "")</f>
        <v>2.0479839313338988</v>
      </c>
      <c r="BV92" s="240">
        <f>IF($AX92&lt;&gt;"",$AX92/'Elements and ions'!$B$13, "")</f>
        <v>0.28706850442295823</v>
      </c>
      <c r="BW92" s="238">
        <f>IF($AY92&lt;&gt;"",$AY92/'Elements and ions'!$G$3,"")</f>
        <v>4.0470975922005747</v>
      </c>
      <c r="BX92" s="239">
        <f>IF($AZ92&lt;&gt;"",$AZ92/'Elements and ions'!$B$18,"")</f>
        <v>0.21111330493893324</v>
      </c>
      <c r="BY92" s="239">
        <f>IF($BA92&lt;&gt;"",$BA92/'Elements and ions'!$G$7,"")</f>
        <v>0.24171638047960728</v>
      </c>
      <c r="BZ92" s="241">
        <f>IF($BB92&lt;&gt;"",$BB92/'Elements and ions'!$G$5,"")</f>
        <v>0.1071780276611293</v>
      </c>
      <c r="CA92" s="91">
        <f t="shared" si="761"/>
        <v>1.20226443461741E-5</v>
      </c>
      <c r="CB92" s="163" t="str">
        <f>IF($BD92&lt;&gt;"",$BD92/'Elements and ions'!$B$14,"")</f>
        <v/>
      </c>
      <c r="CC92" s="89" t="str">
        <f>IF($BE92&lt;&gt;"",$BE92/'Elements and ions'!$B$27, "")</f>
        <v/>
      </c>
      <c r="CD92" s="249" t="str">
        <f>IF($BF92&lt;&gt;"",$BF92/'Elements and ions'!$B$26,"")</f>
        <v/>
      </c>
      <c r="CE92" s="250">
        <f>IF($BG92&lt;&gt;"",$BG92/'Elements and ions'!$G$6,"")</f>
        <v>0</v>
      </c>
      <c r="CF92" s="91" t="str">
        <f>IF($BH92&lt;&gt;"",$BH92/'Elements and ions'!$G$15,"")</f>
        <v/>
      </c>
      <c r="CG92" s="89" t="str">
        <f>IF($BI92&lt;&gt;"",$BI92/'Elements and ions'!$G$16,"")</f>
        <v/>
      </c>
      <c r="CH92" s="90">
        <f>IF($BJ92&lt;&gt;"",$BJ92/'Elements and ions'!$G$2,"")</f>
        <v>9.7083109306552048E-2</v>
      </c>
      <c r="CI92" s="91" t="str">
        <f>IF($BK92&lt;&gt;"",$BK92/'Elements and ions'!$B$15, "")</f>
        <v/>
      </c>
      <c r="CJ92" s="88" t="str">
        <f>IF($BL92&lt;&gt;"", $BL92/'Elements and ions'!$G$17,"")</f>
        <v/>
      </c>
      <c r="CK92" s="89">
        <f t="shared" si="762"/>
        <v>8.3176377110266903E-4</v>
      </c>
      <c r="CL92" s="163" t="str">
        <f>IF($BN92&lt;&gt;"", $BN92/'Elements and ions'!$G$19,"")</f>
        <v/>
      </c>
      <c r="CM92" s="89">
        <f>IF($BO92&lt;&gt;"",$BO92/'Elements and ions'!$G$4,"")</f>
        <v>1.6871110781049234E-2</v>
      </c>
      <c r="CN92" s="89">
        <f>IF($BP92&lt;&gt;"",$BP92/'Elements and ions'!$B$10,"")</f>
        <v>8.8428484347568767E-3</v>
      </c>
      <c r="CO92" s="104">
        <f>IF($BQ92&lt;&gt;"",$BQ92/'Elements and ions'!$G$18,"")</f>
        <v>0</v>
      </c>
      <c r="CP92" s="242"/>
      <c r="CQ92" s="238">
        <f t="shared" si="771"/>
        <v>1.889840627404504E-4</v>
      </c>
      <c r="CR92" s="239">
        <f t="shared" si="772"/>
        <v>2.6978155060450196E-5</v>
      </c>
      <c r="CS92" s="239">
        <f t="shared" si="773"/>
        <v>2.0479839313338986E-3</v>
      </c>
      <c r="CT92" s="241">
        <f t="shared" si="774"/>
        <v>2.8706850442295823E-4</v>
      </c>
      <c r="CU92" s="238">
        <f t="shared" si="775"/>
        <v>4.0470975922005745E-3</v>
      </c>
      <c r="CV92" s="239">
        <f t="shared" si="776"/>
        <v>2.1111330493893323E-4</v>
      </c>
      <c r="CW92" s="239">
        <f t="shared" si="777"/>
        <v>2.4171638047960727E-4</v>
      </c>
      <c r="CX92" s="241">
        <f t="shared" si="778"/>
        <v>1.071780276611293E-4</v>
      </c>
      <c r="CY92" s="258">
        <f t="shared" si="763"/>
        <v>1.2022644346174099E-8</v>
      </c>
      <c r="CZ92" s="259" t="str">
        <f t="shared" si="779"/>
        <v/>
      </c>
      <c r="DA92" s="260" t="str">
        <f t="shared" si="780"/>
        <v/>
      </c>
      <c r="DB92" s="261" t="str">
        <f t="shared" si="781"/>
        <v/>
      </c>
      <c r="DC92" s="262">
        <f t="shared" si="782"/>
        <v>0</v>
      </c>
      <c r="DD92" s="263" t="str">
        <f t="shared" si="783"/>
        <v/>
      </c>
      <c r="DE92" s="259" t="str">
        <f t="shared" si="784"/>
        <v/>
      </c>
      <c r="DF92" s="260">
        <f t="shared" si="785"/>
        <v>9.7083109306552042E-5</v>
      </c>
      <c r="DG92" s="260" t="str">
        <f t="shared" si="786"/>
        <v/>
      </c>
      <c r="DH92" s="264" t="str">
        <f t="shared" si="787"/>
        <v/>
      </c>
      <c r="DI92" s="258">
        <f t="shared" si="764"/>
        <v>8.3176377110266907E-7</v>
      </c>
      <c r="DJ92" s="260" t="str">
        <f t="shared" si="788"/>
        <v/>
      </c>
      <c r="DK92" s="260">
        <f t="shared" si="789"/>
        <v>1.6871110781049232E-5</v>
      </c>
      <c r="DL92" s="260">
        <f t="shared" si="790"/>
        <v>8.842848434756876E-6</v>
      </c>
      <c r="DM92" s="265">
        <f t="shared" si="791"/>
        <v>0</v>
      </c>
      <c r="DN92" s="242"/>
      <c r="DO92" s="238">
        <f t="shared" si="792"/>
        <v>0.1889840627404504</v>
      </c>
      <c r="DP92" s="239">
        <f t="shared" si="793"/>
        <v>2.6978155060450197E-2</v>
      </c>
      <c r="DQ92" s="239">
        <f t="shared" si="794"/>
        <v>4.0959678626677976</v>
      </c>
      <c r="DR92" s="241">
        <f t="shared" si="795"/>
        <v>0.57413700884591645</v>
      </c>
      <c r="DS92" s="238">
        <f t="shared" si="796"/>
        <v>-4.0470975922005747</v>
      </c>
      <c r="DT92" s="239">
        <f t="shared" si="797"/>
        <v>-0.21111330493893324</v>
      </c>
      <c r="DU92" s="239">
        <f t="shared" si="798"/>
        <v>-0.24171638047960728</v>
      </c>
      <c r="DV92" s="241">
        <f t="shared" si="799"/>
        <v>-0.2143560553222586</v>
      </c>
      <c r="DW92" s="91">
        <f t="shared" si="765"/>
        <v>1.20226443461741E-5</v>
      </c>
      <c r="DX92" s="89">
        <f t="shared" si="800"/>
        <v>0</v>
      </c>
      <c r="DY92" s="89">
        <f t="shared" si="801"/>
        <v>0</v>
      </c>
      <c r="DZ92" s="89">
        <f t="shared" si="802"/>
        <v>0</v>
      </c>
      <c r="EA92" s="90">
        <f t="shared" si="803"/>
        <v>0</v>
      </c>
      <c r="EB92" s="91">
        <f t="shared" si="766"/>
        <v>-8.3176377110266903E-4</v>
      </c>
      <c r="EC92" s="89">
        <f t="shared" si="804"/>
        <v>0</v>
      </c>
      <c r="ED92" s="89">
        <f t="shared" si="805"/>
        <v>-3.3742221562098468E-2</v>
      </c>
      <c r="EE92" s="89">
        <f t="shared" si="806"/>
        <v>-8.8428484347568767E-3</v>
      </c>
      <c r="EF92" s="90">
        <f t="shared" si="807"/>
        <v>0</v>
      </c>
      <c r="EG92" s="242"/>
      <c r="EH92" s="245">
        <f t="shared" si="808"/>
        <v>4.8860791119589599</v>
      </c>
      <c r="EI92" s="246">
        <f t="shared" si="809"/>
        <v>-4.7577001667093315</v>
      </c>
      <c r="EJ92" s="198">
        <f t="shared" si="810"/>
        <v>1.3312099078584085</v>
      </c>
      <c r="EK92" s="198">
        <f t="shared" si="811"/>
        <v>1.2131288025599332E-2</v>
      </c>
      <c r="EL92" s="101">
        <f>IF(AND(CS92&lt;&gt;"",DK92&lt;&gt;""),LOG(CS92*DK92/Minerals!$C$6),"")</f>
        <v>1.0186422281753531</v>
      </c>
      <c r="EM92" s="94">
        <f>IF(AND(CS92&lt;&gt;"",DK92&lt;&gt;""),LOG(CS92*DK92/Minerals!$C$5),"")</f>
        <v>0.88816269881913534</v>
      </c>
      <c r="EN92" s="94">
        <f>IF(AND(CS92&lt;&gt;"",DL92&lt;&gt;""),LOG(CS92*DL92^2/Minerals!$C$2),"")</f>
        <v>-2.2255641480895183</v>
      </c>
      <c r="EO92" s="94">
        <f>IF(AND(CS92&lt;&gt;"",CX92&lt;&gt;""),LOG($CS92*$CX92/Minerals!$C$3),"")</f>
        <v>-2.0585873295652504</v>
      </c>
      <c r="EP92" s="95">
        <f>IF(AND(CS92&lt;&gt;"",CX92&lt;&gt;""),LOG($CS92*$CX92/Minerals!$C$4),"")</f>
        <v>-2.2985718410311531</v>
      </c>
      <c r="EQ92" s="199"/>
      <c r="ER92" s="101">
        <f t="shared" si="834"/>
        <v>0.89205736114812251</v>
      </c>
      <c r="ES92" s="94">
        <f t="shared" si="834"/>
        <v>0.89205736114812251</v>
      </c>
      <c r="ET92" s="94">
        <f t="shared" si="835"/>
        <v>0.6332440608401162</v>
      </c>
      <c r="EU92" s="94">
        <f t="shared" si="835"/>
        <v>0.6332440608401162</v>
      </c>
      <c r="EV92" s="95">
        <f t="shared" si="835"/>
        <v>0.6332440608401162</v>
      </c>
      <c r="EW92" s="101">
        <f t="shared" si="836"/>
        <v>0.89205736114812251</v>
      </c>
      <c r="EX92" s="94">
        <f t="shared" si="758"/>
        <v>0.6332440608401162</v>
      </c>
      <c r="EY92" s="94">
        <f t="shared" si="836"/>
        <v>0.89205736114812251</v>
      </c>
      <c r="EZ92" s="94">
        <f t="shared" si="836"/>
        <v>0.89205736114812251</v>
      </c>
      <c r="FA92" s="94">
        <f t="shared" si="836"/>
        <v>0.89205736114812251</v>
      </c>
      <c r="FB92" s="95">
        <f t="shared" si="759"/>
        <v>0.6332440608401162</v>
      </c>
      <c r="FC92" s="199"/>
      <c r="FD92" s="101">
        <f t="shared" si="812"/>
        <v>1.685846243072974E-4</v>
      </c>
      <c r="FE92" s="94">
        <f t="shared" si="813"/>
        <v>2.4066061811870068E-5</v>
      </c>
      <c r="FF92" s="94">
        <f t="shared" si="814"/>
        <v>1.2968736612131836E-3</v>
      </c>
      <c r="FG92" s="94">
        <f t="shared" si="815"/>
        <v>1.8178442548009294E-4</v>
      </c>
      <c r="FH92" s="95" t="str">
        <f t="shared" si="816"/>
        <v/>
      </c>
      <c r="FI92" s="101">
        <f t="shared" si="817"/>
        <v>3.6102431984073651E-3</v>
      </c>
      <c r="FJ92" s="94">
        <f t="shared" si="818"/>
        <v>1.068353070187508E-5</v>
      </c>
      <c r="FK92" s="94">
        <f t="shared" si="819"/>
        <v>1.8832517770708368E-4</v>
      </c>
      <c r="FL92" s="94">
        <f t="shared" si="820"/>
        <v>2.1562487651691402E-4</v>
      </c>
      <c r="FM92" s="94">
        <f t="shared" si="821"/>
        <v>7.8883280397420238E-6</v>
      </c>
      <c r="FN92" s="95">
        <f t="shared" si="822"/>
        <v>6.786984946896782E-5</v>
      </c>
      <c r="FO92" s="199"/>
      <c r="FP92" s="101">
        <f>IF(EL92&lt;&gt;"",LOG(FF92*FJ92/Minerals!$C$6),"")</f>
        <v>0.62178447869243758</v>
      </c>
      <c r="FQ92" s="94">
        <f>IF(EL92&lt;&gt;"",LOG(FF92*FJ92/Minerals!$C$5),"")</f>
        <v>0.49130494933621988</v>
      </c>
      <c r="FR92" s="94">
        <f>IF(EN92&lt;&gt;"",LOG(FF92*FM92^2/Minerals!$C$2),"")</f>
        <v>-2.5232074602017049</v>
      </c>
      <c r="FS92" s="94">
        <f>IF(EO92&lt;&gt;"",LOG($FF92*$FN92/Minerals!$C$3),"")</f>
        <v>-2.4554450790481659</v>
      </c>
      <c r="FT92" s="95">
        <f>IF(EP92&lt;&gt;"",LOG($FF92*$FN92/Minerals!$C$4),"")</f>
        <v>-2.6954295905140682</v>
      </c>
      <c r="FU92" s="96"/>
      <c r="FV92" s="101">
        <f>IF(FP92&lt;&gt;"",LOG(FF92*FJ92/(EXP(-1*Minerals!$E$6/'Other Constants'!$B$2*(1/(273.15+'ppm-mgL-1'!$D92)-1/298.15)+LN(Minerals!$C$6)))),"")</f>
        <v>0.46557186677399648</v>
      </c>
      <c r="FW92" s="94">
        <f>IF(FP92&lt;&gt;"",LOG(FF92*FJ92/(EXP(-1*Minerals!$E$5/'Other Constants'!$B$2*(1/(273.15+'ppm-mgL-1'!$D92)-1/298.15)+LN(Minerals!$C$5)))),"")</f>
        <v>0.33507821532862131</v>
      </c>
      <c r="FX92" s="94">
        <f>IF(FR92&lt;&gt;"",LOG(FF92*FM92^2/(EXP(-1*Minerals!$E$2/'Other Constants'!$B$2*(1/(273.15+'ppm-mgL-1'!$D92)-1/298.15)+LN(Minerals!$C$2)))),"")</f>
        <v>-2.5166030298391888</v>
      </c>
      <c r="FY92" s="94">
        <f>IF(FS92&lt;&gt;"",LOG($FF92*$FN92/(EXP(-1*Minerals!$E$3/'Other Constants'!$B$2*(1/(273.15+'ppm-mgL-1'!$D92)-1/298.15)+LN(Minerals!$C$3)))),"")</f>
        <v>-2.3207843686260019</v>
      </c>
      <c r="FZ92" s="95">
        <f>IF(FT92&lt;&gt;"",LOG($FF92*$FN92/(EXP(-1*Minerals!$E$4/'Other Constants'!$B$2*(1/(273.15+'ppm-mgL-1'!$D92)-1/298.15)+LN(Minerals!$C$4)))),"")</f>
        <v>-2.6992872745355094</v>
      </c>
      <c r="GA92" s="96"/>
      <c r="GB92" s="96"/>
      <c r="GC92" s="101">
        <f>10^(-1825000*(79.755*EXP(-0.0046*($D92-20))*($D92+273.15))^-1.5*$EK92^0.5/(1+'Elements and ions'!$D$12*$EK92^0.5/(2*(79.755*EXP(-0.0046*($D92-20))*($D92+273.15))^0.5)))</f>
        <v>0.89218925082594314</v>
      </c>
      <c r="GD92" s="94">
        <f>10^(-1825000*(79.755*EXP(-0.0046*($D92-20))*($D92+273.15))^-1.5*$EK92^0.5/(1+'Elements and ions'!$D$20*$EK92^0.5/(2*(79.755*EXP(-0.0046*($D92-20))*($D92+273.15))^0.5)))</f>
        <v>0.88887882324606293</v>
      </c>
      <c r="GE92" s="94">
        <f>10^(-1825000*(79.755*EXP(-0.0046*($D92-20))*($D92+273.15))^-1.5*4*$EK92^0.5/(1+'Elements and ions'!$D$21*$EK92^0.5/(2*(79.755*EXP(-0.0046*($D92-20))*($D92+273.15))^0.5)))</f>
        <v>0.6510183055609573</v>
      </c>
      <c r="GF92" s="94">
        <f>10^(-1825000*(79.755*EXP(-0.0046*($D92-20))*($D92+273.15))^-1.5*4*$EK92^0.5/(1+'Elements and ions'!$D$13*$EK92^0.5/(2*(79.755*EXP(-0.0046*($D92-20))*($D92+273.15))^0.5)))</f>
        <v>0.66686782451323157</v>
      </c>
      <c r="GG92" s="95">
        <f>10^(-1825000*(79.755*EXP(-0.0046*($D92-20))*($D92+273.15))^-1.5*4*$EK92^0.5/(1+'Elements and ions'!$D$27*$EK92^0.5/(2*(79.755*EXP(-0.0046*($D92-20))*($D92+273.15))^0.5)))</f>
        <v>0.6510183055609573</v>
      </c>
      <c r="GH92" s="101">
        <f>10^(-1825000*(79.755*EXP(-0.0046*($D92-20))*($D92+273.15))^-1.5*$EK92^0.5/(1+'Elements and ions'!$G$3*$EK92^0.5/(2*(79.755*EXP(-0.0046*($D92-20))*($D92+273.15))^0.5)))</f>
        <v>0.88008004131073059</v>
      </c>
      <c r="GI92" s="94">
        <f>10^(-1825000*(79.755*EXP(-0.0046*($D92-20))*($D92+273.15))^-1.5*4*$EK92^0.5/(1+'Elements and ions'!$G$4*$EK92^0.5/(2*(79.755*EXP(-0.0046*($D92-20))*($D92+273.15))^0.5)))</f>
        <v>0.59980435892209283</v>
      </c>
      <c r="GJ92" s="94">
        <f>10^(-1825000*(79.755*EXP(-0.0046*($D92-20))*($D92+273.15))^-1.5*$EK92^0.5/(1+'Elements and ions'!$D$18*$EK92^0.5/(2*(79.755*EXP(-0.0046*($D92-20))*($D92+273.15))^0.5)))</f>
        <v>0.88887882324606293</v>
      </c>
      <c r="GK92" s="94">
        <f>10^(-1825000*(79.755*EXP(-0.0046*($D92-20))*($D92+273.15))^-1.5*$EK92^0.5/(1+'Elements and ions'!$I$7*$EK92^0.5/(2*(79.755*EXP(-0.0046*($D92-20))*($D92+273.15))^0.5)))</f>
        <v>0.88887882324606293</v>
      </c>
      <c r="GL92" s="94">
        <f>10^(-1825000*(79.755*EXP(-0.0046*($D92-20))*($D92+273.15))^-1.5*$EK92^0.5/(1+'Elements and ions'!$D$10*$EK92^0.5/(2*(79.755*EXP(-0.0046*($D92-20))*($D92+273.15))^0.5)))</f>
        <v>0.89055903550362503</v>
      </c>
      <c r="GM92" s="95">
        <f>10^(-1825000*(79.755*EXP(-0.0046*($D92-20))*($D92+273.15))^-1.5*4*$EK92^0.5/(1+'Elements and ions'!$I$5*$EK92^0.5/(2*(79.755*EXP(-0.0046*($D92-20))*($D92+273.15))^0.5)))</f>
        <v>0.63361864159141057</v>
      </c>
      <c r="GN92" s="96"/>
      <c r="GO92" s="101">
        <f t="shared" si="823"/>
        <v>1.6860954935444546E-4</v>
      </c>
      <c r="GP92" s="94">
        <f t="shared" si="824"/>
        <v>2.3980310723482789E-5</v>
      </c>
      <c r="GQ92" s="94">
        <f t="shared" si="825"/>
        <v>1.3332750287930626E-3</v>
      </c>
      <c r="GR92" s="94">
        <f t="shared" si="826"/>
        <v>1.9143674903080514E-4</v>
      </c>
      <c r="GS92" s="95" t="str">
        <f t="shared" si="827"/>
        <v/>
      </c>
      <c r="GT92" s="101">
        <f t="shared" si="828"/>
        <v>3.5617698161324401E-3</v>
      </c>
      <c r="GU92" s="94">
        <f t="shared" si="829"/>
        <v>1.0119365786330844E-5</v>
      </c>
      <c r="GV92" s="94">
        <f t="shared" si="830"/>
        <v>1.876541460657062E-4</v>
      </c>
      <c r="GW92" s="94">
        <f t="shared" si="831"/>
        <v>2.1485657184001092E-4</v>
      </c>
      <c r="GX92" s="94">
        <f t="shared" si="832"/>
        <v>7.8750785731618234E-6</v>
      </c>
      <c r="GY92" s="102">
        <f t="shared" si="833"/>
        <v>6.7909996295091365E-5</v>
      </c>
      <c r="GZ92" s="199"/>
      <c r="HA92" s="92">
        <f>IF(AND(GQ92&lt;&gt;"",GU92&lt;&gt;""),LOG(GQ92*GU92/Minerals!$C$6),"")</f>
        <v>0.61024504611684427</v>
      </c>
      <c r="HB92" s="94">
        <f>IF(AND(GQ92&lt;&gt;"",GU92&lt;&gt;""),LOG(GQ92*GU92/Minerals!$C$5),"")</f>
        <v>0.47976551676062656</v>
      </c>
      <c r="HC92" s="94">
        <f>IF(AND(GQ92&lt;&gt;"",GX92&lt;&gt;""),LOG(GQ92*GX92^2/Minerals!$C$2),"")</f>
        <v>-2.5126455190989989</v>
      </c>
      <c r="HD92" s="94">
        <f>IF(AND(GQ92&lt;&gt;"",GY92&lt;&gt;""),LOG($GQ92*$GY92/Minerals!$C$3),"")</f>
        <v>-2.4431661831038691</v>
      </c>
      <c r="HE92" s="102">
        <f>IF(AND(GQ92&lt;&gt;"",GY92&lt;&gt;""),LOG($GQ92*$GY92/Minerals!$C$3),"")</f>
        <v>-2.4431661831038691</v>
      </c>
      <c r="HF92" s="199"/>
      <c r="HG92" s="92">
        <f>IF(HA92&lt;&gt;"",LOG(GQ92*GU92/(EXP(-1*Minerals!$E$6/'Other Constants'!$B$2*(1/(273.15+'ppm-mgL-1'!$D92)-1/298.15)+LN(Minerals!$C$6)))),"")</f>
        <v>0.45403243419840317</v>
      </c>
      <c r="HH92" s="94">
        <f>IF(HA92&lt;&gt;"",LOG(GQ92*GU92/(EXP(-1*Minerals!$E$5/'Other Constants'!$B$2*(1/(273.15+'ppm-mgL-1'!$D92)-1/298.15)+LN(Minerals!$C$5)))),"")</f>
        <v>0.323538782753028</v>
      </c>
      <c r="HI92" s="94">
        <f>IF(HC92&lt;&gt;"",LOG(GQ92*GX92^2/(EXP(-1*Minerals!$E$2/'Other Constants'!$B$2*(1/(273.15+'ppm-mgL-1'!$D92)-1/298.15)+LN(Minerals!$C$2)))),"")</f>
        <v>-2.5060410887364832</v>
      </c>
      <c r="HJ92" s="94">
        <f>IF(HD92&lt;&gt;"",LOG($FF92*$FN92/(EXP(-1*Minerals!$E$3/'Other Constants'!$B$2*(1/(273.15+'ppm-mgL-1'!$D92)-1/298.15)+LN(Minerals!$C$3)))),"")</f>
        <v>-2.3207843686260019</v>
      </c>
      <c r="HK92" s="95">
        <f>IF(HE92&lt;&gt;"",LOG($FF92*$FN92/(EXP(-1*Minerals!$E$4/'Other Constants'!$B$2*(1/(273.15+'ppm-mgL-1'!$D92)-1/298.15)+LN(Minerals!$C$4)))),"")</f>
        <v>-2.6992872745355094</v>
      </c>
      <c r="HL92" s="199"/>
      <c r="HM92" s="199"/>
    </row>
    <row r="93" spans="1:221" x14ac:dyDescent="0.25">
      <c r="A93" s="267" t="str">
        <f>'WC samples'!B64</f>
        <v>ISSR 8</v>
      </c>
      <c r="C93" s="266">
        <f>'WC samples'!A64</f>
        <v>41502</v>
      </c>
      <c r="D93" s="4">
        <f>'WC samples'!I64</f>
        <v>21.4</v>
      </c>
      <c r="E93" s="4">
        <f>'WC samples'!F64</f>
        <v>7.81</v>
      </c>
      <c r="AD93" s="83">
        <f>IF(E93&lt;&gt;"",10^(-2*$E93)/(10^(-2*$E93)+10^(-$E93-pKa!$B$2)+(10^(-pKa!$B$2-pKa!$C$2))),"")</f>
        <v>2.9882789050132117E-2</v>
      </c>
      <c r="AE93" s="84">
        <f>IF(E93&lt;&gt;"",10^(-$E93-pKa!$B$2)/(10^(-2*$E93)+10^(-$E93-pKa!$B$2)+10^(-pKa!$B$2-pKa!$C$2)),"")</f>
        <v>0.96698809879889025</v>
      </c>
      <c r="AF93" s="212">
        <f>IF(E93&lt;&gt;"",10^(-pKa!$B$2-pKa!$C$2)/(10^(-2*$E93)+10^(-$E93-pKa!$B$2)+10^(-pKa!$B$2-pKa!$C$2)),"")</f>
        <v>3.1291121509776014E-3</v>
      </c>
      <c r="AG93" s="152"/>
      <c r="AH93" s="222">
        <f>IF($AK93&lt;&gt;"",$AK93/'Elements and ions'!$G$3,IF($E93="","",""))</f>
        <v>4.6216749343296053</v>
      </c>
      <c r="AI93" s="85">
        <f t="shared" si="770"/>
        <v>4.7487200254078491E-3</v>
      </c>
      <c r="AJ93" s="84">
        <f>IF(AI93&lt;&gt;"",AI93*1000*'Elements and ions'!$B$7,"")</f>
        <v>57.035451609166046</v>
      </c>
      <c r="AK93" s="99">
        <f>'WC samples'!H64</f>
        <v>282</v>
      </c>
      <c r="AL93" s="88">
        <f>IF($AK93&lt;&gt;"",$AK93/'Elements and ions'!$G$3*Minerals!$B$6/2,IF($E93="","","Enter Alk(HCO3-)"))</f>
        <v>231.28455849237687</v>
      </c>
      <c r="AM93" s="199"/>
      <c r="AN93" s="101">
        <f t="shared" si="755"/>
        <v>1.4190499877740078E-4</v>
      </c>
      <c r="AO93" s="94">
        <f t="shared" si="756"/>
        <v>4.5919557490973536E-3</v>
      </c>
      <c r="AP93" s="95">
        <f t="shared" si="757"/>
        <v>1.4859277533094365E-5</v>
      </c>
      <c r="AQ93" s="199"/>
      <c r="AR93" s="199"/>
      <c r="AS93" s="83">
        <f t="shared" si="760"/>
        <v>0.41736764346294342</v>
      </c>
      <c r="AT93" s="83">
        <f>IF(AN93&lt;&gt;"",AN93/'Henrys law constants'!$B$7*1000000,"")</f>
        <v>4173.676434629434</v>
      </c>
      <c r="AU93" s="268">
        <f>'WC samples'!K64</f>
        <v>4.8895028143060566</v>
      </c>
      <c r="AV93" s="269">
        <f>'WC samples'!M64</f>
        <v>1.0509066756009717</v>
      </c>
      <c r="AW93" s="269">
        <f>'WC samples'!O64</f>
        <v>92.862418686657179</v>
      </c>
      <c r="AX93" s="269">
        <f>'WC samples'!N64</f>
        <v>7.6784756596029826</v>
      </c>
      <c r="AY93" s="226">
        <f>AO93*'Elements and ions'!$G$3*1000</f>
        <v>280.18662922975335</v>
      </c>
      <c r="AZ93" s="269">
        <f>'WC samples'!Q64</f>
        <v>8.8916385124382291</v>
      </c>
      <c r="BA93" s="269">
        <f>'WC samples'!T64</f>
        <v>16.423441921433959</v>
      </c>
      <c r="BB93" s="270">
        <f>'WC samples'!V64</f>
        <v>11.094472376245918</v>
      </c>
      <c r="BC93" s="222">
        <f>IF($E93&lt;&gt;"",10^-$E93*'Elements and ions'!B97*1000,"")</f>
        <v>0</v>
      </c>
      <c r="BE93" s="6"/>
      <c r="BF93" s="6"/>
      <c r="BG93" s="270">
        <f>'WC samples'!L64</f>
        <v>0</v>
      </c>
      <c r="BH93" s="3"/>
      <c r="BJ93" s="92">
        <f>IF($AN93&lt;&gt;"",$AN93*'Elements and ions'!$G$2*1000,"")</f>
        <v>8.8016263300685509</v>
      </c>
      <c r="BK93" s="229"/>
      <c r="BL93" s="230"/>
      <c r="BM93" s="101">
        <f>IF($E93&lt;&gt;"",(10^-14+$E93)*'Elements and ions'!$G$8,"")</f>
        <v>132.82732540000015</v>
      </c>
      <c r="BO93" s="102">
        <f>IF($AP93&lt;&gt;"",$AP93*'Elements and ions'!$G$4*1000,"")</f>
        <v>0.8916888995557064</v>
      </c>
      <c r="BP93" s="269">
        <f>'WC samples'!P64</f>
        <v>0.14172206214925873</v>
      </c>
      <c r="BQ93" s="270">
        <f>'WC samples'!R64</f>
        <v>0</v>
      </c>
      <c r="BR93" s="195"/>
      <c r="BS93" s="238">
        <f>IF($AU93&lt;&gt;"",$AU93/'Elements and ions'!$B$12,"")</f>
        <v>0.21268168265436618</v>
      </c>
      <c r="BT93" s="239">
        <f>IF($AV93&lt;&gt;"",$AV93/'Elements and ions'!$B$20,"")</f>
        <v>2.6878577216937097E-2</v>
      </c>
      <c r="BU93" s="239">
        <f>IF($AW93&lt;&gt;"",$AW93/'Elements and ions'!$B$21, "")</f>
        <v>2.3170422348085524</v>
      </c>
      <c r="BV93" s="240">
        <f>IF($AX93&lt;&gt;"",$AX93/'Elements and ions'!$B$13, "")</f>
        <v>0.31592164820419594</v>
      </c>
      <c r="BW93" s="238">
        <f>IF($AY93&lt;&gt;"",$AY93/'Elements and ions'!$G$3,"")</f>
        <v>4.5919557490973535</v>
      </c>
      <c r="BX93" s="239">
        <f>IF($AZ93&lt;&gt;"",$AZ93/'Elements and ions'!$B$18,"")</f>
        <v>0.25080073653677343</v>
      </c>
      <c r="BY93" s="239">
        <f>IF($BA93&lt;&gt;"",$BA93/'Elements and ions'!$G$7,"")</f>
        <v>0.26487329100496831</v>
      </c>
      <c r="BZ93" s="241">
        <f>IF($BB93&lt;&gt;"",$BB93/'Elements and ions'!$G$5,"")</f>
        <v>0.1154921101057635</v>
      </c>
      <c r="CA93" s="91">
        <f t="shared" si="761"/>
        <v>1.5488166189124814E-5</v>
      </c>
      <c r="CB93" s="163" t="str">
        <f>IF($BD93&lt;&gt;"",$BD93/'Elements and ions'!$B$14,"")</f>
        <v/>
      </c>
      <c r="CC93" s="89" t="str">
        <f>IF($BE93&lt;&gt;"",$BE93/'Elements and ions'!$B$27, "")</f>
        <v/>
      </c>
      <c r="CD93" s="249" t="str">
        <f>IF($BF93&lt;&gt;"",$BF93/'Elements and ions'!$B$26,"")</f>
        <v/>
      </c>
      <c r="CE93" s="250">
        <f>IF($BG93&lt;&gt;"",$BG93/'Elements and ions'!$G$6,"")</f>
        <v>0</v>
      </c>
      <c r="CF93" s="91" t="str">
        <f>IF($BH93&lt;&gt;"",$BH93/'Elements and ions'!$G$15,"")</f>
        <v/>
      </c>
      <c r="CG93" s="89" t="str">
        <f>IF($BI93&lt;&gt;"",$BI93/'Elements and ions'!$G$16,"")</f>
        <v/>
      </c>
      <c r="CH93" s="90">
        <f>IF($BJ93&lt;&gt;"",$BJ93/'Elements and ions'!$G$2,"")</f>
        <v>0.14190499877740076</v>
      </c>
      <c r="CI93" s="91" t="str">
        <f>IF($BK93&lt;&gt;"",$BK93/'Elements and ions'!$B$15, "")</f>
        <v/>
      </c>
      <c r="CJ93" s="88" t="str">
        <f>IF($BL93&lt;&gt;"", $BL93/'Elements and ions'!$G$17,"")</f>
        <v/>
      </c>
      <c r="CK93" s="89">
        <f t="shared" si="762"/>
        <v>6.456542290346535E-4</v>
      </c>
      <c r="CL93" s="163" t="str">
        <f>IF($BN93&lt;&gt;"", $BN93/'Elements and ions'!$G$19,"")</f>
        <v/>
      </c>
      <c r="CM93" s="89">
        <f>IF($BO93&lt;&gt;"",$BO93/'Elements and ions'!$G$4,"")</f>
        <v>1.4859277533094364E-2</v>
      </c>
      <c r="CN93" s="89">
        <f>IF($BP93&lt;&gt;"",$BP93/'Elements and ions'!$B$10,"")</f>
        <v>7.4596828300421969E-3</v>
      </c>
      <c r="CO93" s="104">
        <f>IF($BQ93&lt;&gt;"",$BQ93/'Elements and ions'!$G$18,"")</f>
        <v>0</v>
      </c>
      <c r="CP93" s="242"/>
      <c r="CQ93" s="238">
        <f t="shared" si="771"/>
        <v>2.1268168265436619E-4</v>
      </c>
      <c r="CR93" s="239">
        <f t="shared" si="772"/>
        <v>2.6878577216937099E-5</v>
      </c>
      <c r="CS93" s="239">
        <f t="shared" si="773"/>
        <v>2.3170422348085524E-3</v>
      </c>
      <c r="CT93" s="241">
        <f t="shared" si="774"/>
        <v>3.1592164820419593E-4</v>
      </c>
      <c r="CU93" s="238">
        <f t="shared" si="775"/>
        <v>4.5919557490973536E-3</v>
      </c>
      <c r="CV93" s="239">
        <f t="shared" si="776"/>
        <v>2.5080073653677344E-4</v>
      </c>
      <c r="CW93" s="239">
        <f t="shared" si="777"/>
        <v>2.6487329100496833E-4</v>
      </c>
      <c r="CX93" s="241">
        <f t="shared" si="778"/>
        <v>1.1549211010576351E-4</v>
      </c>
      <c r="CY93" s="258">
        <f t="shared" si="763"/>
        <v>1.5488166189124814E-8</v>
      </c>
      <c r="CZ93" s="259" t="str">
        <f t="shared" si="779"/>
        <v/>
      </c>
      <c r="DA93" s="260" t="str">
        <f t="shared" si="780"/>
        <v/>
      </c>
      <c r="DB93" s="261" t="str">
        <f t="shared" si="781"/>
        <v/>
      </c>
      <c r="DC93" s="262">
        <f t="shared" si="782"/>
        <v>0</v>
      </c>
      <c r="DD93" s="263" t="str">
        <f t="shared" si="783"/>
        <v/>
      </c>
      <c r="DE93" s="259" t="str">
        <f t="shared" si="784"/>
        <v/>
      </c>
      <c r="DF93" s="260">
        <f t="shared" si="785"/>
        <v>1.4190499877740075E-4</v>
      </c>
      <c r="DG93" s="260" t="str">
        <f t="shared" si="786"/>
        <v/>
      </c>
      <c r="DH93" s="264" t="str">
        <f t="shared" si="787"/>
        <v/>
      </c>
      <c r="DI93" s="258">
        <f t="shared" si="764"/>
        <v>6.456542290346535E-7</v>
      </c>
      <c r="DJ93" s="260" t="str">
        <f t="shared" si="788"/>
        <v/>
      </c>
      <c r="DK93" s="260">
        <f t="shared" si="789"/>
        <v>1.4859277533094364E-5</v>
      </c>
      <c r="DL93" s="260">
        <f t="shared" si="790"/>
        <v>7.4596828300421972E-6</v>
      </c>
      <c r="DM93" s="265">
        <f t="shared" si="791"/>
        <v>0</v>
      </c>
      <c r="DN93" s="242"/>
      <c r="DO93" s="238">
        <f t="shared" si="792"/>
        <v>0.21268168265436618</v>
      </c>
      <c r="DP93" s="239">
        <f t="shared" si="793"/>
        <v>2.6878577216937097E-2</v>
      </c>
      <c r="DQ93" s="239">
        <f t="shared" si="794"/>
        <v>4.6340844696171049</v>
      </c>
      <c r="DR93" s="241">
        <f t="shared" si="795"/>
        <v>0.63184329640839187</v>
      </c>
      <c r="DS93" s="238">
        <f t="shared" si="796"/>
        <v>-4.5919557490973535</v>
      </c>
      <c r="DT93" s="239">
        <f t="shared" si="797"/>
        <v>-0.25080073653677343</v>
      </c>
      <c r="DU93" s="239">
        <f t="shared" si="798"/>
        <v>-0.26487329100496831</v>
      </c>
      <c r="DV93" s="241">
        <f t="shared" si="799"/>
        <v>-0.23098422021152701</v>
      </c>
      <c r="DW93" s="91">
        <f t="shared" si="765"/>
        <v>1.5488166189124814E-5</v>
      </c>
      <c r="DX93" s="89">
        <f t="shared" si="800"/>
        <v>0</v>
      </c>
      <c r="DY93" s="89">
        <f t="shared" si="801"/>
        <v>0</v>
      </c>
      <c r="DZ93" s="89">
        <f t="shared" si="802"/>
        <v>0</v>
      </c>
      <c r="EA93" s="90">
        <f t="shared" si="803"/>
        <v>0</v>
      </c>
      <c r="EB93" s="91">
        <f t="shared" si="766"/>
        <v>-6.456542290346535E-4</v>
      </c>
      <c r="EC93" s="89">
        <f t="shared" si="804"/>
        <v>0</v>
      </c>
      <c r="ED93" s="89">
        <f t="shared" si="805"/>
        <v>-2.9718555066188729E-2</v>
      </c>
      <c r="EE93" s="89">
        <f t="shared" si="806"/>
        <v>-7.4596828300421969E-3</v>
      </c>
      <c r="EF93" s="90">
        <f t="shared" si="807"/>
        <v>0</v>
      </c>
      <c r="EG93" s="242"/>
      <c r="EH93" s="245">
        <f t="shared" si="808"/>
        <v>5.5055035140629887</v>
      </c>
      <c r="EI93" s="246">
        <f t="shared" si="809"/>
        <v>-5.3764378889758877</v>
      </c>
      <c r="EJ93" s="198">
        <f t="shared" si="810"/>
        <v>1.186053299745377</v>
      </c>
      <c r="EK93" s="198">
        <f t="shared" si="811"/>
        <v>1.3671148832144268E-2</v>
      </c>
      <c r="EL93" s="101">
        <f>IF(AND(CS93&lt;&gt;"",DK93&lt;&gt;""),LOG(CS93*DK93/Minerals!$C$6),"")</f>
        <v>1.0171036506437674</v>
      </c>
      <c r="EM93" s="94">
        <f>IF(AND(CS93&lt;&gt;"",DK93&lt;&gt;""),LOG(CS93*DK93/Minerals!$C$5),"")</f>
        <v>0.88662412128754964</v>
      </c>
      <c r="EN93" s="94">
        <f>IF(AND(CS93&lt;&gt;"",DL93&lt;&gt;""),LOG(CS93*DL93^2/Minerals!$C$2),"")</f>
        <v>-2.3197003802521889</v>
      </c>
      <c r="EO93" s="94">
        <f>IF(AND(CS93&lt;&gt;"",CX93&lt;&gt;""),LOG($CS93*$CX93/Minerals!$C$3),"")</f>
        <v>-1.9725333687044662</v>
      </c>
      <c r="EP93" s="95">
        <f>IF(AND(CS93&lt;&gt;"",CX93&lt;&gt;""),LOG($CS93*$CX93/Minerals!$C$4),"")</f>
        <v>-2.2125178801703687</v>
      </c>
      <c r="EQ93" s="199"/>
      <c r="ER93" s="101">
        <f t="shared" si="834"/>
        <v>0.88645798677387722</v>
      </c>
      <c r="ES93" s="94">
        <f t="shared" si="834"/>
        <v>0.88645798677387722</v>
      </c>
      <c r="ET93" s="94">
        <f t="shared" si="835"/>
        <v>0.61749383931481483</v>
      </c>
      <c r="EU93" s="94">
        <f t="shared" si="835"/>
        <v>0.61749383931481483</v>
      </c>
      <c r="EV93" s="95">
        <f t="shared" si="835"/>
        <v>0.61749383931481483</v>
      </c>
      <c r="EW93" s="101">
        <f t="shared" si="836"/>
        <v>0.88645798677387722</v>
      </c>
      <c r="EX93" s="94">
        <f t="shared" si="758"/>
        <v>0.61749383931481483</v>
      </c>
      <c r="EY93" s="94">
        <f t="shared" si="836"/>
        <v>0.88645798677387722</v>
      </c>
      <c r="EZ93" s="94">
        <f t="shared" si="836"/>
        <v>0.88645798677387722</v>
      </c>
      <c r="FA93" s="94">
        <f t="shared" si="836"/>
        <v>0.88645798677387722</v>
      </c>
      <c r="FB93" s="95">
        <f t="shared" si="759"/>
        <v>0.61749383931481483</v>
      </c>
      <c r="FC93" s="199"/>
      <c r="FD93" s="101">
        <f t="shared" si="812"/>
        <v>1.8853337622947008E-4</v>
      </c>
      <c r="FE93" s="94">
        <f t="shared" si="813"/>
        <v>2.3826729447072263E-5</v>
      </c>
      <c r="FF93" s="94">
        <f t="shared" si="814"/>
        <v>1.4307593054265118E-3</v>
      </c>
      <c r="FG93" s="94">
        <f t="shared" si="815"/>
        <v>1.9507967147227323E-4</v>
      </c>
      <c r="FH93" s="95" t="str">
        <f t="shared" si="816"/>
        <v/>
      </c>
      <c r="FI93" s="101">
        <f t="shared" si="817"/>
        <v>4.0705758486995714E-3</v>
      </c>
      <c r="FJ93" s="94">
        <f t="shared" si="818"/>
        <v>9.1755123333548088E-6</v>
      </c>
      <c r="FK93" s="94">
        <f t="shared" si="819"/>
        <v>2.2232431599179377E-4</v>
      </c>
      <c r="FL93" s="94">
        <f t="shared" si="820"/>
        <v>2.3479904429443555E-4</v>
      </c>
      <c r="FM93" s="94">
        <f t="shared" si="821"/>
        <v>6.6126954234908652E-6</v>
      </c>
      <c r="FN93" s="95">
        <f t="shared" si="822"/>
        <v>7.1315666479777228E-5</v>
      </c>
      <c r="FO93" s="199"/>
      <c r="FP93" s="101">
        <f>IF(EL93&lt;&gt;"",LOG(FF93*FJ93/Minerals!$C$6),"")</f>
        <v>0.59836890870983805</v>
      </c>
      <c r="FQ93" s="94">
        <f>IF(EL93&lt;&gt;"",LOG(FF93*FJ93/Minerals!$C$5),"")</f>
        <v>0.46788937935362035</v>
      </c>
      <c r="FR93" s="94">
        <f>IF(EN93&lt;&gt;"",LOG(FF93*FM93^2/Minerals!$C$2),"")</f>
        <v>-2.633751436702636</v>
      </c>
      <c r="FS93" s="94">
        <f>IF(EO93&lt;&gt;"",LOG($FF93*$FN93/Minerals!$C$3),"")</f>
        <v>-2.3912681106383955</v>
      </c>
      <c r="FT93" s="95">
        <f>IF(EP93&lt;&gt;"",LOG($FF93*$FN93/Minerals!$C$4),"")</f>
        <v>-2.6312526221042978</v>
      </c>
      <c r="FU93" s="96"/>
      <c r="FV93" s="101">
        <f>IF(FP93&lt;&gt;"",LOG(FF93*FJ93/(EXP(-1*Minerals!$E$6/'Other Constants'!$B$2*(1/(273.15+'ppm-mgL-1'!$D93)-1/298.15)+LN(Minerals!$C$6)))),"")</f>
        <v>-0.82281848490242349</v>
      </c>
      <c r="FW93" s="94">
        <f>IF(FP93&lt;&gt;"",LOG(FF93*FJ93/(EXP(-1*Minerals!$E$5/'Other Constants'!$B$2*(1/(273.15+'ppm-mgL-1'!$D93)-1/298.15)+LN(Minerals!$C$5)))),"")</f>
        <v>-0.95342649386624279</v>
      </c>
      <c r="FX93" s="94">
        <f>IF(FR93&lt;&gt;"",LOG(FF93*FM93^2/(EXP(-1*Minerals!$E$2/'Other Constants'!$B$2*(1/(273.15+'ppm-mgL-1'!$D93)-1/298.15)+LN(Minerals!$C$2)))),"")</f>
        <v>-2.5736658068810243</v>
      </c>
      <c r="FY93" s="94">
        <f>IF(FS93&lt;&gt;"",LOG($FF93*$FN93/(EXP(-1*Minerals!$E$3/'Other Constants'!$B$2*(1/(273.15+'ppm-mgL-1'!$D93)-1/298.15)+LN(Minerals!$C$3)))),"")</f>
        <v>-1.1661550950083397</v>
      </c>
      <c r="FZ93" s="95">
        <f>IF(FT93&lt;&gt;"",LOG($FF93*$FN93/(EXP(-1*Minerals!$E$4/'Other Constants'!$B$2*(1/(273.15+'ppm-mgL-1'!$D93)-1/298.15)+LN(Minerals!$C$4)))),"")</f>
        <v>-2.6663489682474277</v>
      </c>
      <c r="GA93" s="96"/>
      <c r="GB93" s="96"/>
      <c r="GC93" s="101">
        <f>10^(-1825000*(79.755*EXP(-0.0046*($D93-20))*($D93+273.15))^-1.5*$EK93^0.5/(1+'Elements and ions'!$D$12*$EK93^0.5/(2*(79.755*EXP(-0.0046*($D93-20))*($D93+273.15))^0.5)))</f>
        <v>0.8873689668138327</v>
      </c>
      <c r="GD93" s="94">
        <f>10^(-1825000*(79.755*EXP(-0.0046*($D93-20))*($D93+273.15))^-1.5*$EK93^0.5/(1+'Elements and ions'!$D$20*$EK93^0.5/(2*(79.755*EXP(-0.0046*($D93-20))*($D93+273.15))^0.5)))</f>
        <v>0.88373669944631073</v>
      </c>
      <c r="GE93" s="94">
        <f>10^(-1825000*(79.755*EXP(-0.0046*($D93-20))*($D93+273.15))^-1.5*4*$EK93^0.5/(1+'Elements and ions'!$D$21*$EK93^0.5/(2*(79.755*EXP(-0.0046*($D93-20))*($D93+273.15))^0.5)))</f>
        <v>0.63875928905095503</v>
      </c>
      <c r="GF93" s="94">
        <f>10^(-1825000*(79.755*EXP(-0.0046*($D93-20))*($D93+273.15))^-1.5*4*$EK93^0.5/(1+'Elements and ions'!$D$13*$EK93^0.5/(2*(79.755*EXP(-0.0046*($D93-20))*($D93+273.15))^0.5)))</f>
        <v>0.65575769697448083</v>
      </c>
      <c r="GG93" s="95">
        <f>10^(-1825000*(79.755*EXP(-0.0046*($D93-20))*($D93+273.15))^-1.5*4*$EK93^0.5/(1+'Elements and ions'!$D$27*$EK93^0.5/(2*(79.755*EXP(-0.0046*($D93-20))*($D93+273.15))^0.5)))</f>
        <v>0.63875928905095503</v>
      </c>
      <c r="GH93" s="101">
        <f>10^(-1825000*(79.755*EXP(-0.0046*($D93-20))*($D93+273.15))^-1.5*$EK93^0.5/(1+'Elements and ions'!$G$3*$EK93^0.5/(2*(79.755*EXP(-0.0046*($D93-20))*($D93+273.15))^0.5)))</f>
        <v>0.87402964028194319</v>
      </c>
      <c r="GI93" s="94">
        <f>10^(-1825000*(79.755*EXP(-0.0046*($D93-20))*($D93+273.15))^-1.5*4*$EK93^0.5/(1+'Elements and ions'!$G$4*$EK93^0.5/(2*(79.755*EXP(-0.0046*($D93-20))*($D93+273.15))^0.5)))</f>
        <v>0.58346721116712186</v>
      </c>
      <c r="GJ93" s="94">
        <f>10^(-1825000*(79.755*EXP(-0.0046*($D93-20))*($D93+273.15))^-1.5*$EK93^0.5/(1+'Elements and ions'!$D$18*$EK93^0.5/(2*(79.755*EXP(-0.0046*($D93-20))*($D93+273.15))^0.5)))</f>
        <v>0.88373669944631073</v>
      </c>
      <c r="GK93" s="94">
        <f>10^(-1825000*(79.755*EXP(-0.0046*($D93-20))*($D93+273.15))^-1.5*$EK93^0.5/(1+'Elements and ions'!$I$7*$EK93^0.5/(2*(79.755*EXP(-0.0046*($D93-20))*($D93+273.15))^0.5)))</f>
        <v>0.88373669944631073</v>
      </c>
      <c r="GL93" s="94">
        <f>10^(-1825000*(79.755*EXP(-0.0046*($D93-20))*($D93+273.15))^-1.5*$EK93^0.5/(1+'Elements and ions'!$D$10*$EK93^0.5/(2*(79.755*EXP(-0.0046*($D93-20))*($D93+273.15))^0.5)))</f>
        <v>0.88558161520841472</v>
      </c>
      <c r="GM93" s="95">
        <f>10^(-1825000*(79.755*EXP(-0.0046*($D93-20))*($D93+273.15))^-1.5*4*$EK93^0.5/(1+'Elements and ions'!$I$5*$EK93^0.5/(2*(79.755*EXP(-0.0046*($D93-20))*($D93+273.15))^0.5)))</f>
        <v>0.62003605696543596</v>
      </c>
      <c r="GN93" s="96"/>
      <c r="GO93" s="101">
        <f t="shared" si="823"/>
        <v>1.8872712499723237E-4</v>
      </c>
      <c r="GP93" s="94">
        <f t="shared" si="824"/>
        <v>2.3753585115508797E-5</v>
      </c>
      <c r="GQ93" s="94">
        <f t="shared" si="825"/>
        <v>1.480032250607347E-3</v>
      </c>
      <c r="GR93" s="94">
        <f t="shared" si="826"/>
        <v>2.0716805245076566E-4</v>
      </c>
      <c r="GS93" s="95" t="str">
        <f t="shared" si="827"/>
        <v/>
      </c>
      <c r="GT93" s="101">
        <f t="shared" si="828"/>
        <v>4.0135054315741606E-3</v>
      </c>
      <c r="GU93" s="94">
        <f t="shared" si="829"/>
        <v>8.6699012221928383E-6</v>
      </c>
      <c r="GV93" s="94">
        <f t="shared" si="830"/>
        <v>2.216418151257119E-4</v>
      </c>
      <c r="GW93" s="94">
        <f t="shared" si="831"/>
        <v>2.3407824796421289E-4</v>
      </c>
      <c r="GX93" s="94">
        <f t="shared" si="832"/>
        <v>6.6061579695712473E-6</v>
      </c>
      <c r="GY93" s="102">
        <f t="shared" si="833"/>
        <v>7.1609272560595579E-5</v>
      </c>
      <c r="GZ93" s="199"/>
      <c r="HA93" s="92">
        <f>IF(AND(GQ93&lt;&gt;"",GU93&lt;&gt;""),LOG(GQ93*GU93/Minerals!$C$6),"")</f>
        <v>0.5884573347119525</v>
      </c>
      <c r="HB93" s="94">
        <f>IF(AND(GQ93&lt;&gt;"",GU93&lt;&gt;""),LOG(GQ93*GU93/Minerals!$C$5),"")</f>
        <v>0.45797780535573479</v>
      </c>
      <c r="HC93" s="94">
        <f>IF(AND(GQ93&lt;&gt;"",GX93&lt;&gt;""),LOG(GQ93*GX93^2/Minerals!$C$2),"")</f>
        <v>-2.6199059675014564</v>
      </c>
      <c r="HD93" s="94">
        <f>IF(AND(GQ93&lt;&gt;"",GY93&lt;&gt;""),LOG($GQ93*$GY93/Minerals!$C$3),"")</f>
        <v>-2.3747791940946796</v>
      </c>
      <c r="HE93" s="102">
        <f>IF(AND(GQ93&lt;&gt;"",GY93&lt;&gt;""),LOG($GQ93*$GY93/Minerals!$C$3),"")</f>
        <v>-2.3747791940946796</v>
      </c>
      <c r="HF93" s="199"/>
      <c r="HG93" s="92">
        <f>IF(HA93&lt;&gt;"",LOG(GQ93*GU93/(EXP(-1*Minerals!$E$6/'Other Constants'!$B$2*(1/(273.15+'ppm-mgL-1'!$D93)-1/298.15)+LN(Minerals!$C$6)))),"")</f>
        <v>-0.83273005890030904</v>
      </c>
      <c r="HH93" s="94">
        <f>IF(HA93&lt;&gt;"",LOG(GQ93*GU93/(EXP(-1*Minerals!$E$5/'Other Constants'!$B$2*(1/(273.15+'ppm-mgL-1'!$D93)-1/298.15)+LN(Minerals!$C$5)))),"")</f>
        <v>-0.96333806786412834</v>
      </c>
      <c r="HI93" s="94">
        <f>IF(HC93&lt;&gt;"",LOG(GQ93*GX93^2/(EXP(-1*Minerals!$E$2/'Other Constants'!$B$2*(1/(273.15+'ppm-mgL-1'!$D93)-1/298.15)+LN(Minerals!$C$2)))),"")</f>
        <v>-2.5598203376798447</v>
      </c>
      <c r="HJ93" s="94">
        <f>IF(HD93&lt;&gt;"",LOG($FF93*$FN93/(EXP(-1*Minerals!$E$3/'Other Constants'!$B$2*(1/(273.15+'ppm-mgL-1'!$D93)-1/298.15)+LN(Minerals!$C$3)))),"")</f>
        <v>-1.1661550950083397</v>
      </c>
      <c r="HK93" s="95">
        <f>IF(HE93&lt;&gt;"",LOG($FF93*$FN93/(EXP(-1*Minerals!$E$4/'Other Constants'!$B$2*(1/(273.15+'ppm-mgL-1'!$D93)-1/298.15)+LN(Minerals!$C$4)))),"")</f>
        <v>-2.6663489682474277</v>
      </c>
      <c r="HL93" s="199"/>
      <c r="HM93" s="199"/>
    </row>
    <row r="94" spans="1:221" x14ac:dyDescent="0.25">
      <c r="A94" s="267" t="str">
        <f>'WC samples'!B65</f>
        <v>ISSR 8</v>
      </c>
      <c r="C94" s="266">
        <f>'WC samples'!A65</f>
        <v>41546</v>
      </c>
      <c r="D94" s="4">
        <f>'WC samples'!I65</f>
        <v>21.4</v>
      </c>
      <c r="E94" s="4">
        <f>'WC samples'!F65</f>
        <v>8</v>
      </c>
      <c r="AD94" s="83">
        <f>IF(E94&lt;&gt;"",10^(-2*$E94)/(10^(-2*$E94)+10^(-$E94-pKa!$B$2)+(10^(-pKa!$B$2-pKa!$C$2))),"")</f>
        <v>1.94666481010436E-2</v>
      </c>
      <c r="AE94" s="84">
        <f>IF(E94&lt;&gt;"",10^(-$E94-pKa!$B$2)/(10^(-2*$E94)+10^(-$E94-pKa!$B$2)+10^(-pKa!$B$2-pKa!$C$2)),"")</f>
        <v>0.97564355097575817</v>
      </c>
      <c r="AF94" s="212">
        <f>IF(E94&lt;&gt;"",10^(-pKa!$B$2-pKa!$C$2)/(10^(-2*$E94)+10^(-$E94-pKa!$B$2)+10^(-pKa!$B$2-pKa!$C$2)),"")</f>
        <v>4.8898009231982918E-3</v>
      </c>
      <c r="AG94" s="152"/>
      <c r="AH94" s="222">
        <f>IF($AK94&lt;&gt;"",$AK94/'Elements and ions'!$G$3,IF($E94="","",""))</f>
        <v>4.6052860161227622</v>
      </c>
      <c r="AI94" s="85">
        <f t="shared" si="770"/>
        <v>4.6734085889231234E-3</v>
      </c>
      <c r="AJ94" s="84">
        <f>IF(AI94&lt;&gt;"",AI94*1000*'Elements and ions'!$B$7,"")</f>
        <v>56.13090853897895</v>
      </c>
      <c r="AK94" s="99">
        <f>'WC samples'!H65</f>
        <v>281</v>
      </c>
      <c r="AL94" s="88">
        <f>IF($AK94&lt;&gt;"",$AK94/'Elements and ions'!$G$3*Minerals!$B$6/2,IF($E94="","","Enter Alk(HCO3-)"))</f>
        <v>230.46440048353864</v>
      </c>
      <c r="AM94" s="199"/>
      <c r="AN94" s="101">
        <f t="shared" si="755"/>
        <v>9.0975600432961166E-5</v>
      </c>
      <c r="AO94" s="94">
        <f t="shared" si="756"/>
        <v>4.5595809508575634E-3</v>
      </c>
      <c r="AP94" s="95">
        <f t="shared" si="757"/>
        <v>2.2852037632599115E-5</v>
      </c>
      <c r="AQ94" s="199"/>
      <c r="AR94" s="199"/>
      <c r="AS94" s="83">
        <f t="shared" si="760"/>
        <v>0.26757529539106223</v>
      </c>
      <c r="AT94" s="83">
        <f>IF(AN94&lt;&gt;"",AN94/'Henrys law constants'!$B$7*1000000,"")</f>
        <v>2675.7529539106222</v>
      </c>
      <c r="AU94" s="268">
        <f>'WC samples'!K65</f>
        <v>4.6684000000000001</v>
      </c>
      <c r="AV94" s="269">
        <f>'WC samples'!M65</f>
        <v>1.1153999999999999</v>
      </c>
      <c r="AW94" s="269">
        <f>'WC samples'!O65</f>
        <v>87.873800000000003</v>
      </c>
      <c r="AX94" s="269">
        <f>'WC samples'!N65</f>
        <v>7.7305000000000001</v>
      </c>
      <c r="AY94" s="226">
        <f>AO94*'Elements and ions'!$G$3*1000</f>
        <v>278.21122134552377</v>
      </c>
      <c r="AZ94" s="269">
        <f>'WC samples'!Q65</f>
        <v>8.4360999999999997</v>
      </c>
      <c r="BA94" s="269">
        <f>'WC samples'!T65</f>
        <v>15.2355</v>
      </c>
      <c r="BB94" s="270">
        <f>'WC samples'!V65</f>
        <v>10.9244</v>
      </c>
      <c r="BC94" s="222">
        <f>IF($E94&lt;&gt;"",10^-$E94*'Elements and ions'!B98*1000,"")</f>
        <v>0</v>
      </c>
      <c r="BE94" s="6"/>
      <c r="BF94" s="6"/>
      <c r="BG94" s="270">
        <f>'WC samples'!L65</f>
        <v>0</v>
      </c>
      <c r="BH94" s="3"/>
      <c r="BJ94" s="92">
        <f>IF($AN94&lt;&gt;"",$AN94*'Elements and ions'!$G$2*1000,"")</f>
        <v>5.64274160222232</v>
      </c>
      <c r="BK94" s="229"/>
      <c r="BL94" s="230"/>
      <c r="BM94" s="101">
        <f>IF($E94&lt;&gt;"",(10^-14+$E94)*'Elements and ions'!$G$8,"")</f>
        <v>136.05872000000016</v>
      </c>
      <c r="BO94" s="102">
        <f>IF($AP94&lt;&gt;"",$AP94*'Elements and ions'!$G$4*1000,"")</f>
        <v>1.371325641090877</v>
      </c>
      <c r="BP94" s="269">
        <f>'WC samples'!P65</f>
        <v>0.13009999999999999</v>
      </c>
      <c r="BQ94" s="270">
        <f>'WC samples'!R65</f>
        <v>0</v>
      </c>
      <c r="BR94" s="195"/>
      <c r="BS94" s="238">
        <f>IF($AU94&lt;&gt;"",$AU94/'Elements and ions'!$B$12,"")</f>
        <v>0.20306423884215682</v>
      </c>
      <c r="BT94" s="239">
        <f>IF($AV94&lt;&gt;"",$AV94/'Elements and ions'!$B$20,"")</f>
        <v>2.8528094571886754E-2</v>
      </c>
      <c r="BU94" s="239">
        <f>IF($AW94&lt;&gt;"",$AW94/'Elements and ions'!$B$21, "")</f>
        <v>2.1925694894954839</v>
      </c>
      <c r="BV94" s="240">
        <f>IF($AX94&lt;&gt;"",$AX94/'Elements and ions'!$B$13, "")</f>
        <v>0.31806212713433452</v>
      </c>
      <c r="BW94" s="238">
        <f>IF($AY94&lt;&gt;"",$AY94/'Elements and ions'!$G$3,"")</f>
        <v>4.5595809508575629</v>
      </c>
      <c r="BX94" s="239">
        <f>IF($AZ94&lt;&gt;"",$AZ94/'Elements and ions'!$B$18,"")</f>
        <v>0.23795165430287984</v>
      </c>
      <c r="BY94" s="239">
        <f>IF($BA94&lt;&gt;"",$BA94/'Elements and ions'!$G$7,"")</f>
        <v>0.24571445159979291</v>
      </c>
      <c r="BZ94" s="241">
        <f>IF($BB94&lt;&gt;"",$BB94/'Elements and ions'!$G$5,"")</f>
        <v>0.11372167732291236</v>
      </c>
      <c r="CA94" s="91">
        <f t="shared" si="761"/>
        <v>1.0000000000000001E-5</v>
      </c>
      <c r="CB94" s="163" t="str">
        <f>IF($BD94&lt;&gt;"",$BD94/'Elements and ions'!$B$14,"")</f>
        <v/>
      </c>
      <c r="CC94" s="89" t="str">
        <f>IF($BE94&lt;&gt;"",$BE94/'Elements and ions'!$B$27, "")</f>
        <v/>
      </c>
      <c r="CD94" s="249" t="str">
        <f>IF($BF94&lt;&gt;"",$BF94/'Elements and ions'!$B$26,"")</f>
        <v/>
      </c>
      <c r="CE94" s="250">
        <f>IF($BG94&lt;&gt;"",$BG94/'Elements and ions'!$G$6,"")</f>
        <v>0</v>
      </c>
      <c r="CF94" s="91" t="str">
        <f>IF($BH94&lt;&gt;"",$BH94/'Elements and ions'!$G$15,"")</f>
        <v/>
      </c>
      <c r="CG94" s="89" t="str">
        <f>IF($BI94&lt;&gt;"",$BI94/'Elements and ions'!$G$16,"")</f>
        <v/>
      </c>
      <c r="CH94" s="90">
        <f>IF($BJ94&lt;&gt;"",$BJ94/'Elements and ions'!$G$2,"")</f>
        <v>9.0975600432961157E-2</v>
      </c>
      <c r="CI94" s="91" t="str">
        <f>IF($BK94&lt;&gt;"",$BK94/'Elements and ions'!$B$15, "")</f>
        <v/>
      </c>
      <c r="CJ94" s="88" t="str">
        <f>IF($BL94&lt;&gt;"", $BL94/'Elements and ions'!$G$17,"")</f>
        <v/>
      </c>
      <c r="CK94" s="89">
        <f t="shared" si="762"/>
        <v>1E-3</v>
      </c>
      <c r="CL94" s="163" t="str">
        <f>IF($BN94&lt;&gt;"", $BN94/'Elements and ions'!$G$19,"")</f>
        <v/>
      </c>
      <c r="CM94" s="89">
        <f>IF($BO94&lt;&gt;"",$BO94/'Elements and ions'!$G$4,"")</f>
        <v>2.2852037632599114E-2</v>
      </c>
      <c r="CN94" s="89">
        <f>IF($BP94&lt;&gt;"",$BP94/'Elements and ions'!$B$10,"")</f>
        <v>6.8479439366777939E-3</v>
      </c>
      <c r="CO94" s="104">
        <f>IF($BQ94&lt;&gt;"",$BQ94/'Elements and ions'!$G$18,"")</f>
        <v>0</v>
      </c>
      <c r="CP94" s="242"/>
      <c r="CQ94" s="238">
        <f t="shared" si="771"/>
        <v>2.0306423884215683E-4</v>
      </c>
      <c r="CR94" s="239">
        <f t="shared" si="772"/>
        <v>2.8528094571886755E-5</v>
      </c>
      <c r="CS94" s="239">
        <f t="shared" si="773"/>
        <v>2.1925694894954838E-3</v>
      </c>
      <c r="CT94" s="241">
        <f t="shared" si="774"/>
        <v>3.180621271343345E-4</v>
      </c>
      <c r="CU94" s="238">
        <f t="shared" si="775"/>
        <v>4.5595809508575625E-3</v>
      </c>
      <c r="CV94" s="239">
        <f t="shared" si="776"/>
        <v>2.3795165430287983E-4</v>
      </c>
      <c r="CW94" s="239">
        <f t="shared" si="777"/>
        <v>2.4571445159979289E-4</v>
      </c>
      <c r="CX94" s="241">
        <f t="shared" si="778"/>
        <v>1.1372167732291236E-4</v>
      </c>
      <c r="CY94" s="258">
        <f t="shared" si="763"/>
        <v>1E-8</v>
      </c>
      <c r="CZ94" s="259" t="str">
        <f t="shared" si="779"/>
        <v/>
      </c>
      <c r="DA94" s="260" t="str">
        <f t="shared" si="780"/>
        <v/>
      </c>
      <c r="DB94" s="261" t="str">
        <f t="shared" si="781"/>
        <v/>
      </c>
      <c r="DC94" s="262">
        <f t="shared" si="782"/>
        <v>0</v>
      </c>
      <c r="DD94" s="263" t="str">
        <f t="shared" si="783"/>
        <v/>
      </c>
      <c r="DE94" s="259" t="str">
        <f t="shared" si="784"/>
        <v/>
      </c>
      <c r="DF94" s="260">
        <f t="shared" si="785"/>
        <v>9.0975600432961152E-5</v>
      </c>
      <c r="DG94" s="260" t="str">
        <f t="shared" si="786"/>
        <v/>
      </c>
      <c r="DH94" s="264" t="str">
        <f t="shared" si="787"/>
        <v/>
      </c>
      <c r="DI94" s="258">
        <f t="shared" si="764"/>
        <v>9.9999999999999995E-7</v>
      </c>
      <c r="DJ94" s="260" t="str">
        <f t="shared" si="788"/>
        <v/>
      </c>
      <c r="DK94" s="260">
        <f t="shared" si="789"/>
        <v>2.2852037632599115E-5</v>
      </c>
      <c r="DL94" s="260">
        <f t="shared" si="790"/>
        <v>6.8479439366777943E-6</v>
      </c>
      <c r="DM94" s="265">
        <f t="shared" si="791"/>
        <v>0</v>
      </c>
      <c r="DN94" s="242"/>
      <c r="DO94" s="238">
        <f t="shared" si="792"/>
        <v>0.20306423884215682</v>
      </c>
      <c r="DP94" s="239">
        <f t="shared" si="793"/>
        <v>2.8528094571886754E-2</v>
      </c>
      <c r="DQ94" s="239">
        <f t="shared" si="794"/>
        <v>4.3851389789909678</v>
      </c>
      <c r="DR94" s="241">
        <f t="shared" si="795"/>
        <v>0.63612425426866903</v>
      </c>
      <c r="DS94" s="238">
        <f t="shared" si="796"/>
        <v>-4.5595809508575629</v>
      </c>
      <c r="DT94" s="239">
        <f t="shared" si="797"/>
        <v>-0.23795165430287984</v>
      </c>
      <c r="DU94" s="239">
        <f t="shared" si="798"/>
        <v>-0.24571445159979291</v>
      </c>
      <c r="DV94" s="241">
        <f t="shared" si="799"/>
        <v>-0.22744335464582471</v>
      </c>
      <c r="DW94" s="91">
        <f t="shared" si="765"/>
        <v>1.0000000000000001E-5</v>
      </c>
      <c r="DX94" s="89">
        <f t="shared" si="800"/>
        <v>0</v>
      </c>
      <c r="DY94" s="89">
        <f t="shared" si="801"/>
        <v>0</v>
      </c>
      <c r="DZ94" s="89">
        <f t="shared" si="802"/>
        <v>0</v>
      </c>
      <c r="EA94" s="90">
        <f t="shared" si="803"/>
        <v>0</v>
      </c>
      <c r="EB94" s="91">
        <f t="shared" si="766"/>
        <v>-1E-3</v>
      </c>
      <c r="EC94" s="89">
        <f t="shared" si="804"/>
        <v>0</v>
      </c>
      <c r="ED94" s="89">
        <f t="shared" si="805"/>
        <v>-4.5704075265198228E-2</v>
      </c>
      <c r="EE94" s="89">
        <f t="shared" si="806"/>
        <v>-6.8479439366777939E-3</v>
      </c>
      <c r="EF94" s="90">
        <f t="shared" si="807"/>
        <v>0</v>
      </c>
      <c r="EG94" s="242"/>
      <c r="EH94" s="245">
        <f t="shared" si="808"/>
        <v>5.2528655666736803</v>
      </c>
      <c r="EI94" s="246">
        <f t="shared" si="809"/>
        <v>-5.3242424306079368</v>
      </c>
      <c r="EJ94" s="198">
        <f t="shared" si="810"/>
        <v>-0.67482400626523587</v>
      </c>
      <c r="EK94" s="198">
        <f t="shared" si="811"/>
        <v>1.3138256842866399E-2</v>
      </c>
      <c r="EL94" s="101">
        <f>IF(AND(CS94&lt;&gt;"",DK94&lt;&gt;""),LOG(CS94*DK94/Minerals!$C$6),"")</f>
        <v>1.1800503032355327</v>
      </c>
      <c r="EM94" s="94">
        <f>IF(AND(CS94&lt;&gt;"",DK94&lt;&gt;""),LOG(CS94*DK94/Minerals!$C$5),"")</f>
        <v>1.049570773879315</v>
      </c>
      <c r="EN94" s="94">
        <f>IF(AND(CS94&lt;&gt;"",DL94&lt;&gt;""),LOG(CS94*DL94^2/Minerals!$C$2),"")</f>
        <v>-2.4180012967930797</v>
      </c>
      <c r="EO94" s="94">
        <f>IF(AND(CS94&lt;&gt;"",CX94&lt;&gt;""),LOG($CS94*$CX94/Minerals!$C$3),"")</f>
        <v>-2.0032230120016208</v>
      </c>
      <c r="EP94" s="95">
        <f>IF(AND(CS94&lt;&gt;"",CX94&lt;&gt;""),LOG($CS94*$CX94/Minerals!$C$4),"")</f>
        <v>-2.2432075234675235</v>
      </c>
      <c r="EQ94" s="199"/>
      <c r="ER94" s="101">
        <f t="shared" si="834"/>
        <v>0.88834666050084643</v>
      </c>
      <c r="ES94" s="94">
        <f t="shared" si="834"/>
        <v>0.88834666050084643</v>
      </c>
      <c r="ET94" s="94">
        <f t="shared" si="835"/>
        <v>0.62277317292649925</v>
      </c>
      <c r="EU94" s="94">
        <f t="shared" si="835"/>
        <v>0.62277317292649925</v>
      </c>
      <c r="EV94" s="95">
        <f t="shared" si="835"/>
        <v>0.62277317292649925</v>
      </c>
      <c r="EW94" s="101">
        <f t="shared" si="836"/>
        <v>0.88834666050084643</v>
      </c>
      <c r="EX94" s="94">
        <f t="shared" si="758"/>
        <v>0.62277317292649925</v>
      </c>
      <c r="EY94" s="94">
        <f t="shared" si="836"/>
        <v>0.88834666050084643</v>
      </c>
      <c r="EZ94" s="94">
        <f t="shared" si="836"/>
        <v>0.88834666050084643</v>
      </c>
      <c r="FA94" s="94">
        <f t="shared" si="836"/>
        <v>0.88834666050084643</v>
      </c>
      <c r="FB94" s="95">
        <f t="shared" si="759"/>
        <v>0.62277317292649925</v>
      </c>
      <c r="FC94" s="199"/>
      <c r="FD94" s="101">
        <f t="shared" si="812"/>
        <v>1.8039143844257629E-4</v>
      </c>
      <c r="FE94" s="94">
        <f t="shared" si="813"/>
        <v>2.5342837543387924E-5</v>
      </c>
      <c r="FF94" s="94">
        <f t="shared" si="814"/>
        <v>1.3654734578349371E-3</v>
      </c>
      <c r="FG94" s="94">
        <f t="shared" si="815"/>
        <v>1.980805601032011E-4</v>
      </c>
      <c r="FH94" s="95" t="str">
        <f t="shared" si="816"/>
        <v/>
      </c>
      <c r="FI94" s="101">
        <f t="shared" si="817"/>
        <v>4.0504885109775898E-3</v>
      </c>
      <c r="FJ94" s="94">
        <f t="shared" si="818"/>
        <v>1.4231635984289517E-5</v>
      </c>
      <c r="FK94" s="94">
        <f t="shared" si="819"/>
        <v>2.1138355746061518E-4</v>
      </c>
      <c r="FL94" s="94">
        <f t="shared" si="820"/>
        <v>2.1827961251547287E-4</v>
      </c>
      <c r="FM94" s="94">
        <f t="shared" si="821"/>
        <v>6.0833481274447385E-6</v>
      </c>
      <c r="FN94" s="95">
        <f t="shared" si="822"/>
        <v>7.0822809816913649E-5</v>
      </c>
      <c r="FO94" s="199"/>
      <c r="FP94" s="101">
        <f>IF(EL94&lt;&gt;"",LOG(FF94*FJ94/Minerals!$C$6),"")</f>
        <v>0.76871009580315075</v>
      </c>
      <c r="FQ94" s="94">
        <f>IF(EL94&lt;&gt;"",LOG(FF94*FJ94/Minerals!$C$5),"")</f>
        <v>0.63823056644693299</v>
      </c>
      <c r="FR94" s="94">
        <f>IF(EN94&lt;&gt;"",LOG(FF94*FM94^2/Minerals!$C$2),"")</f>
        <v>-2.7265064523673659</v>
      </c>
      <c r="FS94" s="94">
        <f>IF(EO94&lt;&gt;"",LOG($FF94*$FN94/Minerals!$C$3),"")</f>
        <v>-2.4145632194340028</v>
      </c>
      <c r="FT94" s="95">
        <f>IF(EP94&lt;&gt;"",LOG($FF94*$FN94/Minerals!$C$4),"")</f>
        <v>-2.6545477308999055</v>
      </c>
      <c r="FU94" s="96"/>
      <c r="FV94" s="101">
        <f>IF(FP94&lt;&gt;"",LOG(FF94*FJ94/(EXP(-1*Minerals!$E$6/'Other Constants'!$B$2*(1/(273.15+'ppm-mgL-1'!$D94)-1/298.15)+LN(Minerals!$C$6)))),"")</f>
        <v>-0.65247729780911068</v>
      </c>
      <c r="FW94" s="94">
        <f>IF(FP94&lt;&gt;"",LOG(FF94*FJ94/(EXP(-1*Minerals!$E$5/'Other Constants'!$B$2*(1/(273.15+'ppm-mgL-1'!$D94)-1/298.15)+LN(Minerals!$C$5)))),"")</f>
        <v>-0.78308530677293009</v>
      </c>
      <c r="FX94" s="94">
        <f>IF(FR94&lt;&gt;"",LOG(FF94*FM94^2/(EXP(-1*Minerals!$E$2/'Other Constants'!$B$2*(1/(273.15+'ppm-mgL-1'!$D94)-1/298.15)+LN(Minerals!$C$2)))),"")</f>
        <v>-2.6664208225457542</v>
      </c>
      <c r="FY94" s="94">
        <f>IF(FS94&lt;&gt;"",LOG($FF94*$FN94/(EXP(-1*Minerals!$E$3/'Other Constants'!$B$2*(1/(273.15+'ppm-mgL-1'!$D94)-1/298.15)+LN(Minerals!$C$3)))),"")</f>
        <v>-1.1894502038039469</v>
      </c>
      <c r="FZ94" s="95">
        <f>IF(FT94&lt;&gt;"",LOG($FF94*$FN94/(EXP(-1*Minerals!$E$4/'Other Constants'!$B$2*(1/(273.15+'ppm-mgL-1'!$D94)-1/298.15)+LN(Minerals!$C$4)))),"")</f>
        <v>-2.689644077043035</v>
      </c>
      <c r="GA94" s="96"/>
      <c r="GB94" s="96"/>
      <c r="GC94" s="101">
        <f>10^(-1825000*(79.755*EXP(-0.0046*($D94-20))*($D94+273.15))^-1.5*$EK94^0.5/(1+'Elements and ions'!$D$12*$EK94^0.5/(2*(79.755*EXP(-0.0046*($D94-20))*($D94+273.15))^0.5)))</f>
        <v>0.88918564694618607</v>
      </c>
      <c r="GD94" s="94">
        <f>10^(-1825000*(79.755*EXP(-0.0046*($D94-20))*($D94+273.15))^-1.5*$EK94^0.5/(1+'Elements and ions'!$D$20*$EK94^0.5/(2*(79.755*EXP(-0.0046*($D94-20))*($D94+273.15))^0.5)))</f>
        <v>0.88567128181315624</v>
      </c>
      <c r="GE94" s="94">
        <f>10^(-1825000*(79.755*EXP(-0.0046*($D94-20))*($D94+273.15))^-1.5*4*$EK94^0.5/(1+'Elements and ions'!$D$21*$EK94^0.5/(2*(79.755*EXP(-0.0046*($D94-20))*($D94+273.15))^0.5)))</f>
        <v>0.64337604520813096</v>
      </c>
      <c r="GF94" s="94">
        <f>10^(-1825000*(79.755*EXP(-0.0046*($D94-20))*($D94+273.15))^-1.5*4*$EK94^0.5/(1+'Elements and ions'!$D$13*$EK94^0.5/(2*(79.755*EXP(-0.0046*($D94-20))*($D94+273.15))^0.5)))</f>
        <v>0.65996040126432531</v>
      </c>
      <c r="GG94" s="95">
        <f>10^(-1825000*(79.755*EXP(-0.0046*($D94-20))*($D94+273.15))^-1.5*4*$EK94^0.5/(1+'Elements and ions'!$D$27*$EK94^0.5/(2*(79.755*EXP(-0.0046*($D94-20))*($D94+273.15))^0.5)))</f>
        <v>0.64337604520813096</v>
      </c>
      <c r="GH94" s="101">
        <f>10^(-1825000*(79.755*EXP(-0.0046*($D94-20))*($D94+273.15))^-1.5*$EK94^0.5/(1+'Elements and ions'!$G$3*$EK94^0.5/(2*(79.755*EXP(-0.0046*($D94-20))*($D94+273.15))^0.5)))</f>
        <v>0.87629708748740676</v>
      </c>
      <c r="GI94" s="94">
        <f>10^(-1825000*(79.755*EXP(-0.0046*($D94-20))*($D94+273.15))^-1.5*4*$EK94^0.5/(1+'Elements and ions'!$G$4*$EK94^0.5/(2*(79.755*EXP(-0.0046*($D94-20))*($D94+273.15))^0.5)))</f>
        <v>0.58955000457706996</v>
      </c>
      <c r="GJ94" s="94">
        <f>10^(-1825000*(79.755*EXP(-0.0046*($D94-20))*($D94+273.15))^-1.5*$EK94^0.5/(1+'Elements and ions'!$D$18*$EK94^0.5/(2*(79.755*EXP(-0.0046*($D94-20))*($D94+273.15))^0.5)))</f>
        <v>0.88567128181315624</v>
      </c>
      <c r="GK94" s="94">
        <f>10^(-1825000*(79.755*EXP(-0.0046*($D94-20))*($D94+273.15))^-1.5*$EK94^0.5/(1+'Elements and ions'!$I$7*$EK94^0.5/(2*(79.755*EXP(-0.0046*($D94-20))*($D94+273.15))^0.5)))</f>
        <v>0.88567128181315624</v>
      </c>
      <c r="GL94" s="94">
        <f>10^(-1825000*(79.755*EXP(-0.0046*($D94-20))*($D94+273.15))^-1.5*$EK94^0.5/(1+'Elements and ions'!$D$10*$EK94^0.5/(2*(79.755*EXP(-0.0046*($D94-20))*($D94+273.15))^0.5)))</f>
        <v>0.88745585847485287</v>
      </c>
      <c r="GM94" s="95">
        <f>10^(-1825000*(79.755*EXP(-0.0046*($D94-20))*($D94+273.15))^-1.5*4*$EK94^0.5/(1+'Elements and ions'!$I$5*$EK94^0.5/(2*(79.755*EXP(-0.0046*($D94-20))*($D94+273.15))^0.5)))</f>
        <v>0.62512918523186811</v>
      </c>
      <c r="GN94" s="96"/>
      <c r="GO94" s="101">
        <f t="shared" si="823"/>
        <v>1.8056180658649807E-4</v>
      </c>
      <c r="GP94" s="94">
        <f t="shared" si="824"/>
        <v>2.5266514087169886E-5</v>
      </c>
      <c r="GQ94" s="94">
        <f t="shared" si="825"/>
        <v>1.4106466869956149E-3</v>
      </c>
      <c r="GR94" s="94">
        <f t="shared" si="826"/>
        <v>2.0990840905056024E-4</v>
      </c>
      <c r="GS94" s="95" t="str">
        <f t="shared" si="827"/>
        <v/>
      </c>
      <c r="GT94" s="101">
        <f t="shared" si="828"/>
        <v>3.9955475073995429E-3</v>
      </c>
      <c r="GU94" s="94">
        <f t="shared" si="829"/>
        <v>1.3472418890894183E-5</v>
      </c>
      <c r="GV94" s="94">
        <f t="shared" si="830"/>
        <v>2.1074694667599261E-4</v>
      </c>
      <c r="GW94" s="94">
        <f t="shared" si="831"/>
        <v>2.1762223330840531E-4</v>
      </c>
      <c r="GX94" s="94">
        <f t="shared" si="832"/>
        <v>6.0772479651120551E-6</v>
      </c>
      <c r="GY94" s="102">
        <f t="shared" si="833"/>
        <v>7.1090739488073612E-5</v>
      </c>
      <c r="GZ94" s="199"/>
      <c r="HA94" s="92">
        <f>IF(AND(GQ94&lt;&gt;"",GU94&lt;&gt;""),LOG(GQ94*GU94/Minerals!$C$6),"")</f>
        <v>0.75903583710991551</v>
      </c>
      <c r="HB94" s="94">
        <f>IF(AND(GQ94&lt;&gt;"",GU94&lt;&gt;""),LOG(GQ94*GU94/Minerals!$C$5),"")</f>
        <v>0.62855630775369786</v>
      </c>
      <c r="HC94" s="94">
        <f>IF(AND(GQ94&lt;&gt;"",GX94&lt;&gt;""),LOG(GQ94*GX94^2/Minerals!$C$2),"")</f>
        <v>-2.7132428885617474</v>
      </c>
      <c r="HD94" s="94">
        <f>IF(AND(GQ94&lt;&gt;"",GY94&lt;&gt;""),LOG($GQ94*$GY94/Minerals!$C$3),"")</f>
        <v>-2.3987883500404696</v>
      </c>
      <c r="HE94" s="102">
        <f>IF(AND(GQ94&lt;&gt;"",GY94&lt;&gt;""),LOG($GQ94*$GY94/Minerals!$C$3),"")</f>
        <v>-2.3987883500404696</v>
      </c>
      <c r="HF94" s="199"/>
      <c r="HG94" s="92">
        <f>IF(HA94&lt;&gt;"",LOG(GQ94*GU94/(EXP(-1*Minerals!$E$6/'Other Constants'!$B$2*(1/(273.15+'ppm-mgL-1'!$D94)-1/298.15)+LN(Minerals!$C$6)))),"")</f>
        <v>-0.66215155650234592</v>
      </c>
      <c r="HH94" s="94">
        <f>IF(HA94&lt;&gt;"",LOG(GQ94*GU94/(EXP(-1*Minerals!$E$5/'Other Constants'!$B$2*(1/(273.15+'ppm-mgL-1'!$D94)-1/298.15)+LN(Minerals!$C$5)))),"")</f>
        <v>-0.79275956546616522</v>
      </c>
      <c r="HI94" s="94">
        <f>IF(HC94&lt;&gt;"",LOG(GQ94*GX94^2/(EXP(-1*Minerals!$E$2/'Other Constants'!$B$2*(1/(273.15+'ppm-mgL-1'!$D94)-1/298.15)+LN(Minerals!$C$2)))),"")</f>
        <v>-2.6531572587401357</v>
      </c>
      <c r="HJ94" s="94">
        <f>IF(HD94&lt;&gt;"",LOG($FF94*$FN94/(EXP(-1*Minerals!$E$3/'Other Constants'!$B$2*(1/(273.15+'ppm-mgL-1'!$D94)-1/298.15)+LN(Minerals!$C$3)))),"")</f>
        <v>-1.1894502038039469</v>
      </c>
      <c r="HK94" s="95">
        <f>IF(HE94&lt;&gt;"",LOG($FF94*$FN94/(EXP(-1*Minerals!$E$4/'Other Constants'!$B$2*(1/(273.15+'ppm-mgL-1'!$D94)-1/298.15)+LN(Minerals!$C$4)))),"")</f>
        <v>-2.689644077043035</v>
      </c>
      <c r="HL94" s="199"/>
      <c r="HM94" s="199"/>
    </row>
    <row r="95" spans="1:221" x14ac:dyDescent="0.25">
      <c r="A95" s="267" t="str">
        <f>'WC samples'!B66</f>
        <v>ISSR 8</v>
      </c>
      <c r="C95" s="266">
        <f>'WC samples'!A66</f>
        <v>41566</v>
      </c>
      <c r="D95" s="4">
        <f>'WC samples'!I66</f>
        <v>22</v>
      </c>
      <c r="E95" s="4">
        <f>'WC samples'!F66</f>
        <v>8.3800000000000008</v>
      </c>
      <c r="AD95" s="83">
        <f>IF(E95&lt;&gt;"",10^(-2*$E95)/(10^(-2*$E95)+10^(-$E95-pKa!$B$2)+(10^(-pKa!$B$2-pKa!$C$2))),"")</f>
        <v>8.151827245570167E-3</v>
      </c>
      <c r="AE95" s="84">
        <f>IF(E95&lt;&gt;"",10^(-$E95-pKa!$B$2)/(10^(-2*$E95)+10^(-$E95-pKa!$B$2)+10^(-pKa!$B$2-pKa!$C$2)),"")</f>
        <v>0.98006519744943232</v>
      </c>
      <c r="AF95" s="212">
        <f>IF(E95&lt;&gt;"",10^(-pKa!$B$2-pKa!$C$2)/(10^(-2*$E95)+10^(-$E95-pKa!$B$2)+10^(-pKa!$B$2-pKa!$C$2)),"")</f>
        <v>1.1782975304997414E-2</v>
      </c>
      <c r="AG95" s="152"/>
      <c r="AH95" s="222">
        <f>IF($AK95&lt;&gt;"",$AK95/'Elements and ions'!$G$3,IF($E95="","",""))</f>
        <v>4.7363973617775033</v>
      </c>
      <c r="AI95" s="85">
        <f t="shared" si="770"/>
        <v>4.7192586402597641E-3</v>
      </c>
      <c r="AJ95" s="84">
        <f>IF(AI95&lt;&gt;"",AI95*1000*'Elements and ions'!$B$7,"")</f>
        <v>56.681599750567948</v>
      </c>
      <c r="AK95" s="99">
        <f>'WC samples'!H66</f>
        <v>289</v>
      </c>
      <c r="AL95" s="88">
        <f>IF($AK95&lt;&gt;"",$AK95/'Elements and ions'!$G$3*Minerals!$B$6/2,IF($E95="","","Enter Alk(HCO3-)"))</f>
        <v>237.0256645542444</v>
      </c>
      <c r="AM95" s="199"/>
      <c r="AN95" s="101">
        <f t="shared" ref="AN95:AN118" si="837">IF(AND($E95&lt;&gt;"",AI95&lt;&gt;""),AI95*AD95,"")</f>
        <v>3.8470581162561966E-5</v>
      </c>
      <c r="AO95" s="94">
        <f t="shared" ref="AO95:AO118" si="838">IF(AND($E95&lt;&gt;"",AI95&lt;&gt;""),AI95*AE95,"")</f>
        <v>4.625181151081125E-3</v>
      </c>
      <c r="AP95" s="95">
        <f t="shared" ref="AP95:AP118" si="839">IF(AND($E95&lt;&gt;"",AI95&lt;&gt;""),AI95*AF95,"")</f>
        <v>5.5606908016076475E-5</v>
      </c>
      <c r="AQ95" s="199"/>
      <c r="AR95" s="199"/>
      <c r="AS95" s="83">
        <f t="shared" si="760"/>
        <v>0.11314876812518224</v>
      </c>
      <c r="AT95" s="83">
        <f>IF(AN95&lt;&gt;"",AN95/'Henrys law constants'!$B$7*1000000,"")</f>
        <v>1131.4876812518223</v>
      </c>
      <c r="AU95" s="268">
        <f>'WC samples'!K66</f>
        <v>4.71</v>
      </c>
      <c r="AV95" s="269">
        <f>'WC samples'!M66</f>
        <v>1.1151</v>
      </c>
      <c r="AW95" s="269">
        <f>'WC samples'!O66</f>
        <v>76.525499999999994</v>
      </c>
      <c r="AX95" s="269">
        <f>'WC samples'!N66</f>
        <v>7.5190000000000001</v>
      </c>
      <c r="AY95" s="226">
        <f>AO95*'Elements and ions'!$G$3*1000</f>
        <v>282.21393826653281</v>
      </c>
      <c r="AZ95" s="269">
        <f>'WC samples'!Q66</f>
        <v>6.6891999999999996</v>
      </c>
      <c r="BA95" s="269">
        <f>'WC samples'!T66</f>
        <v>13.2127</v>
      </c>
      <c r="BB95" s="270">
        <f>'WC samples'!V66</f>
        <v>9.4080999999999992</v>
      </c>
      <c r="BC95" s="222">
        <f>IF($E95&lt;&gt;"",10^-$E95*'Elements and ions'!B99*1000,"")</f>
        <v>0</v>
      </c>
      <c r="BE95" s="6"/>
      <c r="BF95" s="6"/>
      <c r="BG95" s="270">
        <f>'WC samples'!L66</f>
        <v>0</v>
      </c>
      <c r="BH95" s="3"/>
      <c r="BJ95" s="92">
        <f>IF($AN95&lt;&gt;"",$AN95*'Elements and ions'!$G$2*1000,"")</f>
        <v>2.3861293330800502</v>
      </c>
      <c r="BK95" s="229"/>
      <c r="BL95" s="230"/>
      <c r="BM95" s="101">
        <f>IF($E95&lt;&gt;"",(10^-14+$E95)*'Elements and ions'!$G$8,"")</f>
        <v>142.5215092000002</v>
      </c>
      <c r="BO95" s="102">
        <f>IF($AP95&lt;&gt;"",$AP95*'Elements and ions'!$G$4*1000,"")</f>
        <v>3.3369093824459317</v>
      </c>
      <c r="BP95" s="269">
        <f>'WC samples'!P66</f>
        <v>0.1416</v>
      </c>
      <c r="BQ95" s="270">
        <f>'WC samples'!R66</f>
        <v>0</v>
      </c>
      <c r="BR95" s="195"/>
      <c r="BS95" s="238">
        <f>IF($AU95&lt;&gt;"",$AU95/'Elements and ions'!$B$12,"")</f>
        <v>0.204873739385348</v>
      </c>
      <c r="BT95" s="239">
        <f>IF($AV95&lt;&gt;"",$AV95/'Elements and ions'!$B$20,"")</f>
        <v>2.8520421604008358E-2</v>
      </c>
      <c r="BU95" s="239">
        <f>IF($AW95&lt;&gt;"",$AW95/'Elements and ions'!$B$21, "")</f>
        <v>1.9094141424222764</v>
      </c>
      <c r="BV95" s="240">
        <f>IF($AX95&lt;&gt;"",$AX95/'Elements and ions'!$B$13, "")</f>
        <v>0.30936021394774738</v>
      </c>
      <c r="BW95" s="238">
        <f>IF($AY95&lt;&gt;"",$AY95/'Elements and ions'!$G$3,"")</f>
        <v>4.6251811510811249</v>
      </c>
      <c r="BX95" s="239">
        <f>IF($AZ95&lt;&gt;"",$AZ95/'Elements and ions'!$B$18,"")</f>
        <v>0.18867796801399034</v>
      </c>
      <c r="BY95" s="239">
        <f>IF($BA95&lt;&gt;"",$BA95/'Elements and ions'!$G$7,"")</f>
        <v>0.21309122343556719</v>
      </c>
      <c r="BZ95" s="241">
        <f>IF($BB95&lt;&gt;"",$BB95/'Elements and ions'!$G$5,"")</f>
        <v>9.7937178464876012E-2</v>
      </c>
      <c r="CA95" s="91">
        <f t="shared" si="761"/>
        <v>4.168693834703332E-6</v>
      </c>
      <c r="CB95" s="163" t="str">
        <f>IF($BD95&lt;&gt;"",$BD95/'Elements and ions'!$B$14,"")</f>
        <v/>
      </c>
      <c r="CC95" s="89" t="str">
        <f>IF($BE95&lt;&gt;"",$BE95/'Elements and ions'!$B$27, "")</f>
        <v/>
      </c>
      <c r="CD95" s="249" t="str">
        <f>IF($BF95&lt;&gt;"",$BF95/'Elements and ions'!$B$26,"")</f>
        <v/>
      </c>
      <c r="CE95" s="250">
        <f>IF($BG95&lt;&gt;"",$BG95/'Elements and ions'!$G$6,"")</f>
        <v>0</v>
      </c>
      <c r="CF95" s="91" t="str">
        <f>IF($BH95&lt;&gt;"",$BH95/'Elements and ions'!$G$15,"")</f>
        <v/>
      </c>
      <c r="CG95" s="89" t="str">
        <f>IF($BI95&lt;&gt;"",$BI95/'Elements and ions'!$G$16,"")</f>
        <v/>
      </c>
      <c r="CH95" s="90">
        <f>IF($BJ95&lt;&gt;"",$BJ95/'Elements and ions'!$G$2,"")</f>
        <v>3.8470581162561968E-2</v>
      </c>
      <c r="CI95" s="91" t="str">
        <f>IF($BK95&lt;&gt;"",$BK95/'Elements and ions'!$B$15, "")</f>
        <v/>
      </c>
      <c r="CJ95" s="88" t="str">
        <f>IF($BL95&lt;&gt;"", $BL95/'Elements and ions'!$G$17,"")</f>
        <v/>
      </c>
      <c r="CK95" s="89">
        <f t="shared" si="762"/>
        <v>2.3988329190194912E-3</v>
      </c>
      <c r="CL95" s="163" t="str">
        <f>IF($BN95&lt;&gt;"", $BN95/'Elements and ions'!$G$19,"")</f>
        <v/>
      </c>
      <c r="CM95" s="89">
        <f>IF($BO95&lt;&gt;"",$BO95/'Elements and ions'!$G$4,"")</f>
        <v>5.5606908016076477E-2</v>
      </c>
      <c r="CN95" s="89">
        <f>IF($BP95&lt;&gt;"",$BP95/'Elements and ions'!$B$10,"")</f>
        <v>7.4532579664379379E-3</v>
      </c>
      <c r="CO95" s="104">
        <f>IF($BQ95&lt;&gt;"",$BQ95/'Elements and ions'!$G$18,"")</f>
        <v>0</v>
      </c>
      <c r="CP95" s="242"/>
      <c r="CQ95" s="238">
        <f t="shared" si="771"/>
        <v>2.0487373938534801E-4</v>
      </c>
      <c r="CR95" s="239">
        <f t="shared" si="772"/>
        <v>2.8520421604008359E-5</v>
      </c>
      <c r="CS95" s="239">
        <f t="shared" si="773"/>
        <v>1.9094141424222763E-3</v>
      </c>
      <c r="CT95" s="241">
        <f t="shared" si="774"/>
        <v>3.0936021394774738E-4</v>
      </c>
      <c r="CU95" s="238">
        <f t="shared" si="775"/>
        <v>4.625181151081125E-3</v>
      </c>
      <c r="CV95" s="239">
        <f t="shared" si="776"/>
        <v>1.8867796801399033E-4</v>
      </c>
      <c r="CW95" s="239">
        <f t="shared" si="777"/>
        <v>2.1309122343556719E-4</v>
      </c>
      <c r="CX95" s="241">
        <f t="shared" si="778"/>
        <v>9.7937178464876009E-5</v>
      </c>
      <c r="CY95" s="258">
        <f t="shared" si="763"/>
        <v>4.1686938347033319E-9</v>
      </c>
      <c r="CZ95" s="259" t="str">
        <f t="shared" si="779"/>
        <v/>
      </c>
      <c r="DA95" s="260" t="str">
        <f t="shared" si="780"/>
        <v/>
      </c>
      <c r="DB95" s="261" t="str">
        <f t="shared" si="781"/>
        <v/>
      </c>
      <c r="DC95" s="262">
        <f t="shared" si="782"/>
        <v>0</v>
      </c>
      <c r="DD95" s="263" t="str">
        <f t="shared" si="783"/>
        <v/>
      </c>
      <c r="DE95" s="259" t="str">
        <f t="shared" si="784"/>
        <v/>
      </c>
      <c r="DF95" s="260">
        <f t="shared" si="785"/>
        <v>3.8470581162561966E-5</v>
      </c>
      <c r="DG95" s="260" t="str">
        <f t="shared" si="786"/>
        <v/>
      </c>
      <c r="DH95" s="264" t="str">
        <f t="shared" si="787"/>
        <v/>
      </c>
      <c r="DI95" s="258">
        <f t="shared" si="764"/>
        <v>2.3988329190194914E-6</v>
      </c>
      <c r="DJ95" s="260" t="str">
        <f t="shared" si="788"/>
        <v/>
      </c>
      <c r="DK95" s="260">
        <f t="shared" si="789"/>
        <v>5.5606908016076475E-5</v>
      </c>
      <c r="DL95" s="260">
        <f t="shared" si="790"/>
        <v>7.4532579664379377E-6</v>
      </c>
      <c r="DM95" s="265">
        <f t="shared" si="791"/>
        <v>0</v>
      </c>
      <c r="DN95" s="242"/>
      <c r="DO95" s="238">
        <f t="shared" si="792"/>
        <v>0.204873739385348</v>
      </c>
      <c r="DP95" s="239">
        <f t="shared" si="793"/>
        <v>2.8520421604008358E-2</v>
      </c>
      <c r="DQ95" s="239">
        <f t="shared" si="794"/>
        <v>3.8188282848445527</v>
      </c>
      <c r="DR95" s="241">
        <f t="shared" si="795"/>
        <v>0.61872042789549475</v>
      </c>
      <c r="DS95" s="238">
        <f t="shared" si="796"/>
        <v>-4.6251811510811249</v>
      </c>
      <c r="DT95" s="239">
        <f t="shared" si="797"/>
        <v>-0.18867796801399034</v>
      </c>
      <c r="DU95" s="239">
        <f t="shared" si="798"/>
        <v>-0.21309122343556719</v>
      </c>
      <c r="DV95" s="241">
        <f t="shared" si="799"/>
        <v>-0.19587435692975202</v>
      </c>
      <c r="DW95" s="91">
        <f t="shared" si="765"/>
        <v>4.168693834703332E-6</v>
      </c>
      <c r="DX95" s="89">
        <f t="shared" si="800"/>
        <v>0</v>
      </c>
      <c r="DY95" s="89">
        <f t="shared" si="801"/>
        <v>0</v>
      </c>
      <c r="DZ95" s="89">
        <f t="shared" si="802"/>
        <v>0</v>
      </c>
      <c r="EA95" s="90">
        <f t="shared" si="803"/>
        <v>0</v>
      </c>
      <c r="EB95" s="91">
        <f t="shared" si="766"/>
        <v>-2.3988329190194912E-3</v>
      </c>
      <c r="EC95" s="89">
        <f t="shared" si="804"/>
        <v>0</v>
      </c>
      <c r="ED95" s="89">
        <f t="shared" si="805"/>
        <v>-0.11121381603215295</v>
      </c>
      <c r="EE95" s="89">
        <f t="shared" si="806"/>
        <v>-7.4532579664379379E-3</v>
      </c>
      <c r="EF95" s="90">
        <f t="shared" si="807"/>
        <v>0</v>
      </c>
      <c r="EG95" s="242"/>
      <c r="EH95" s="245">
        <f t="shared" si="808"/>
        <v>4.6709470424232382</v>
      </c>
      <c r="EI95" s="246">
        <f t="shared" si="809"/>
        <v>-5.3438906063780456</v>
      </c>
      <c r="EJ95" s="198">
        <f t="shared" si="810"/>
        <v>-6.719465532577602</v>
      </c>
      <c r="EK95" s="198">
        <f t="shared" si="811"/>
        <v>1.1900745020082839E-2</v>
      </c>
      <c r="EL95" s="101">
        <f>IF(AND(CS95&lt;&gt;"",DK95&lt;&gt;""),LOG(CS95*DK95/Minerals!$C$6),"")</f>
        <v>1.5062008882478664</v>
      </c>
      <c r="EM95" s="94">
        <f>IF(AND(CS95&lt;&gt;"",DK95&lt;&gt;""),LOG(CS95*DK95/Minerals!$C$5),"")</f>
        <v>1.3757213588916486</v>
      </c>
      <c r="EN95" s="94">
        <f>IF(AND(CS95&lt;&gt;"",DL95&lt;&gt;""),LOG(CS95*DL95^2/Minerals!$C$2),"")</f>
        <v>-2.4044826147156715</v>
      </c>
      <c r="EO95" s="94">
        <f>IF(AND(CS95&lt;&gt;"",CX95&lt;&gt;""),LOG($CS95*$CX95/Minerals!$C$3),"")</f>
        <v>-2.1281719121499334</v>
      </c>
      <c r="EP95" s="95">
        <f>IF(AND(CS95&lt;&gt;"",CX95&lt;&gt;""),LOG($CS95*$CX95/Minerals!$C$4),"")</f>
        <v>-2.3681564236158357</v>
      </c>
      <c r="EQ95" s="199"/>
      <c r="ER95" s="101">
        <f t="shared" si="834"/>
        <v>0.89293495409311019</v>
      </c>
      <c r="ES95" s="94">
        <f t="shared" si="834"/>
        <v>0.89293495409311019</v>
      </c>
      <c r="ET95" s="94">
        <f t="shared" si="835"/>
        <v>0.63573964536987693</v>
      </c>
      <c r="EU95" s="94">
        <f t="shared" si="835"/>
        <v>0.63573964536987693</v>
      </c>
      <c r="EV95" s="95">
        <f t="shared" si="835"/>
        <v>0.63573964536987693</v>
      </c>
      <c r="EW95" s="101">
        <f t="shared" si="836"/>
        <v>0.89293495409311019</v>
      </c>
      <c r="EX95" s="94">
        <f t="shared" si="758"/>
        <v>0.63573964536987693</v>
      </c>
      <c r="EY95" s="94">
        <f t="shared" si="836"/>
        <v>0.89293495409311019</v>
      </c>
      <c r="EZ95" s="94">
        <f t="shared" si="836"/>
        <v>0.89293495409311019</v>
      </c>
      <c r="FA95" s="94">
        <f t="shared" si="836"/>
        <v>0.89293495409311019</v>
      </c>
      <c r="FB95" s="95">
        <f t="shared" si="759"/>
        <v>0.63573964536987693</v>
      </c>
      <c r="FC95" s="199"/>
      <c r="FD95" s="101">
        <f t="shared" si="812"/>
        <v>1.8293892307293954E-4</v>
      </c>
      <c r="FE95" s="94">
        <f t="shared" si="813"/>
        <v>2.5466881355691354E-5</v>
      </c>
      <c r="FF95" s="94">
        <f t="shared" si="814"/>
        <v>1.2138902697677657E-3</v>
      </c>
      <c r="FG95" s="94">
        <f t="shared" si="815"/>
        <v>1.9667255270669018E-4</v>
      </c>
      <c r="FH95" s="95" t="str">
        <f t="shared" si="816"/>
        <v/>
      </c>
      <c r="FI95" s="101">
        <f t="shared" si="817"/>
        <v>4.1299859188129425E-3</v>
      </c>
      <c r="FJ95" s="94">
        <f t="shared" si="818"/>
        <v>3.5351515982255824E-5</v>
      </c>
      <c r="FK95" s="94">
        <f t="shared" si="819"/>
        <v>1.6847715270695376E-4</v>
      </c>
      <c r="FL95" s="94">
        <f t="shared" si="820"/>
        <v>1.9027660181608288E-4</v>
      </c>
      <c r="FM95" s="94">
        <f t="shared" si="821"/>
        <v>6.655274560105368E-6</v>
      </c>
      <c r="FN95" s="95">
        <f t="shared" si="822"/>
        <v>6.2262547105786627E-5</v>
      </c>
      <c r="FO95" s="199"/>
      <c r="FP95" s="101">
        <f>IF(EL95&lt;&gt;"",LOG(FF95*FJ95/Minerals!$C$6),"")</f>
        <v>1.1127594788876092</v>
      </c>
      <c r="FQ95" s="94">
        <f>IF(EL95&lt;&gt;"",LOG(FF95*FJ95/Minerals!$C$5),"")</f>
        <v>0.98227994953139153</v>
      </c>
      <c r="FR95" s="94">
        <f>IF(EN95&lt;&gt;"",LOG(FF95*FM95^2/Minerals!$C$2),"")</f>
        <v>-2.6995636717358642</v>
      </c>
      <c r="FS95" s="94">
        <f>IF(EO95&lt;&gt;"",LOG($FF95*$FN95/Minerals!$C$3),"")</f>
        <v>-2.5216133215101904</v>
      </c>
      <c r="FT95" s="95">
        <f>IF(EP95&lt;&gt;"",LOG($FF95*$FN95/Minerals!$C$4),"")</f>
        <v>-2.7615978329760931</v>
      </c>
      <c r="FU95" s="96"/>
      <c r="FV95" s="101">
        <f>IF(FP95&lt;&gt;"",LOG(FF95*FJ95/(EXP(-1*Minerals!$E$6/'Other Constants'!$B$2*(1/(273.15+'ppm-mgL-1'!$D95)-1/298.15)+LN(Minerals!$C$6)))),"")</f>
        <v>-6.9155781117157936E-2</v>
      </c>
      <c r="FW95" s="94">
        <f>IF(FP95&lt;&gt;"",LOG(FF95*FJ95/(EXP(-1*Minerals!$E$5/'Other Constants'!$B$2*(1/(273.15+'ppm-mgL-1'!$D95)-1/298.15)+LN(Minerals!$C$5)))),"")</f>
        <v>-0.19974215916166582</v>
      </c>
      <c r="FX95" s="94">
        <f>IF(FR95&lt;&gt;"",LOG(FF95*FM95^2/(EXP(-1*Minerals!$E$2/'Other Constants'!$B$2*(1/(273.15+'ppm-mgL-1'!$D95)-1/298.15)+LN(Minerals!$C$2)))),"")</f>
        <v>-2.6495941018449729</v>
      </c>
      <c r="FY95" s="94">
        <f>IF(FS95&lt;&gt;"",LOG($FF95*$FN95/(EXP(-1*Minerals!$E$3/'Other Constants'!$B$2*(1/(273.15+'ppm-mgL-1'!$D95)-1/298.15)+LN(Minerals!$C$3)))),"")</f>
        <v>-1.5027612159315864</v>
      </c>
      <c r="FZ95" s="95">
        <f>IF(FT95&lt;&gt;"",LOG($FF95*$FN95/(EXP(-1*Minerals!$E$4/'Other Constants'!$B$2*(1/(273.15+'ppm-mgL-1'!$D95)-1/298.15)+LN(Minerals!$C$4)))),"")</f>
        <v>-2.7907853329943286</v>
      </c>
      <c r="GA95" s="96"/>
      <c r="GB95" s="96"/>
      <c r="GC95" s="101">
        <f>10^(-1825000*(79.755*EXP(-0.0046*($D95-20))*($D95+273.15))^-1.5*$EK95^0.5/(1+'Elements and ions'!$D$12*$EK95^0.5/(2*(79.755*EXP(-0.0046*($D95-20))*($D95+273.15))^0.5)))</f>
        <v>0.89350198365487277</v>
      </c>
      <c r="GD95" s="94">
        <f>10^(-1825000*(79.755*EXP(-0.0046*($D95-20))*($D95+273.15))^-1.5*$EK95^0.5/(1+'Elements and ions'!$D$20*$EK95^0.5/(2*(79.755*EXP(-0.0046*($D95-20))*($D95+273.15))^0.5)))</f>
        <v>0.89026216359752819</v>
      </c>
      <c r="GE95" s="94">
        <f>10^(-1825000*(79.755*EXP(-0.0046*($D95-20))*($D95+273.15))^-1.5*4*$EK95^0.5/(1+'Elements and ions'!$D$21*$EK95^0.5/(2*(79.755*EXP(-0.0046*($D95-20))*($D95+273.15))^0.5)))</f>
        <v>0.65446932099370225</v>
      </c>
      <c r="GF95" s="94">
        <f>10^(-1825000*(79.755*EXP(-0.0046*($D95-20))*($D95+273.15))^-1.5*4*$EK95^0.5/(1+'Elements and ions'!$D$13*$EK95^0.5/(2*(79.755*EXP(-0.0046*($D95-20))*($D95+273.15))^0.5)))</f>
        <v>0.67006648331888308</v>
      </c>
      <c r="GG95" s="95">
        <f>10^(-1825000*(79.755*EXP(-0.0046*($D95-20))*($D95+273.15))^-1.5*4*$EK95^0.5/(1+'Elements and ions'!$D$27*$EK95^0.5/(2*(79.755*EXP(-0.0046*($D95-20))*($D95+273.15))^0.5)))</f>
        <v>0.65446932099370225</v>
      </c>
      <c r="GH95" s="101">
        <f>10^(-1825000*(79.755*EXP(-0.0046*($D95-20))*($D95+273.15))^-1.5*$EK95^0.5/(1+'Elements and ions'!$G$3*$EK95^0.5/(2*(79.755*EXP(-0.0046*($D95-20))*($D95+273.15))^0.5)))</f>
        <v>0.8816596919421994</v>
      </c>
      <c r="GI95" s="94">
        <f>10^(-1825000*(79.755*EXP(-0.0046*($D95-20))*($D95+273.15))^-1.5*4*$EK95^0.5/(1+'Elements and ions'!$G$4*$EK95^0.5/(2*(79.755*EXP(-0.0046*($D95-20))*($D95+273.15))^0.5)))</f>
        <v>0.6041250339247991</v>
      </c>
      <c r="GJ95" s="94">
        <f>10^(-1825000*(79.755*EXP(-0.0046*($D95-20))*($D95+273.15))^-1.5*$EK95^0.5/(1+'Elements and ions'!$D$18*$EK95^0.5/(2*(79.755*EXP(-0.0046*($D95-20))*($D95+273.15))^0.5)))</f>
        <v>0.89026216359752819</v>
      </c>
      <c r="GK95" s="94">
        <f>10^(-1825000*(79.755*EXP(-0.0046*($D95-20))*($D95+273.15))^-1.5*$EK95^0.5/(1+'Elements and ions'!$I$7*$EK95^0.5/(2*(79.755*EXP(-0.0046*($D95-20))*($D95+273.15))^0.5)))</f>
        <v>0.89026216359752819</v>
      </c>
      <c r="GL95" s="94">
        <f>10^(-1825000*(79.755*EXP(-0.0046*($D95-20))*($D95+273.15))^-1.5*$EK95^0.5/(1+'Elements and ions'!$D$10*$EK95^0.5/(2*(79.755*EXP(-0.0046*($D95-20))*($D95+273.15))^0.5)))</f>
        <v>0.89190631639027862</v>
      </c>
      <c r="GM95" s="95">
        <f>10^(-1825000*(79.755*EXP(-0.0046*($D95-20))*($D95+273.15))^-1.5*4*$EK95^0.5/(1+'Elements and ions'!$I$5*$EK95^0.5/(2*(79.755*EXP(-0.0046*($D95-20))*($D95+273.15))^0.5)))</f>
        <v>0.63735600806716763</v>
      </c>
      <c r="GN95" s="96"/>
      <c r="GO95" s="101">
        <f t="shared" si="823"/>
        <v>1.8305509253959987E-4</v>
      </c>
      <c r="GP95" s="94">
        <f t="shared" si="824"/>
        <v>2.5390652243898166E-5</v>
      </c>
      <c r="GQ95" s="94">
        <f t="shared" si="825"/>
        <v>1.2496529772868794E-3</v>
      </c>
      <c r="GR95" s="94">
        <f t="shared" si="826"/>
        <v>2.0729191063874436E-4</v>
      </c>
      <c r="GS95" s="95" t="str">
        <f t="shared" si="827"/>
        <v/>
      </c>
      <c r="GT95" s="101">
        <f t="shared" si="828"/>
        <v>4.0778357888390515E-3</v>
      </c>
      <c r="GU95" s="94">
        <f t="shared" si="829"/>
        <v>3.3593525191665387E-5</v>
      </c>
      <c r="GV95" s="94">
        <f t="shared" si="830"/>
        <v>1.6797285602732025E-4</v>
      </c>
      <c r="GW95" s="94">
        <f t="shared" si="831"/>
        <v>1.8970705361939235E-4</v>
      </c>
      <c r="GX95" s="94">
        <f t="shared" si="832"/>
        <v>6.6476078579521596E-6</v>
      </c>
      <c r="GY95" s="102">
        <f t="shared" si="833"/>
        <v>6.2420849107735148E-5</v>
      </c>
      <c r="GZ95" s="199"/>
      <c r="HA95" s="92">
        <f>IF(AND(GQ95&lt;&gt;"",GU95&lt;&gt;""),LOG(GQ95*GU95/Minerals!$C$6),"")</f>
        <v>1.1032170140905484</v>
      </c>
      <c r="HB95" s="94">
        <f>IF(AND(GQ95&lt;&gt;"",GU95&lt;&gt;""),LOG(GQ95*GU95/Minerals!$C$5),"")</f>
        <v>0.97273748473433075</v>
      </c>
      <c r="HC95" s="94">
        <f>IF(AND(GQ95&lt;&gt;"",GX95&lt;&gt;""),LOG(GQ95*GX95^2/Minerals!$C$2),"")</f>
        <v>-2.6879548422777182</v>
      </c>
      <c r="HD95" s="94">
        <f>IF(AND(GQ95&lt;&gt;"",GY95&lt;&gt;""),LOG($GQ95*$GY95/Minerals!$C$3),"")</f>
        <v>-2.5079005347797261</v>
      </c>
      <c r="HE95" s="102">
        <f>IF(AND(GQ95&lt;&gt;"",GY95&lt;&gt;""),LOG($GQ95*$GY95/Minerals!$C$3),"")</f>
        <v>-2.5079005347797261</v>
      </c>
      <c r="HF95" s="199"/>
      <c r="HG95" s="92">
        <f>IF(HA95&lt;&gt;"",LOG(GQ95*GU95/(EXP(-1*Minerals!$E$6/'Other Constants'!$B$2*(1/(273.15+'ppm-mgL-1'!$D95)-1/298.15)+LN(Minerals!$C$6)))),"")</f>
        <v>-7.8698245914218742E-2</v>
      </c>
      <c r="HH95" s="94">
        <f>IF(HA95&lt;&gt;"",LOG(GQ95*GU95/(EXP(-1*Minerals!$E$5/'Other Constants'!$B$2*(1/(273.15+'ppm-mgL-1'!$D95)-1/298.15)+LN(Minerals!$C$5)))),"")</f>
        <v>-0.2092846239587266</v>
      </c>
      <c r="HI95" s="94">
        <f>IF(HC95&lt;&gt;"",LOG(GQ95*GX95^2/(EXP(-1*Minerals!$E$2/'Other Constants'!$B$2*(1/(273.15+'ppm-mgL-1'!$D95)-1/298.15)+LN(Minerals!$C$2)))),"")</f>
        <v>-2.6379852723868269</v>
      </c>
      <c r="HJ95" s="94">
        <f>IF(HD95&lt;&gt;"",LOG($FF95*$FN95/(EXP(-1*Minerals!$E$3/'Other Constants'!$B$2*(1/(273.15+'ppm-mgL-1'!$D95)-1/298.15)+LN(Minerals!$C$3)))),"")</f>
        <v>-1.5027612159315864</v>
      </c>
      <c r="HK95" s="95">
        <f>IF(HE95&lt;&gt;"",LOG($FF95*$FN95/(EXP(-1*Minerals!$E$4/'Other Constants'!$B$2*(1/(273.15+'ppm-mgL-1'!$D95)-1/298.15)+LN(Minerals!$C$4)))),"")</f>
        <v>-2.7907853329943286</v>
      </c>
      <c r="HL95" s="199"/>
      <c r="HM95" s="199"/>
    </row>
    <row r="96" spans="1:221" x14ac:dyDescent="0.25">
      <c r="A96" s="267" t="str">
        <f>'WC samples'!B67</f>
        <v>ISSR 8</v>
      </c>
      <c r="C96" s="266">
        <f>'WC samples'!A67</f>
        <v>41594</v>
      </c>
      <c r="D96" s="4">
        <f>'WC samples'!I67</f>
        <v>21.5</v>
      </c>
      <c r="E96" s="4">
        <f>'WC samples'!F67</f>
        <v>8.59</v>
      </c>
      <c r="AD96" s="83">
        <f>IF(E96&lt;&gt;"",10^(-2*$E96)/(10^(-2*$E96)+10^(-$E96-pKa!$B$2)+(10^(-pKa!$B$2-pKa!$C$2))),"")</f>
        <v>5.0053468632060621E-3</v>
      </c>
      <c r="AE96" s="84">
        <f>IF(E96&lt;&gt;"",10^(-$E96-pKa!$B$2)/(10^(-2*$E96)+10^(-$E96-pKa!$B$2)+10^(-pKa!$B$2-pKa!$C$2)),"")</f>
        <v>0.9759648551138207</v>
      </c>
      <c r="AF96" s="212">
        <f>IF(E96&lt;&gt;"",10^(-pKa!$B$2-pKa!$C$2)/(10^(-2*$E96)+10^(-$E96-pKa!$B$2)+10^(-pKa!$B$2-pKa!$C$2)),"")</f>
        <v>1.9029798022973304E-2</v>
      </c>
      <c r="AG96" s="152"/>
      <c r="AH96" s="222">
        <f>IF($AK96&lt;&gt;"",$AK96/'Elements and ions'!$G$3,IF($E96="","",""))</f>
        <v>4.9822311348801414</v>
      </c>
      <c r="AI96" s="85">
        <f t="shared" si="770"/>
        <v>4.9133206219049031E-3</v>
      </c>
      <c r="AJ96" s="84">
        <f>IF(AI96&lt;&gt;"",AI96*1000*'Elements and ions'!$B$7,"")</f>
        <v>59.01241999351322</v>
      </c>
      <c r="AK96" s="99">
        <f>'WC samples'!H67</f>
        <v>304</v>
      </c>
      <c r="AL96" s="88">
        <f>IF($AK96&lt;&gt;"",$AK96/'Elements and ions'!$G$3*Minerals!$B$6/2,IF($E96="","","Enter Alk(HCO3-)"))</f>
        <v>249.3280346868176</v>
      </c>
      <c r="AM96" s="199"/>
      <c r="AN96" s="101">
        <f t="shared" si="837"/>
        <v>2.4592873962777366E-5</v>
      </c>
      <c r="AO96" s="94">
        <f t="shared" si="838"/>
        <v>4.7952282488851663E-3</v>
      </c>
      <c r="AP96" s="95">
        <f t="shared" si="839"/>
        <v>9.3499499056959895E-5</v>
      </c>
      <c r="AQ96" s="199"/>
      <c r="AR96" s="199"/>
      <c r="AS96" s="83">
        <f t="shared" si="760"/>
        <v>7.2331982243462836E-2</v>
      </c>
      <c r="AT96" s="83">
        <f>IF(AN96&lt;&gt;"",AN96/'Henrys law constants'!$B$7*1000000,"")</f>
        <v>723.31982243462835</v>
      </c>
      <c r="AU96" s="268">
        <f>'WC samples'!K67</f>
        <v>6.4939</v>
      </c>
      <c r="AV96" s="269">
        <f>'WC samples'!M67</f>
        <v>1.1462000000000001</v>
      </c>
      <c r="AW96" s="269">
        <f>'WC samples'!O67</f>
        <v>86.123000000000005</v>
      </c>
      <c r="AX96" s="269">
        <f>'WC samples'!N67</f>
        <v>9.1260999999999992</v>
      </c>
      <c r="AY96" s="226">
        <f>AO96*'Elements and ions'!$G$3*1000</f>
        <v>292.58967482570637</v>
      </c>
      <c r="AZ96" s="269">
        <f>'WC samples'!Q67</f>
        <v>9.9352999999999998</v>
      </c>
      <c r="BA96" s="269">
        <f>'WC samples'!T67</f>
        <v>22.6309</v>
      </c>
      <c r="BB96" s="270">
        <f>'WC samples'!V67</f>
        <v>11.7225</v>
      </c>
      <c r="BC96" s="222">
        <f>IF($E96&lt;&gt;"",10^-$E96*'Elements and ions'!B100*1000,"")</f>
        <v>0</v>
      </c>
      <c r="BE96" s="6"/>
      <c r="BF96" s="6"/>
      <c r="BG96" s="270">
        <f>'WC samples'!L67</f>
        <v>0</v>
      </c>
      <c r="BH96" s="3"/>
      <c r="BJ96" s="92">
        <f>IF($AN96&lt;&gt;"",$AN96*'Elements and ions'!$G$2*1000,"")</f>
        <v>1.5253675971089942</v>
      </c>
      <c r="BK96" s="229"/>
      <c r="BL96" s="230"/>
      <c r="BM96" s="101">
        <f>IF($E96&lt;&gt;"",(10^-14+$E96)*'Elements and ions'!$G$8,"")</f>
        <v>146.09305060000017</v>
      </c>
      <c r="BO96" s="102">
        <f>IF($AP96&lt;&gt;"",$AP96*'Elements and ions'!$G$4*1000,"")</f>
        <v>5.6108020889591996</v>
      </c>
      <c r="BP96" s="269">
        <f>'WC samples'!P67</f>
        <v>0.1391</v>
      </c>
      <c r="BQ96" s="270">
        <f>'WC samples'!R67</f>
        <v>0</v>
      </c>
      <c r="BR96" s="195"/>
      <c r="BS96" s="238">
        <f>IF($AU96&lt;&gt;"",$AU96/'Elements and ions'!$B$12,"")</f>
        <v>0.28246912445743344</v>
      </c>
      <c r="BT96" s="239">
        <f>IF($AV96&lt;&gt;"",$AV96/'Elements and ions'!$B$20,"")</f>
        <v>2.9315852607402368E-2</v>
      </c>
      <c r="BU96" s="239">
        <f>IF($AW96&lt;&gt;"",$AW96/'Elements and ions'!$B$21, "")</f>
        <v>2.1488846748839761</v>
      </c>
      <c r="BV96" s="240">
        <f>IF($AX96&lt;&gt;"",$AX96/'Elements and ions'!$B$13, "")</f>
        <v>0.37548241102653773</v>
      </c>
      <c r="BW96" s="238">
        <f>IF($AY96&lt;&gt;"",$AY96/'Elements and ions'!$G$3,"")</f>
        <v>4.7952282488851665</v>
      </c>
      <c r="BX96" s="239">
        <f>IF($AZ96&lt;&gt;"",$AZ96/'Elements and ions'!$B$18,"")</f>
        <v>0.28023862578625219</v>
      </c>
      <c r="BY96" s="239">
        <f>IF($BA96&lt;&gt;"",$BA96/'Elements and ions'!$G$7,"")</f>
        <v>0.36498567048733249</v>
      </c>
      <c r="BZ96" s="241">
        <f>IF($BB96&lt;&gt;"",$BB96/'Elements and ions'!$G$5,"")</f>
        <v>0.12202980140033685</v>
      </c>
      <c r="CA96" s="91">
        <f t="shared" si="761"/>
        <v>2.5703957827688553E-6</v>
      </c>
      <c r="CB96" s="163" t="str">
        <f>IF($BD96&lt;&gt;"",$BD96/'Elements and ions'!$B$14,"")</f>
        <v/>
      </c>
      <c r="CC96" s="89" t="str">
        <f>IF($BE96&lt;&gt;"",$BE96/'Elements and ions'!$B$27, "")</f>
        <v/>
      </c>
      <c r="CD96" s="249" t="str">
        <f>IF($BF96&lt;&gt;"",$BF96/'Elements and ions'!$B$26,"")</f>
        <v/>
      </c>
      <c r="CE96" s="250">
        <f>IF($BG96&lt;&gt;"",$BG96/'Elements and ions'!$G$6,"")</f>
        <v>0</v>
      </c>
      <c r="CF96" s="91" t="str">
        <f>IF($BH96&lt;&gt;"",$BH96/'Elements and ions'!$G$15,"")</f>
        <v/>
      </c>
      <c r="CG96" s="89" t="str">
        <f>IF($BI96&lt;&gt;"",$BI96/'Elements and ions'!$G$16,"")</f>
        <v/>
      </c>
      <c r="CH96" s="90">
        <f>IF($BJ96&lt;&gt;"",$BJ96/'Elements and ions'!$G$2,"")</f>
        <v>2.4592873962777366E-2</v>
      </c>
      <c r="CI96" s="91" t="str">
        <f>IF($BK96&lt;&gt;"",$BK96/'Elements and ions'!$B$15, "")</f>
        <v/>
      </c>
      <c r="CJ96" s="88" t="str">
        <f>IF($BL96&lt;&gt;"", $BL96/'Elements and ions'!$G$17,"")</f>
        <v/>
      </c>
      <c r="CK96" s="89">
        <f t="shared" si="762"/>
        <v>3.8904514499428001E-3</v>
      </c>
      <c r="CL96" s="163" t="str">
        <f>IF($BN96&lt;&gt;"", $BN96/'Elements and ions'!$G$19,"")</f>
        <v/>
      </c>
      <c r="CM96" s="89">
        <f>IF($BO96&lt;&gt;"",$BO96/'Elements and ions'!$G$4,"")</f>
        <v>9.3499499056959881E-2</v>
      </c>
      <c r="CN96" s="89">
        <f>IF($BP96&lt;&gt;"",$BP96/'Elements and ions'!$B$10,"")</f>
        <v>7.3216679599683414E-3</v>
      </c>
      <c r="CO96" s="104">
        <f>IF($BQ96&lt;&gt;"",$BQ96/'Elements and ions'!$G$18,"")</f>
        <v>0</v>
      </c>
      <c r="CP96" s="242"/>
      <c r="CQ96" s="238">
        <f t="shared" si="771"/>
        <v>2.8246912445743344E-4</v>
      </c>
      <c r="CR96" s="239">
        <f t="shared" si="772"/>
        <v>2.9315852607402367E-5</v>
      </c>
      <c r="CS96" s="239">
        <f t="shared" si="773"/>
        <v>2.1488846748839762E-3</v>
      </c>
      <c r="CT96" s="241">
        <f t="shared" si="774"/>
        <v>3.7548241102653774E-4</v>
      </c>
      <c r="CU96" s="238">
        <f t="shared" si="775"/>
        <v>4.7952282488851663E-3</v>
      </c>
      <c r="CV96" s="239">
        <f t="shared" si="776"/>
        <v>2.8023862578625217E-4</v>
      </c>
      <c r="CW96" s="239">
        <f t="shared" si="777"/>
        <v>3.649856704873325E-4</v>
      </c>
      <c r="CX96" s="241">
        <f t="shared" si="778"/>
        <v>1.2202980140033686E-4</v>
      </c>
      <c r="CY96" s="258">
        <f t="shared" si="763"/>
        <v>2.5703957827688555E-9</v>
      </c>
      <c r="CZ96" s="259" t="str">
        <f t="shared" si="779"/>
        <v/>
      </c>
      <c r="DA96" s="260" t="str">
        <f t="shared" si="780"/>
        <v/>
      </c>
      <c r="DB96" s="261" t="str">
        <f t="shared" si="781"/>
        <v/>
      </c>
      <c r="DC96" s="262">
        <f t="shared" si="782"/>
        <v>0</v>
      </c>
      <c r="DD96" s="263" t="str">
        <f t="shared" si="783"/>
        <v/>
      </c>
      <c r="DE96" s="259" t="str">
        <f t="shared" si="784"/>
        <v/>
      </c>
      <c r="DF96" s="260">
        <f t="shared" si="785"/>
        <v>2.4592873962777366E-5</v>
      </c>
      <c r="DG96" s="260" t="str">
        <f t="shared" si="786"/>
        <v/>
      </c>
      <c r="DH96" s="264" t="str">
        <f t="shared" si="787"/>
        <v/>
      </c>
      <c r="DI96" s="258">
        <f t="shared" si="764"/>
        <v>3.8904514499428E-6</v>
      </c>
      <c r="DJ96" s="260" t="str">
        <f t="shared" si="788"/>
        <v/>
      </c>
      <c r="DK96" s="260">
        <f t="shared" si="789"/>
        <v>9.3499499056959881E-5</v>
      </c>
      <c r="DL96" s="260">
        <f t="shared" si="790"/>
        <v>7.3216679599683417E-6</v>
      </c>
      <c r="DM96" s="265">
        <f t="shared" si="791"/>
        <v>0</v>
      </c>
      <c r="DN96" s="242"/>
      <c r="DO96" s="238">
        <f t="shared" si="792"/>
        <v>0.28246912445743344</v>
      </c>
      <c r="DP96" s="239">
        <f t="shared" si="793"/>
        <v>2.9315852607402368E-2</v>
      </c>
      <c r="DQ96" s="239">
        <f t="shared" si="794"/>
        <v>4.2977693497679521</v>
      </c>
      <c r="DR96" s="241">
        <f t="shared" si="795"/>
        <v>0.75096482205307546</v>
      </c>
      <c r="DS96" s="238">
        <f t="shared" si="796"/>
        <v>-4.7952282488851665</v>
      </c>
      <c r="DT96" s="239">
        <f t="shared" si="797"/>
        <v>-0.28023862578625219</v>
      </c>
      <c r="DU96" s="239">
        <f t="shared" si="798"/>
        <v>-0.36498567048733249</v>
      </c>
      <c r="DV96" s="241">
        <f t="shared" si="799"/>
        <v>-0.24405960280067371</v>
      </c>
      <c r="DW96" s="91">
        <f t="shared" si="765"/>
        <v>2.5703957827688553E-6</v>
      </c>
      <c r="DX96" s="89">
        <f t="shared" si="800"/>
        <v>0</v>
      </c>
      <c r="DY96" s="89">
        <f t="shared" si="801"/>
        <v>0</v>
      </c>
      <c r="DZ96" s="89">
        <f t="shared" si="802"/>
        <v>0</v>
      </c>
      <c r="EA96" s="90">
        <f t="shared" si="803"/>
        <v>0</v>
      </c>
      <c r="EB96" s="91">
        <f t="shared" si="766"/>
        <v>-3.8904514499428001E-3</v>
      </c>
      <c r="EC96" s="89">
        <f t="shared" si="804"/>
        <v>0</v>
      </c>
      <c r="ED96" s="89">
        <f t="shared" si="805"/>
        <v>-0.18699899811391976</v>
      </c>
      <c r="EE96" s="89">
        <f t="shared" si="806"/>
        <v>-7.3216679599683414E-3</v>
      </c>
      <c r="EF96" s="90">
        <f t="shared" si="807"/>
        <v>0</v>
      </c>
      <c r="EG96" s="242"/>
      <c r="EH96" s="245">
        <f t="shared" si="808"/>
        <v>5.3605217192816452</v>
      </c>
      <c r="EI96" s="246">
        <f t="shared" si="809"/>
        <v>-5.8827232654832544</v>
      </c>
      <c r="EJ96" s="198">
        <f t="shared" si="810"/>
        <v>-4.6445803405441728</v>
      </c>
      <c r="EK96" s="198">
        <f t="shared" si="811"/>
        <v>1.3465367144335178E-2</v>
      </c>
      <c r="EL96" s="101">
        <f>IF(AND(CS96&lt;&gt;"",DK96&lt;&gt;""),LOG(CS96*DK96/Minerals!$C$6),"")</f>
        <v>1.7831943989284038</v>
      </c>
      <c r="EM96" s="94">
        <f>IF(AND(CS96&lt;&gt;"",DK96&lt;&gt;""),LOG(CS96*DK96/Minerals!$C$5),"")</f>
        <v>1.6527148695721861</v>
      </c>
      <c r="EN96" s="94">
        <f>IF(AND(CS96&lt;&gt;"",DL96&lt;&gt;""),LOG(CS96*DL96^2/Minerals!$C$2),"")</f>
        <v>-2.3686418877122386</v>
      </c>
      <c r="EO96" s="94">
        <f>IF(AND(CS96&lt;&gt;"",CX96&lt;&gt;""),LOG($CS96*$CX96/Minerals!$C$3),"")</f>
        <v>-1.9813406219450962</v>
      </c>
      <c r="EP96" s="95">
        <f>IF(AND(CS96&lt;&gt;"",CX96&lt;&gt;""),LOG($CS96*$CX96/Minerals!$C$4),"")</f>
        <v>-2.2213251334109985</v>
      </c>
      <c r="EQ96" s="199"/>
      <c r="ER96" s="101">
        <f t="shared" si="834"/>
        <v>0.88718148157871635</v>
      </c>
      <c r="ES96" s="94">
        <f t="shared" si="834"/>
        <v>0.88718148157871635</v>
      </c>
      <c r="ET96" s="94">
        <f t="shared" si="835"/>
        <v>0.61951221277485757</v>
      </c>
      <c r="EU96" s="94">
        <f t="shared" si="835"/>
        <v>0.61951221277485757</v>
      </c>
      <c r="EV96" s="95">
        <f t="shared" si="835"/>
        <v>0.61951221277485757</v>
      </c>
      <c r="EW96" s="101">
        <f t="shared" si="836"/>
        <v>0.88718148157871635</v>
      </c>
      <c r="EX96" s="94">
        <f t="shared" si="758"/>
        <v>0.61951221277485757</v>
      </c>
      <c r="EY96" s="94">
        <f t="shared" si="836"/>
        <v>0.88718148157871635</v>
      </c>
      <c r="EZ96" s="94">
        <f t="shared" si="836"/>
        <v>0.88718148157871635</v>
      </c>
      <c r="FA96" s="94">
        <f t="shared" si="836"/>
        <v>0.88718148157871635</v>
      </c>
      <c r="FB96" s="95">
        <f t="shared" si="759"/>
        <v>0.61951221277485757</v>
      </c>
      <c r="FC96" s="199"/>
      <c r="FD96" s="101">
        <f t="shared" si="812"/>
        <v>2.5060137633638863E-4</v>
      </c>
      <c r="FE96" s="94">
        <f t="shared" si="813"/>
        <v>2.6008481549978508E-5</v>
      </c>
      <c r="FF96" s="94">
        <f t="shared" si="814"/>
        <v>1.3312602999353525E-3</v>
      </c>
      <c r="FG96" s="94">
        <f t="shared" si="815"/>
        <v>2.3261593931308896E-4</v>
      </c>
      <c r="FH96" s="95" t="str">
        <f t="shared" si="816"/>
        <v/>
      </c>
      <c r="FI96" s="101">
        <f t="shared" si="817"/>
        <v>4.2542377023540552E-3</v>
      </c>
      <c r="FJ96" s="94">
        <f t="shared" si="818"/>
        <v>5.7924081554117927E-5</v>
      </c>
      <c r="FK96" s="94">
        <f t="shared" si="819"/>
        <v>2.4862251922063068E-4</v>
      </c>
      <c r="FL96" s="94">
        <f t="shared" si="820"/>
        <v>3.2380852789795281E-4</v>
      </c>
      <c r="FM96" s="94">
        <f t="shared" si="821"/>
        <v>6.4956482283521312E-6</v>
      </c>
      <c r="FN96" s="95">
        <f t="shared" si="822"/>
        <v>7.5598952289999098E-5</v>
      </c>
      <c r="FO96" s="199"/>
      <c r="FP96" s="101">
        <f>IF(EL96&lt;&gt;"",LOG(FF96*FJ96/Minerals!$C$6),"")</f>
        <v>1.3672941434791199</v>
      </c>
      <c r="FQ96" s="94">
        <f>IF(EL96&lt;&gt;"",LOG(FF96*FJ96/Minerals!$C$5),"")</f>
        <v>1.2368146141229022</v>
      </c>
      <c r="FR96" s="94">
        <f>IF(EN96&lt;&gt;"",LOG(FF96*FM96^2/Minerals!$C$2),"")</f>
        <v>-2.6805670792992013</v>
      </c>
      <c r="FS96" s="94">
        <f>IF(EO96&lt;&gt;"",LOG($FF96*$FN96/Minerals!$C$3),"")</f>
        <v>-2.3972408773943803</v>
      </c>
      <c r="FT96" s="95">
        <f>IF(EP96&lt;&gt;"",LOG($FF96*$FN96/Minerals!$C$4),"")</f>
        <v>-2.6372253888602826</v>
      </c>
      <c r="FU96" s="96"/>
      <c r="FV96" s="101">
        <f>IF(FP96&lt;&gt;"",LOG(FF96*FJ96/(EXP(-1*Minerals!$E$6/'Other Constants'!$B$2*(1/(273.15+'ppm-mgL-1'!$D96)-1/298.15)+LN(Minerals!$C$6)))),"")</f>
        <v>-1.3946889912387588E-2</v>
      </c>
      <c r="FW96" s="94">
        <f>IF(FP96&lt;&gt;"",LOG(FF96*FJ96/(EXP(-1*Minerals!$E$5/'Other Constants'!$B$2*(1/(273.15+'ppm-mgL-1'!$D96)-1/298.15)+LN(Minerals!$C$5)))),"")</f>
        <v>-0.14455128760530109</v>
      </c>
      <c r="FX96" s="94">
        <f>IF(FR96&lt;&gt;"",LOG(FF96*FM96^2/(EXP(-1*Minerals!$E$2/'Other Constants'!$B$2*(1/(273.15+'ppm-mgL-1'!$D96)-1/298.15)+LN(Minerals!$C$2)))),"")</f>
        <v>-2.6221703205045439</v>
      </c>
      <c r="FY96" s="94">
        <f>IF(FS96&lt;&gt;"",LOG($FF96*$FN96/(EXP(-1*Minerals!$E$3/'Other Constants'!$B$2*(1/(273.15+'ppm-mgL-1'!$D96)-1/298.15)+LN(Minerals!$C$3)))),"")</f>
        <v>-1.2065630151110647</v>
      </c>
      <c r="FZ96" s="95">
        <f>IF(FT96&lt;&gt;"",LOG($FF96*$FN96/(EXP(-1*Minerals!$E$4/'Other Constants'!$B$2*(1/(273.15+'ppm-mgL-1'!$D96)-1/298.15)+LN(Minerals!$C$4)))),"")</f>
        <v>-2.6713352561676396</v>
      </c>
      <c r="GA96" s="96"/>
      <c r="GB96" s="96"/>
      <c r="GC96" s="101">
        <f>10^(-1825000*(79.755*EXP(-0.0046*($D96-20))*($D96+273.15))^-1.5*$EK96^0.5/(1+'Elements and ions'!$D$12*$EK96^0.5/(2*(79.755*EXP(-0.0046*($D96-20))*($D96+273.15))^0.5)))</f>
        <v>0.88804643570376074</v>
      </c>
      <c r="GD96" s="94">
        <f>10^(-1825000*(79.755*EXP(-0.0046*($D96-20))*($D96+273.15))^-1.5*$EK96^0.5/(1+'Elements and ions'!$D$20*$EK96^0.5/(2*(79.755*EXP(-0.0046*($D96-20))*($D96+273.15))^0.5)))</f>
        <v>0.88445881603578591</v>
      </c>
      <c r="GE96" s="94">
        <f>10^(-1825000*(79.755*EXP(-0.0046*($D96-20))*($D96+273.15))^-1.5*4*$EK96^0.5/(1+'Elements and ions'!$D$21*$EK96^0.5/(2*(79.755*EXP(-0.0046*($D96-20))*($D96+273.15))^0.5)))</f>
        <v>0.64047488950421938</v>
      </c>
      <c r="GF96" s="94">
        <f>10^(-1825000*(79.755*EXP(-0.0046*($D96-20))*($D96+273.15))^-1.5*4*$EK96^0.5/(1+'Elements and ions'!$D$13*$EK96^0.5/(2*(79.755*EXP(-0.0046*($D96-20))*($D96+273.15))^0.5)))</f>
        <v>0.65731697217980711</v>
      </c>
      <c r="GG96" s="95">
        <f>10^(-1825000*(79.755*EXP(-0.0046*($D96-20))*($D96+273.15))^-1.5*4*$EK96^0.5/(1+'Elements and ions'!$D$27*$EK96^0.5/(2*(79.755*EXP(-0.0046*($D96-20))*($D96+273.15))^0.5)))</f>
        <v>0.64047488950421938</v>
      </c>
      <c r="GH96" s="101">
        <f>10^(-1825000*(79.755*EXP(-0.0046*($D96-20))*($D96+273.15))^-1.5*$EK96^0.5/(1+'Elements and ions'!$G$3*$EK96^0.5/(2*(79.755*EXP(-0.0046*($D96-20))*($D96+273.15))^0.5)))</f>
        <v>0.87487798612553436</v>
      </c>
      <c r="GI96" s="94">
        <f>10^(-1825000*(79.755*EXP(-0.0046*($D96-20))*($D96+273.15))^-1.5*4*$EK96^0.5/(1+'Elements and ions'!$G$4*$EK96^0.5/(2*(79.755*EXP(-0.0046*($D96-20))*($D96+273.15))^0.5)))</f>
        <v>0.58573752062770945</v>
      </c>
      <c r="GJ96" s="94">
        <f>10^(-1825000*(79.755*EXP(-0.0046*($D96-20))*($D96+273.15))^-1.5*$EK96^0.5/(1+'Elements and ions'!$D$18*$EK96^0.5/(2*(79.755*EXP(-0.0046*($D96-20))*($D96+273.15))^0.5)))</f>
        <v>0.88445881603578591</v>
      </c>
      <c r="GK96" s="94">
        <f>10^(-1825000*(79.755*EXP(-0.0046*($D96-20))*($D96+273.15))^-1.5*$EK96^0.5/(1+'Elements and ions'!$I$7*$EK96^0.5/(2*(79.755*EXP(-0.0046*($D96-20))*($D96+273.15))^0.5)))</f>
        <v>0.88445881603578591</v>
      </c>
      <c r="GL96" s="94">
        <f>10^(-1825000*(79.755*EXP(-0.0046*($D96-20))*($D96+273.15))^-1.5*$EK96^0.5/(1+'Elements and ions'!$D$10*$EK96^0.5/(2*(79.755*EXP(-0.0046*($D96-20))*($D96+273.15))^0.5)))</f>
        <v>0.88628087795983201</v>
      </c>
      <c r="GM96" s="95">
        <f>10^(-1825000*(79.755*EXP(-0.0046*($D96-20))*($D96+273.15))^-1.5*4*$EK96^0.5/(1+'Elements and ions'!$I$5*$EK96^0.5/(2*(79.755*EXP(-0.0046*($D96-20))*($D96+273.15))^0.5)))</f>
        <v>0.62193171228578237</v>
      </c>
      <c r="GN96" s="96"/>
      <c r="GO96" s="101">
        <f t="shared" si="823"/>
        <v>2.5084569917078575E-4</v>
      </c>
      <c r="GP96" s="94">
        <f t="shared" si="824"/>
        <v>2.5928664288222706E-5</v>
      </c>
      <c r="GQ96" s="94">
        <f t="shared" si="825"/>
        <v>1.3763066747036251E-3</v>
      </c>
      <c r="GR96" s="94">
        <f t="shared" si="826"/>
        <v>2.468109615227376E-4</v>
      </c>
      <c r="GS96" s="95" t="str">
        <f t="shared" si="827"/>
        <v/>
      </c>
      <c r="GT96" s="101">
        <f t="shared" si="828"/>
        <v>4.1952396333969268E-3</v>
      </c>
      <c r="GU96" s="94">
        <f t="shared" si="829"/>
        <v>5.476616475755654E-5</v>
      </c>
      <c r="GV96" s="94">
        <f t="shared" si="830"/>
        <v>2.4785952317040426E-4</v>
      </c>
      <c r="GW96" s="94">
        <f t="shared" si="831"/>
        <v>3.2281479398925357E-4</v>
      </c>
      <c r="GX96" s="94">
        <f t="shared" si="832"/>
        <v>6.4890543076911143E-6</v>
      </c>
      <c r="GY96" s="102">
        <f t="shared" si="833"/>
        <v>7.589420333480547E-5</v>
      </c>
      <c r="GZ96" s="199"/>
      <c r="HA96" s="92">
        <f>IF(AND(GQ96&lt;&gt;"",GU96&lt;&gt;""),LOG(GQ96*GU96/Minerals!$C$6),"")</f>
        <v>1.3573995509179797</v>
      </c>
      <c r="HB96" s="94">
        <f>IF(AND(GQ96&lt;&gt;"",GU96&lt;&gt;""),LOG(GQ96*GU96/Minerals!$C$5),"")</f>
        <v>1.2269200215617619</v>
      </c>
      <c r="HC96" s="94">
        <f>IF(AND(GQ96&lt;&gt;"",GX96&lt;&gt;""),LOG(GQ96*GX96^2/Minerals!$C$2),"")</f>
        <v>-2.6669970217882133</v>
      </c>
      <c r="HD96" s="94">
        <f>IF(AND(GQ96&lt;&gt;"",GY96&lt;&gt;""),LOG($GQ96*$GY96/Minerals!$C$3),"")</f>
        <v>-2.3810958124601296</v>
      </c>
      <c r="HE96" s="102">
        <f>IF(AND(GQ96&lt;&gt;"",GY96&lt;&gt;""),LOG($GQ96*$GY96/Minerals!$C$3),"")</f>
        <v>-2.3810958124601296</v>
      </c>
      <c r="HF96" s="199"/>
      <c r="HG96" s="92">
        <f>IF(HA96&lt;&gt;"",LOG(GQ96*GU96/(EXP(-1*Minerals!$E$6/'Other Constants'!$B$2*(1/(273.15+'ppm-mgL-1'!$D96)-1/298.15)+LN(Minerals!$C$6)))),"")</f>
        <v>-2.3841482473527843E-2</v>
      </c>
      <c r="HH96" s="94">
        <f>IF(HA96&lt;&gt;"",LOG(GQ96*GU96/(EXP(-1*Minerals!$E$5/'Other Constants'!$B$2*(1/(273.15+'ppm-mgL-1'!$D96)-1/298.15)+LN(Minerals!$C$5)))),"")</f>
        <v>-0.15444588016644131</v>
      </c>
      <c r="HI96" s="94">
        <f>IF(HC96&lt;&gt;"",LOG(GQ96*GX96^2/(EXP(-1*Minerals!$E$2/'Other Constants'!$B$2*(1/(273.15+'ppm-mgL-1'!$D96)-1/298.15)+LN(Minerals!$C$2)))),"")</f>
        <v>-2.6086002629935559</v>
      </c>
      <c r="HJ96" s="94">
        <f>IF(HD96&lt;&gt;"",LOG($FF96*$FN96/(EXP(-1*Minerals!$E$3/'Other Constants'!$B$2*(1/(273.15+'ppm-mgL-1'!$D96)-1/298.15)+LN(Minerals!$C$3)))),"")</f>
        <v>-1.2065630151110647</v>
      </c>
      <c r="HK96" s="95">
        <f>IF(HE96&lt;&gt;"",LOG($FF96*$FN96/(EXP(-1*Minerals!$E$4/'Other Constants'!$B$2*(1/(273.15+'ppm-mgL-1'!$D96)-1/298.15)+LN(Minerals!$C$4)))),"")</f>
        <v>-2.6713352561676396</v>
      </c>
      <c r="HL96" s="199"/>
      <c r="HM96" s="199"/>
    </row>
    <row r="97" spans="1:221" x14ac:dyDescent="0.25">
      <c r="A97" s="267" t="str">
        <f>'WC samples'!B68</f>
        <v>ISSR 8</v>
      </c>
      <c r="C97" s="266">
        <f>'WC samples'!A68</f>
        <v>41624</v>
      </c>
      <c r="D97" s="4">
        <f>'WC samples'!I68</f>
        <v>21.7</v>
      </c>
      <c r="E97" s="4">
        <f>'WC samples'!F68</f>
        <v>8.5399999999999991</v>
      </c>
      <c r="AD97" s="83">
        <f>IF(E97&lt;&gt;"",10^(-2*$E97)/(10^(-2*$E97)+10^(-$E97-pKa!$B$2)+(10^(-pKa!$B$2-pKa!$C$2))),"")</f>
        <v>5.6242958685352911E-3</v>
      </c>
      <c r="AE97" s="84">
        <f>IF(E97&lt;&gt;"",10^(-$E97-pKa!$B$2)/(10^(-2*$E97)+10^(-$E97-pKa!$B$2)+10^(-pKa!$B$2-pKa!$C$2)),"")</f>
        <v>0.97739060214723161</v>
      </c>
      <c r="AF97" s="212">
        <f>IF(E97&lt;&gt;"",10^(-pKa!$B$2-pKa!$C$2)/(10^(-2*$E97)+10^(-$E97-pKa!$B$2)+10^(-pKa!$B$2-pKa!$C$2)),"")</f>
        <v>1.6985101984233027E-2</v>
      </c>
      <c r="AG97" s="152"/>
      <c r="AH97" s="222">
        <f>IF($AK97&lt;&gt;"",$AK97/'Elements and ions'!$G$3,IF($E97="","",""))</f>
        <v>4.5069525068817073</v>
      </c>
      <c r="AI97" s="85">
        <f t="shared" si="770"/>
        <v>4.4563216362980647E-3</v>
      </c>
      <c r="AJ97" s="84">
        <f>IF(AI97&lt;&gt;"",AI97*1000*'Elements and ions'!$B$7,"")</f>
        <v>53.52354227708517</v>
      </c>
      <c r="AK97" s="99">
        <f>'WC samples'!H68</f>
        <v>275</v>
      </c>
      <c r="AL97" s="88">
        <f>IF($AK97&lt;&gt;"",$AK97/'Elements and ions'!$G$3*Minerals!$B$6/2,IF($E97="","","Enter Alk(HCO3-)"))</f>
        <v>225.54345243050938</v>
      </c>
      <c r="AM97" s="199"/>
      <c r="AN97" s="101">
        <f t="shared" si="837"/>
        <v>2.5063671367895634E-5</v>
      </c>
      <c r="AO97" s="94">
        <f t="shared" si="838"/>
        <v>4.3555668874631021E-3</v>
      </c>
      <c r="AP97" s="95">
        <f t="shared" si="839"/>
        <v>7.5691077467066823E-5</v>
      </c>
      <c r="AQ97" s="199"/>
      <c r="AR97" s="199"/>
      <c r="AS97" s="83">
        <f t="shared" si="760"/>
        <v>7.3716680493810693E-2</v>
      </c>
      <c r="AT97" s="83">
        <f>IF(AN97&lt;&gt;"",AN97/'Henrys law constants'!$B$7*1000000,"")</f>
        <v>737.16680493810691</v>
      </c>
      <c r="AU97" s="268">
        <f>'WC samples'!K68</f>
        <v>6.3502000000000001</v>
      </c>
      <c r="AV97" s="269">
        <f>'WC samples'!M68</f>
        <v>1.0988</v>
      </c>
      <c r="AW97" s="269">
        <f>'WC samples'!O68</f>
        <v>75.432599999999994</v>
      </c>
      <c r="AX97" s="269">
        <f>'WC samples'!N68</f>
        <v>9.3558000000000003</v>
      </c>
      <c r="AY97" s="226">
        <f>AO97*'Elements and ions'!$G$3*1000</f>
        <v>265.76292788163408</v>
      </c>
      <c r="AZ97" s="269">
        <f>'WC samples'!Q68</f>
        <v>10.548400000000001</v>
      </c>
      <c r="BA97" s="269">
        <f>'WC samples'!T68</f>
        <v>26.137699999999999</v>
      </c>
      <c r="BB97" s="270">
        <f>'WC samples'!V68</f>
        <v>11.8606</v>
      </c>
      <c r="BC97" s="222">
        <f>IF($E97&lt;&gt;"",10^-$E97*'Elements and ions'!B101*1000,"")</f>
        <v>0</v>
      </c>
      <c r="BE97" s="6"/>
      <c r="BF97" s="6"/>
      <c r="BG97" s="270">
        <f>'WC samples'!L68</f>
        <v>0</v>
      </c>
      <c r="BH97" s="3"/>
      <c r="BJ97" s="92">
        <f>IF($AN97&lt;&gt;"",$AN97*'Elements and ions'!$G$2*1000,"")</f>
        <v>1.5545687025860258</v>
      </c>
      <c r="BK97" s="229"/>
      <c r="BL97" s="230"/>
      <c r="BM97" s="101">
        <f>IF($E97&lt;&gt;"",(10^-14+$E97)*'Elements and ions'!$G$8,"")</f>
        <v>145.24268360000016</v>
      </c>
      <c r="BO97" s="102">
        <f>IF($AP97&lt;&gt;"",$AP97*'Elements and ions'!$G$4*1000,"")</f>
        <v>4.542138298613466</v>
      </c>
      <c r="BP97" s="269">
        <f>'WC samples'!P68</f>
        <v>0.1363</v>
      </c>
      <c r="BQ97" s="270">
        <f>'WC samples'!R68</f>
        <v>0</v>
      </c>
      <c r="BR97" s="195"/>
      <c r="BS97" s="238">
        <f>IF($AU97&lt;&gt;"",$AU97/'Elements and ions'!$B$12,"")</f>
        <v>0.27621851801376579</v>
      </c>
      <c r="BT97" s="239">
        <f>IF($AV97&lt;&gt;"",$AV97/'Elements and ions'!$B$20,"")</f>
        <v>2.8103523682615355E-2</v>
      </c>
      <c r="BU97" s="239">
        <f>IF($AW97&lt;&gt;"",$AW97/'Elements and ions'!$B$21, "")</f>
        <v>1.8821448176056685</v>
      </c>
      <c r="BV97" s="240">
        <f>IF($AX97&lt;&gt;"",$AX97/'Elements and ions'!$B$13, "")</f>
        <v>0.38493314132894468</v>
      </c>
      <c r="BW97" s="238">
        <f>IF($AY97&lt;&gt;"",$AY97/'Elements and ions'!$G$3,"")</f>
        <v>4.3555668874631017</v>
      </c>
      <c r="BX97" s="239">
        <f>IF($AZ97&lt;&gt;"",$AZ97/'Elements and ions'!$B$18,"")</f>
        <v>0.29753194370010999</v>
      </c>
      <c r="BY97" s="239">
        <f>IF($BA97&lt;&gt;"",$BA97/'Elements and ions'!$G$7,"")</f>
        <v>0.42154249099667929</v>
      </c>
      <c r="BZ97" s="241">
        <f>IF($BB97&lt;&gt;"",$BB97/'Elements and ions'!$G$5,"")</f>
        <v>0.12346740562924592</v>
      </c>
      <c r="CA97" s="91">
        <f t="shared" si="761"/>
        <v>2.8840315031266055E-6</v>
      </c>
      <c r="CB97" s="163" t="str">
        <f>IF($BD97&lt;&gt;"",$BD97/'Elements and ions'!$B$14,"")</f>
        <v/>
      </c>
      <c r="CC97" s="89" t="str">
        <f>IF($BE97&lt;&gt;"",$BE97/'Elements and ions'!$B$27, "")</f>
        <v/>
      </c>
      <c r="CD97" s="249" t="str">
        <f>IF($BF97&lt;&gt;"",$BF97/'Elements and ions'!$B$26,"")</f>
        <v/>
      </c>
      <c r="CE97" s="250">
        <f>IF($BG97&lt;&gt;"",$BG97/'Elements and ions'!$G$6,"")</f>
        <v>0</v>
      </c>
      <c r="CF97" s="91" t="str">
        <f>IF($BH97&lt;&gt;"",$BH97/'Elements and ions'!$G$15,"")</f>
        <v/>
      </c>
      <c r="CG97" s="89" t="str">
        <f>IF($BI97&lt;&gt;"",$BI97/'Elements and ions'!$G$16,"")</f>
        <v/>
      </c>
      <c r="CH97" s="90">
        <f>IF($BJ97&lt;&gt;"",$BJ97/'Elements and ions'!$G$2,"")</f>
        <v>2.5063671367895637E-2</v>
      </c>
      <c r="CI97" s="91" t="str">
        <f>IF($BK97&lt;&gt;"",$BK97/'Elements and ions'!$B$15, "")</f>
        <v/>
      </c>
      <c r="CJ97" s="88" t="str">
        <f>IF($BL97&lt;&gt;"", $BL97/'Elements and ions'!$G$17,"")</f>
        <v/>
      </c>
      <c r="CK97" s="89">
        <f t="shared" si="762"/>
        <v>3.4673685045253063E-3</v>
      </c>
      <c r="CL97" s="163" t="str">
        <f>IF($BN97&lt;&gt;"", $BN97/'Elements and ions'!$G$19,"")</f>
        <v/>
      </c>
      <c r="CM97" s="89">
        <f>IF($BO97&lt;&gt;"",$BO97/'Elements and ions'!$G$4,"")</f>
        <v>7.5691077467066825E-2</v>
      </c>
      <c r="CN97" s="89">
        <f>IF($BP97&lt;&gt;"",$BP97/'Elements and ions'!$B$10,"")</f>
        <v>7.1742871527223934E-3</v>
      </c>
      <c r="CO97" s="104">
        <f>IF($BQ97&lt;&gt;"",$BQ97/'Elements and ions'!$G$18,"")</f>
        <v>0</v>
      </c>
      <c r="CP97" s="242"/>
      <c r="CQ97" s="238">
        <f t="shared" si="771"/>
        <v>2.7621851801376578E-4</v>
      </c>
      <c r="CR97" s="239">
        <f t="shared" si="772"/>
        <v>2.8103523682615354E-5</v>
      </c>
      <c r="CS97" s="239">
        <f t="shared" si="773"/>
        <v>1.8821448176056686E-3</v>
      </c>
      <c r="CT97" s="241">
        <f t="shared" si="774"/>
        <v>3.849331413289447E-4</v>
      </c>
      <c r="CU97" s="238">
        <f t="shared" si="775"/>
        <v>4.3555668874631021E-3</v>
      </c>
      <c r="CV97" s="239">
        <f t="shared" si="776"/>
        <v>2.9753194370010999E-4</v>
      </c>
      <c r="CW97" s="239">
        <f t="shared" si="777"/>
        <v>4.2154249099667931E-4</v>
      </c>
      <c r="CX97" s="241">
        <f t="shared" si="778"/>
        <v>1.2346740562924592E-4</v>
      </c>
      <c r="CY97" s="258">
        <f t="shared" si="763"/>
        <v>2.8840315031266055E-9</v>
      </c>
      <c r="CZ97" s="259" t="str">
        <f t="shared" si="779"/>
        <v/>
      </c>
      <c r="DA97" s="260" t="str">
        <f t="shared" si="780"/>
        <v/>
      </c>
      <c r="DB97" s="261" t="str">
        <f t="shared" si="781"/>
        <v/>
      </c>
      <c r="DC97" s="262">
        <f t="shared" si="782"/>
        <v>0</v>
      </c>
      <c r="DD97" s="263" t="str">
        <f t="shared" si="783"/>
        <v/>
      </c>
      <c r="DE97" s="259" t="str">
        <f t="shared" si="784"/>
        <v/>
      </c>
      <c r="DF97" s="260">
        <f t="shared" si="785"/>
        <v>2.5063671367895638E-5</v>
      </c>
      <c r="DG97" s="260" t="str">
        <f t="shared" si="786"/>
        <v/>
      </c>
      <c r="DH97" s="264" t="str">
        <f t="shared" si="787"/>
        <v/>
      </c>
      <c r="DI97" s="258">
        <f t="shared" si="764"/>
        <v>3.4673685045253063E-6</v>
      </c>
      <c r="DJ97" s="260" t="str">
        <f t="shared" si="788"/>
        <v/>
      </c>
      <c r="DK97" s="260">
        <f t="shared" si="789"/>
        <v>7.5691077467066823E-5</v>
      </c>
      <c r="DL97" s="260">
        <f t="shared" si="790"/>
        <v>7.1742871527223938E-6</v>
      </c>
      <c r="DM97" s="265">
        <f t="shared" si="791"/>
        <v>0</v>
      </c>
      <c r="DN97" s="242"/>
      <c r="DO97" s="238">
        <f t="shared" si="792"/>
        <v>0.27621851801376579</v>
      </c>
      <c r="DP97" s="239">
        <f t="shared" si="793"/>
        <v>2.8103523682615355E-2</v>
      </c>
      <c r="DQ97" s="239">
        <f t="shared" si="794"/>
        <v>3.7642896352113371</v>
      </c>
      <c r="DR97" s="241">
        <f t="shared" si="795"/>
        <v>0.76986628265788937</v>
      </c>
      <c r="DS97" s="238">
        <f t="shared" si="796"/>
        <v>-4.3555668874631017</v>
      </c>
      <c r="DT97" s="239">
        <f t="shared" si="797"/>
        <v>-0.29753194370010999</v>
      </c>
      <c r="DU97" s="239">
        <f t="shared" si="798"/>
        <v>-0.42154249099667929</v>
      </c>
      <c r="DV97" s="241">
        <f t="shared" si="799"/>
        <v>-0.24693481125849184</v>
      </c>
      <c r="DW97" s="91">
        <f t="shared" si="765"/>
        <v>2.8840315031266055E-6</v>
      </c>
      <c r="DX97" s="89">
        <f t="shared" si="800"/>
        <v>0</v>
      </c>
      <c r="DY97" s="89">
        <f t="shared" si="801"/>
        <v>0</v>
      </c>
      <c r="DZ97" s="89">
        <f t="shared" si="802"/>
        <v>0</v>
      </c>
      <c r="EA97" s="90">
        <f t="shared" si="803"/>
        <v>0</v>
      </c>
      <c r="EB97" s="91">
        <f t="shared" si="766"/>
        <v>-3.4673685045253063E-3</v>
      </c>
      <c r="EC97" s="89">
        <f t="shared" si="804"/>
        <v>0</v>
      </c>
      <c r="ED97" s="89">
        <f t="shared" si="805"/>
        <v>-0.15138215493413365</v>
      </c>
      <c r="EE97" s="89">
        <f t="shared" si="806"/>
        <v>-7.1742871527223934E-3</v>
      </c>
      <c r="EF97" s="90">
        <f t="shared" si="807"/>
        <v>0</v>
      </c>
      <c r="EG97" s="242"/>
      <c r="EH97" s="245">
        <f t="shared" si="808"/>
        <v>4.8384808435971109</v>
      </c>
      <c r="EI97" s="246">
        <f t="shared" si="809"/>
        <v>-5.4835999440097645</v>
      </c>
      <c r="EJ97" s="198">
        <f t="shared" si="810"/>
        <v>-6.2498939282398434</v>
      </c>
      <c r="EK97" s="198">
        <f t="shared" si="811"/>
        <v>1.2255250283759933E-2</v>
      </c>
      <c r="EL97" s="101">
        <f>IF(AND(CS97&lt;&gt;"",DK97&lt;&gt;""),LOG(CS97*DK97/Minerals!$C$6),"")</f>
        <v>1.6338697299502321</v>
      </c>
      <c r="EM97" s="94">
        <f>IF(AND(CS97&lt;&gt;"",DK97&lt;&gt;""),LOG(CS97*DK97/Minerals!$C$5),"")</f>
        <v>1.5033902005940143</v>
      </c>
      <c r="EN97" s="94">
        <f>IF(AND(CS97&lt;&gt;"",DL97&lt;&gt;""),LOG(CS97*DL97^2/Minerals!$C$2),"")</f>
        <v>-2.4438645084390092</v>
      </c>
      <c r="EO97" s="94">
        <f>IF(AND(CS97&lt;&gt;"",CX97&lt;&gt;""),LOG($CS97*$CX97/Minerals!$C$3),"")</f>
        <v>-2.0338142762424583</v>
      </c>
      <c r="EP97" s="95">
        <f>IF(AND(CS97&lt;&gt;"",CX97&lt;&gt;""),LOG($CS97*$CX97/Minerals!$C$4),"")</f>
        <v>-2.2737987877083605</v>
      </c>
      <c r="EQ97" s="199"/>
      <c r="ER97" s="101">
        <f t="shared" si="834"/>
        <v>0.89158996106886435</v>
      </c>
      <c r="ES97" s="94">
        <f t="shared" si="834"/>
        <v>0.89158996106886435</v>
      </c>
      <c r="ET97" s="94">
        <f t="shared" si="835"/>
        <v>0.63191793183411227</v>
      </c>
      <c r="EU97" s="94">
        <f t="shared" si="835"/>
        <v>0.63191793183411227</v>
      </c>
      <c r="EV97" s="95">
        <f t="shared" si="835"/>
        <v>0.63191793183411227</v>
      </c>
      <c r="EW97" s="101">
        <f t="shared" si="836"/>
        <v>0.89158996106886435</v>
      </c>
      <c r="EX97" s="94">
        <f t="shared" si="758"/>
        <v>0.63191793183411227</v>
      </c>
      <c r="EY97" s="94">
        <f t="shared" si="836"/>
        <v>0.89158996106886435</v>
      </c>
      <c r="EZ97" s="94">
        <f t="shared" si="836"/>
        <v>0.89158996106886435</v>
      </c>
      <c r="FA97" s="94">
        <f t="shared" si="836"/>
        <v>0.89158996106886435</v>
      </c>
      <c r="FB97" s="95">
        <f t="shared" si="759"/>
        <v>0.63191793183411227</v>
      </c>
      <c r="FC97" s="199"/>
      <c r="FD97" s="101">
        <f t="shared" si="812"/>
        <v>2.4627365772239286E-4</v>
      </c>
      <c r="FE97" s="94">
        <f t="shared" si="813"/>
        <v>2.505681958608093E-5</v>
      </c>
      <c r="FF97" s="94">
        <f t="shared" si="814"/>
        <v>1.1893610605536666E-3</v>
      </c>
      <c r="FG97" s="94">
        <f t="shared" si="815"/>
        <v>2.4324615456299478E-4</v>
      </c>
      <c r="FH97" s="95" t="str">
        <f t="shared" si="816"/>
        <v/>
      </c>
      <c r="FI97" s="101">
        <f t="shared" si="817"/>
        <v>3.8833797116260616E-3</v>
      </c>
      <c r="FJ97" s="94">
        <f t="shared" si="818"/>
        <v>4.7830549131284445E-5</v>
      </c>
      <c r="FK97" s="94">
        <f t="shared" si="819"/>
        <v>2.6527649410032462E-4</v>
      </c>
      <c r="FL97" s="94">
        <f t="shared" si="820"/>
        <v>3.758430531366014E-4</v>
      </c>
      <c r="FM97" s="94">
        <f t="shared" si="821"/>
        <v>6.3965224031926125E-6</v>
      </c>
      <c r="FN97" s="95">
        <f t="shared" si="822"/>
        <v>7.8021267614156506E-5</v>
      </c>
      <c r="FO97" s="199"/>
      <c r="FP97" s="101">
        <f>IF(EL97&lt;&gt;"",LOG(FF97*FJ97/Minerals!$C$6),"")</f>
        <v>1.2351910888380726</v>
      </c>
      <c r="FQ97" s="94">
        <f>IF(EL97&lt;&gt;"",LOG(FF97*FJ97/Minerals!$C$5),"")</f>
        <v>1.1047115594818551</v>
      </c>
      <c r="FR97" s="94">
        <f>IF(EN97&lt;&gt;"",LOG(FF97*FM97^2/Minerals!$C$2),"")</f>
        <v>-2.7428734892731286</v>
      </c>
      <c r="FS97" s="94">
        <f>IF(EO97&lt;&gt;"",LOG($FF97*$FN97/Minerals!$C$3),"")</f>
        <v>-2.4324929173546175</v>
      </c>
      <c r="FT97" s="95">
        <f>IF(EP97&lt;&gt;"",LOG($FF97*$FN97/Minerals!$C$4),"")</f>
        <v>-2.6724774288205202</v>
      </c>
      <c r="FU97" s="96"/>
      <c r="FV97" s="101">
        <f>IF(FP97&lt;&gt;"",LOG(FF97*FJ97/(EXP(-1*Minerals!$E$6/'Other Constants'!$B$2*(1/(273.15+'ppm-mgL-1'!$D97)-1/298.15)+LN(Minerals!$C$6)))),"")</f>
        <v>-6.6238512279277059E-2</v>
      </c>
      <c r="FW97" s="94">
        <f>IF(FP97&lt;&gt;"",LOG(FF97*FJ97/(EXP(-1*Minerals!$E$5/'Other Constants'!$B$2*(1/(273.15+'ppm-mgL-1'!$D97)-1/298.15)+LN(Minerals!$C$5)))),"")</f>
        <v>-0.19683569477907248</v>
      </c>
      <c r="FX97" s="94">
        <f>IF(FR97&lt;&gt;"",LOG(FF97*FM97^2/(EXP(-1*Minerals!$E$2/'Other Constants'!$B$2*(1/(273.15+'ppm-mgL-1'!$D97)-1/298.15)+LN(Minerals!$C$2)))),"")</f>
        <v>-2.6878510357929648</v>
      </c>
      <c r="FY97" s="94">
        <f>IF(FS97&lt;&gt;"",LOG($FF97*$FN97/(EXP(-1*Minerals!$E$3/'Other Constants'!$B$2*(1/(273.15+'ppm-mgL-1'!$D97)-1/298.15)+LN(Minerals!$C$3)))),"")</f>
        <v>-1.3106152885342681</v>
      </c>
      <c r="FZ97" s="95">
        <f>IF(FT97&lt;&gt;"",LOG($FF97*$FN97/(EXP(-1*Minerals!$E$4/'Other Constants'!$B$2*(1/(273.15+'ppm-mgL-1'!$D97)-1/298.15)+LN(Minerals!$C$4)))),"")</f>
        <v>-2.7046163458746855</v>
      </c>
      <c r="GA97" s="96"/>
      <c r="GB97" s="96"/>
      <c r="GC97" s="101">
        <f>10^(-1825000*(79.755*EXP(-0.0046*($D97-20))*($D97+273.15))^-1.5*$EK97^0.5/(1+'Elements and ions'!$D$12*$EK97^0.5/(2*(79.755*EXP(-0.0046*($D97-20))*($D97+273.15))^0.5)))</f>
        <v>0.89225677105691037</v>
      </c>
      <c r="GD97" s="94">
        <f>10^(-1825000*(79.755*EXP(-0.0046*($D97-20))*($D97+273.15))^-1.5*$EK97^0.5/(1+'Elements and ions'!$D$20*$EK97^0.5/(2*(79.755*EXP(-0.0046*($D97-20))*($D97+273.15))^0.5)))</f>
        <v>0.88893841881666724</v>
      </c>
      <c r="GE97" s="94">
        <f>10^(-1825000*(79.755*EXP(-0.0046*($D97-20))*($D97+273.15))^-1.5*4*$EK97^0.5/(1+'Elements and ions'!$D$21*$EK97^0.5/(2*(79.755*EXP(-0.0046*($D97-20))*($D97+273.15))^0.5)))</f>
        <v>0.65125166957894698</v>
      </c>
      <c r="GF97" s="94">
        <f>10^(-1825000*(79.755*EXP(-0.0046*($D97-20))*($D97+273.15))^-1.5*4*$EK97^0.5/(1+'Elements and ions'!$D$13*$EK97^0.5/(2*(79.755*EXP(-0.0046*($D97-20))*($D97+273.15))^0.5)))</f>
        <v>0.66713464528260435</v>
      </c>
      <c r="GG97" s="95">
        <f>10^(-1825000*(79.755*EXP(-0.0046*($D97-20))*($D97+273.15))^-1.5*4*$EK97^0.5/(1+'Elements and ions'!$D$27*$EK97^0.5/(2*(79.755*EXP(-0.0046*($D97-20))*($D97+273.15))^0.5)))</f>
        <v>0.65125166957894698</v>
      </c>
      <c r="GH97" s="101">
        <f>10^(-1825000*(79.755*EXP(-0.0046*($D97-20))*($D97+273.15))^-1.5*$EK97^0.5/(1+'Elements and ions'!$G$3*$EK97^0.5/(2*(79.755*EXP(-0.0046*($D97-20))*($D97+273.15))^0.5)))</f>
        <v>0.88011567125604606</v>
      </c>
      <c r="GI97" s="94">
        <f>10^(-1825000*(79.755*EXP(-0.0046*($D97-20))*($D97+273.15))^-1.5*4*$EK97^0.5/(1+'Elements and ions'!$G$4*$EK97^0.5/(2*(79.755*EXP(-0.0046*($D97-20))*($D97+273.15))^0.5)))</f>
        <v>0.59990117751071037</v>
      </c>
      <c r="GJ97" s="94">
        <f>10^(-1825000*(79.755*EXP(-0.0046*($D97-20))*($D97+273.15))^-1.5*$EK97^0.5/(1+'Elements and ions'!$D$18*$EK97^0.5/(2*(79.755*EXP(-0.0046*($D97-20))*($D97+273.15))^0.5)))</f>
        <v>0.88893841881666724</v>
      </c>
      <c r="GK97" s="94">
        <f>10^(-1825000*(79.755*EXP(-0.0046*($D97-20))*($D97+273.15))^-1.5*$EK97^0.5/(1+'Elements and ions'!$I$7*$EK97^0.5/(2*(79.755*EXP(-0.0046*($D97-20))*($D97+273.15))^0.5)))</f>
        <v>0.88893841881666724</v>
      </c>
      <c r="GL97" s="94">
        <f>10^(-1825000*(79.755*EXP(-0.0046*($D97-20))*($D97+273.15))^-1.5*$EK97^0.5/(1+'Elements and ions'!$D$10*$EK97^0.5/(2*(79.755*EXP(-0.0046*($D97-20))*($D97+273.15))^0.5)))</f>
        <v>0.89062272786324659</v>
      </c>
      <c r="GM97" s="95">
        <f>10^(-1825000*(79.755*EXP(-0.0046*($D97-20))*($D97+273.15))^-1.5*4*$EK97^0.5/(1+'Elements and ions'!$I$5*$EK97^0.5/(2*(79.755*EXP(-0.0046*($D97-20))*($D97+273.15))^0.5)))</f>
        <v>0.63381047055059347</v>
      </c>
      <c r="GN97" s="96"/>
      <c r="GO97" s="101">
        <f t="shared" si="823"/>
        <v>2.4645784298908772E-4</v>
      </c>
      <c r="GP97" s="94">
        <f t="shared" si="824"/>
        <v>2.4982301905600853E-5</v>
      </c>
      <c r="GQ97" s="94">
        <f t="shared" si="825"/>
        <v>1.2257499548550543E-3</v>
      </c>
      <c r="GR97" s="94">
        <f t="shared" si="826"/>
        <v>2.5680223469800413E-4</v>
      </c>
      <c r="GS97" s="95" t="str">
        <f t="shared" si="827"/>
        <v/>
      </c>
      <c r="GT97" s="101">
        <f t="shared" si="828"/>
        <v>3.8334026748601951E-3</v>
      </c>
      <c r="GU97" s="94">
        <f t="shared" si="829"/>
        <v>4.5407166499547786E-5</v>
      </c>
      <c r="GV97" s="94">
        <f t="shared" si="830"/>
        <v>2.6448757558022545E-4</v>
      </c>
      <c r="GW97" s="94">
        <f t="shared" si="831"/>
        <v>3.7472531541062726E-4</v>
      </c>
      <c r="GX97" s="94">
        <f t="shared" si="832"/>
        <v>6.3895831944318627E-6</v>
      </c>
      <c r="GY97" s="102">
        <f t="shared" si="833"/>
        <v>7.8254934459533353E-5</v>
      </c>
      <c r="GZ97" s="199"/>
      <c r="HA97" s="92">
        <f>IF(AND(GQ97&lt;&gt;"",GU97&lt;&gt;""),LOG(GQ97*GU97/Minerals!$C$6),"")</f>
        <v>1.2256982940260579</v>
      </c>
      <c r="HB97" s="94">
        <f>IF(AND(GQ97&lt;&gt;"",GU97&lt;&gt;""),LOG(GQ97*GU97/Minerals!$C$5),"")</f>
        <v>1.0952187646698401</v>
      </c>
      <c r="HC97" s="94">
        <f>IF(AND(GQ97&lt;&gt;"",GX97&lt;&gt;""),LOG(GQ97*GX97^2/Minerals!$C$2),"")</f>
        <v>-2.730728111297223</v>
      </c>
      <c r="HD97" s="94">
        <f>IF(AND(GQ97&lt;&gt;"",GY97&lt;&gt;""),LOG($GQ97*$GY97/Minerals!$C$3),"")</f>
        <v>-2.4181060170965041</v>
      </c>
      <c r="HE97" s="102">
        <f>IF(AND(GQ97&lt;&gt;"",GY97&lt;&gt;""),LOG($GQ97*$GY97/Minerals!$C$3),"")</f>
        <v>-2.4181060170965041</v>
      </c>
      <c r="HF97" s="199"/>
      <c r="HG97" s="92">
        <f>IF(HA97&lt;&gt;"",LOG(GQ97*GU97/(EXP(-1*Minerals!$E$6/'Other Constants'!$B$2*(1/(273.15+'ppm-mgL-1'!$D97)-1/298.15)+LN(Minerals!$C$6)))),"")</f>
        <v>-7.5731307091291805E-2</v>
      </c>
      <c r="HH97" s="94">
        <f>IF(HA97&lt;&gt;"",LOG(GQ97*GU97/(EXP(-1*Minerals!$E$5/'Other Constants'!$B$2*(1/(273.15+'ppm-mgL-1'!$D97)-1/298.15)+LN(Minerals!$C$5)))),"")</f>
        <v>-0.20632848959108729</v>
      </c>
      <c r="HI97" s="94">
        <f>IF(HC97&lt;&gt;"",LOG(GQ97*GX97^2/(EXP(-1*Minerals!$E$2/'Other Constants'!$B$2*(1/(273.15+'ppm-mgL-1'!$D97)-1/298.15)+LN(Minerals!$C$2)))),"")</f>
        <v>-2.6757056578170593</v>
      </c>
      <c r="HJ97" s="94">
        <f>IF(HD97&lt;&gt;"",LOG($FF97*$FN97/(EXP(-1*Minerals!$E$3/'Other Constants'!$B$2*(1/(273.15+'ppm-mgL-1'!$D97)-1/298.15)+LN(Minerals!$C$3)))),"")</f>
        <v>-1.3106152885342681</v>
      </c>
      <c r="HK97" s="95">
        <f>IF(HE97&lt;&gt;"",LOG($FF97*$FN97/(EXP(-1*Minerals!$E$4/'Other Constants'!$B$2*(1/(273.15+'ppm-mgL-1'!$D97)-1/298.15)+LN(Minerals!$C$4)))),"")</f>
        <v>-2.7046163458746855</v>
      </c>
      <c r="HL97" s="199"/>
      <c r="HM97" s="199"/>
    </row>
    <row r="98" spans="1:221" x14ac:dyDescent="0.25">
      <c r="A98" s="267" t="str">
        <f>'WC samples'!B69</f>
        <v>ISSR 8</v>
      </c>
      <c r="C98" s="266">
        <f>'WC samples'!A69</f>
        <v>41659</v>
      </c>
      <c r="D98" s="4">
        <f>'WC samples'!I69</f>
        <v>21.7</v>
      </c>
      <c r="E98" s="4">
        <f>'WC samples'!F69</f>
        <v>8.51</v>
      </c>
      <c r="AD98" s="83">
        <f>IF(E98&lt;&gt;"",10^(-2*$E98)/(10^(-2*$E98)+10^(-$E98-pKa!$B$2)+(10^(-pKa!$B$2-pKa!$C$2))),"")</f>
        <v>6.0309528622154111E-3</v>
      </c>
      <c r="AE98" s="84">
        <f>IF(E98&lt;&gt;"",10^(-$E98-pKa!$B$2)/(10^(-2*$E98)+10^(-$E98-pKa!$B$2)+10^(-pKa!$B$2-pKa!$C$2)),"")</f>
        <v>0.9781060248636696</v>
      </c>
      <c r="AF98" s="212">
        <f>IF(E98&lt;&gt;"",10^(-pKa!$B$2-pKa!$C$2)/(10^(-2*$E98)+10^(-$E98-pKa!$B$2)+10^(-pKa!$B$2-pKa!$C$2)),"")</f>
        <v>1.5863022274114971E-2</v>
      </c>
      <c r="AG98" s="152"/>
      <c r="AH98" s="222">
        <f>IF($AK98&lt;&gt;"",$AK98/'Elements and ions'!$G$3,IF($E98="","",""))</f>
        <v>4.1791741427448557</v>
      </c>
      <c r="AI98" s="85">
        <f t="shared" si="770"/>
        <v>4.1384810766927054E-3</v>
      </c>
      <c r="AJ98" s="84">
        <f>IF(AI98&lt;&gt;"",AI98*1000*'Elements and ions'!$B$7,"")</f>
        <v>49.706054667833072</v>
      </c>
      <c r="AK98" s="99">
        <f>'WC samples'!H69</f>
        <v>255</v>
      </c>
      <c r="AL98" s="88">
        <f>IF($AK98&lt;&gt;"",$AK98/'Elements and ions'!$G$3*Minerals!$B$6/2,IF($E98="","","Enter Alk(HCO3-)"))</f>
        <v>209.14029225374506</v>
      </c>
      <c r="AM98" s="199"/>
      <c r="AN98" s="101">
        <f t="shared" si="837"/>
        <v>2.4958984294704188E-5</v>
      </c>
      <c r="AO98" s="94">
        <f t="shared" si="838"/>
        <v>4.0478732748974212E-3</v>
      </c>
      <c r="AP98" s="95">
        <f t="shared" si="839"/>
        <v>6.5648817500579701E-5</v>
      </c>
      <c r="AQ98" s="199"/>
      <c r="AR98" s="199"/>
      <c r="AS98" s="83">
        <f t="shared" si="760"/>
        <v>7.3408777337365255E-2</v>
      </c>
      <c r="AT98" s="83">
        <f>IF(AN98&lt;&gt;"",AN98/'Henrys law constants'!$B$7*1000000,"")</f>
        <v>734.08777337365257</v>
      </c>
      <c r="AU98" s="268">
        <f>'WC samples'!K69</f>
        <v>5.9203000000000001</v>
      </c>
      <c r="AV98" s="269">
        <f>'WC samples'!M69</f>
        <v>1.0334000000000001</v>
      </c>
      <c r="AW98" s="269">
        <f>'WC samples'!O69</f>
        <v>75.823099999999997</v>
      </c>
      <c r="AX98" s="269">
        <f>'WC samples'!N69</f>
        <v>8.6259999999999994</v>
      </c>
      <c r="AY98" s="226">
        <f>AO98*'Elements and ions'!$G$3*1000</f>
        <v>246.98843595469194</v>
      </c>
      <c r="AZ98" s="269">
        <f>'WC samples'!Q69</f>
        <v>9.5526</v>
      </c>
      <c r="BA98" s="269">
        <f>'WC samples'!T69</f>
        <v>20.812999999999999</v>
      </c>
      <c r="BB98" s="270">
        <f>'WC samples'!V69</f>
        <v>10.652799999999999</v>
      </c>
      <c r="BC98" s="222">
        <f>IF($E98&lt;&gt;"",10^-$E98*'Elements and ions'!B102*1000,"")</f>
        <v>0</v>
      </c>
      <c r="BE98" s="6"/>
      <c r="BF98" s="6"/>
      <c r="BG98" s="270">
        <f>'WC samples'!L69</f>
        <v>0</v>
      </c>
      <c r="BH98" s="3"/>
      <c r="BJ98" s="92">
        <f>IF($AN98&lt;&gt;"",$AN98*'Elements and ions'!$G$2*1000,"")</f>
        <v>1.5480755099024823</v>
      </c>
      <c r="BK98" s="229"/>
      <c r="BL98" s="230"/>
      <c r="BM98" s="101">
        <f>IF($E98&lt;&gt;"",(10^-14+$E98)*'Elements and ions'!$G$8,"")</f>
        <v>144.73246340000017</v>
      </c>
      <c r="BO98" s="102">
        <f>IF($AP98&lt;&gt;"",$AP98*'Elements and ions'!$G$4*1000,"")</f>
        <v>3.9395133245105369</v>
      </c>
      <c r="BP98" s="269">
        <f>'WC samples'!P69</f>
        <v>0.1389</v>
      </c>
      <c r="BQ98" s="270">
        <f>'WC samples'!R69</f>
        <v>0</v>
      </c>
      <c r="BR98" s="195"/>
      <c r="BS98" s="238">
        <f>IF($AU98&lt;&gt;"",$AU98/'Elements and ions'!$B$12,"")</f>
        <v>0.25751889581381654</v>
      </c>
      <c r="BT98" s="239">
        <f>IF($AV98&lt;&gt;"",$AV98/'Elements and ions'!$B$20,"")</f>
        <v>2.6430816685124418E-2</v>
      </c>
      <c r="BU98" s="239">
        <f>IF($AW98&lt;&gt;"",$AW98/'Elements and ions'!$B$21, "")</f>
        <v>1.8918883177803281</v>
      </c>
      <c r="BV98" s="240">
        <f>IF($AX98&lt;&gt;"",$AX98/'Elements and ions'!$B$13, "")</f>
        <v>0.35490639786052253</v>
      </c>
      <c r="BW98" s="238">
        <f>IF($AY98&lt;&gt;"",$AY98/'Elements and ions'!$G$3,"")</f>
        <v>4.0478732748974213</v>
      </c>
      <c r="BX98" s="239">
        <f>IF($AZ98&lt;&gt;"",$AZ98/'Elements and ions'!$B$18,"")</f>
        <v>0.26944405268947619</v>
      </c>
      <c r="BY98" s="239">
        <f>IF($BA98&lt;&gt;"",$BA98/'Elements and ions'!$G$7,"")</f>
        <v>0.3356670198645591</v>
      </c>
      <c r="BZ98" s="241">
        <f>IF($BB98&lt;&gt;"",$BB98/'Elements and ions'!$G$5,"")</f>
        <v>0.11089435430646265</v>
      </c>
      <c r="CA98" s="91">
        <f t="shared" si="761"/>
        <v>3.0902954325135894E-6</v>
      </c>
      <c r="CB98" s="163" t="str">
        <f>IF($BD98&lt;&gt;"",$BD98/'Elements and ions'!$B$14,"")</f>
        <v/>
      </c>
      <c r="CC98" s="89" t="str">
        <f>IF($BE98&lt;&gt;"",$BE98/'Elements and ions'!$B$27, "")</f>
        <v/>
      </c>
      <c r="CD98" s="249" t="str">
        <f>IF($BF98&lt;&gt;"",$BF98/'Elements and ions'!$B$26,"")</f>
        <v/>
      </c>
      <c r="CE98" s="250">
        <f>IF($BG98&lt;&gt;"",$BG98/'Elements and ions'!$G$6,"")</f>
        <v>0</v>
      </c>
      <c r="CF98" s="91" t="str">
        <f>IF($BH98&lt;&gt;"",$BH98/'Elements and ions'!$G$15,"")</f>
        <v/>
      </c>
      <c r="CG98" s="89" t="str">
        <f>IF($BI98&lt;&gt;"",$BI98/'Elements and ions'!$G$16,"")</f>
        <v/>
      </c>
      <c r="CH98" s="90">
        <f>IF($BJ98&lt;&gt;"",$BJ98/'Elements and ions'!$G$2,"")</f>
        <v>2.4958984294704188E-2</v>
      </c>
      <c r="CI98" s="91" t="str">
        <f>IF($BK98&lt;&gt;"",$BK98/'Elements and ions'!$B$15, "")</f>
        <v/>
      </c>
      <c r="CJ98" s="88" t="str">
        <f>IF($BL98&lt;&gt;"", $BL98/'Elements and ions'!$G$17,"")</f>
        <v/>
      </c>
      <c r="CK98" s="89">
        <f t="shared" si="762"/>
        <v>3.2359365692962798E-3</v>
      </c>
      <c r="CL98" s="163" t="str">
        <f>IF($BN98&lt;&gt;"", $BN98/'Elements and ions'!$G$19,"")</f>
        <v/>
      </c>
      <c r="CM98" s="89">
        <f>IF($BO98&lt;&gt;"",$BO98/'Elements and ions'!$G$4,"")</f>
        <v>6.5648817500579701E-2</v>
      </c>
      <c r="CN98" s="89">
        <f>IF($BP98&lt;&gt;"",$BP98/'Elements and ions'!$B$10,"")</f>
        <v>7.3111407594507738E-3</v>
      </c>
      <c r="CO98" s="104">
        <f>IF($BQ98&lt;&gt;"",$BQ98/'Elements and ions'!$G$18,"")</f>
        <v>0</v>
      </c>
      <c r="CP98" s="242"/>
      <c r="CQ98" s="238">
        <f t="shared" si="771"/>
        <v>2.5751889581381656E-4</v>
      </c>
      <c r="CR98" s="239">
        <f t="shared" si="772"/>
        <v>2.6430816685124417E-5</v>
      </c>
      <c r="CS98" s="239">
        <f t="shared" si="773"/>
        <v>1.8918883177803281E-3</v>
      </c>
      <c r="CT98" s="241">
        <f t="shared" si="774"/>
        <v>3.5490639786052252E-4</v>
      </c>
      <c r="CU98" s="238">
        <f t="shared" si="775"/>
        <v>4.0478732748974212E-3</v>
      </c>
      <c r="CV98" s="239">
        <f t="shared" si="776"/>
        <v>2.6944405268947619E-4</v>
      </c>
      <c r="CW98" s="239">
        <f t="shared" si="777"/>
        <v>3.356670198645591E-4</v>
      </c>
      <c r="CX98" s="241">
        <f t="shared" si="778"/>
        <v>1.1089435430646265E-4</v>
      </c>
      <c r="CY98" s="258">
        <f t="shared" si="763"/>
        <v>3.0902954325135894E-9</v>
      </c>
      <c r="CZ98" s="259" t="str">
        <f t="shared" si="779"/>
        <v/>
      </c>
      <c r="DA98" s="260" t="str">
        <f t="shared" si="780"/>
        <v/>
      </c>
      <c r="DB98" s="261" t="str">
        <f t="shared" si="781"/>
        <v/>
      </c>
      <c r="DC98" s="262">
        <f t="shared" si="782"/>
        <v>0</v>
      </c>
      <c r="DD98" s="263" t="str">
        <f t="shared" si="783"/>
        <v/>
      </c>
      <c r="DE98" s="259" t="str">
        <f t="shared" si="784"/>
        <v/>
      </c>
      <c r="DF98" s="260">
        <f t="shared" si="785"/>
        <v>2.4958984294704188E-5</v>
      </c>
      <c r="DG98" s="260" t="str">
        <f t="shared" si="786"/>
        <v/>
      </c>
      <c r="DH98" s="264" t="str">
        <f t="shared" si="787"/>
        <v/>
      </c>
      <c r="DI98" s="258">
        <f t="shared" si="764"/>
        <v>3.2359365692962801E-6</v>
      </c>
      <c r="DJ98" s="260" t="str">
        <f t="shared" si="788"/>
        <v/>
      </c>
      <c r="DK98" s="260">
        <f t="shared" si="789"/>
        <v>6.5648817500579701E-5</v>
      </c>
      <c r="DL98" s="260">
        <f t="shared" si="790"/>
        <v>7.3111407594507735E-6</v>
      </c>
      <c r="DM98" s="265">
        <f t="shared" si="791"/>
        <v>0</v>
      </c>
      <c r="DN98" s="242"/>
      <c r="DO98" s="238">
        <f t="shared" si="792"/>
        <v>0.25751889581381654</v>
      </c>
      <c r="DP98" s="239">
        <f t="shared" si="793"/>
        <v>2.6430816685124418E-2</v>
      </c>
      <c r="DQ98" s="239">
        <f t="shared" si="794"/>
        <v>3.7837766355606561</v>
      </c>
      <c r="DR98" s="241">
        <f t="shared" si="795"/>
        <v>0.70981279572104505</v>
      </c>
      <c r="DS98" s="238">
        <f t="shared" si="796"/>
        <v>-4.0478732748974213</v>
      </c>
      <c r="DT98" s="239">
        <f t="shared" si="797"/>
        <v>-0.26944405268947619</v>
      </c>
      <c r="DU98" s="239">
        <f t="shared" si="798"/>
        <v>-0.3356670198645591</v>
      </c>
      <c r="DV98" s="241">
        <f t="shared" si="799"/>
        <v>-0.22178870861292529</v>
      </c>
      <c r="DW98" s="91">
        <f t="shared" si="765"/>
        <v>3.0902954325135894E-6</v>
      </c>
      <c r="DX98" s="89">
        <f t="shared" si="800"/>
        <v>0</v>
      </c>
      <c r="DY98" s="89">
        <f t="shared" si="801"/>
        <v>0</v>
      </c>
      <c r="DZ98" s="89">
        <f t="shared" si="802"/>
        <v>0</v>
      </c>
      <c r="EA98" s="90">
        <f t="shared" si="803"/>
        <v>0</v>
      </c>
      <c r="EB98" s="91">
        <f t="shared" si="766"/>
        <v>-3.2359365692962798E-3</v>
      </c>
      <c r="EC98" s="89">
        <f t="shared" si="804"/>
        <v>0</v>
      </c>
      <c r="ED98" s="89">
        <f t="shared" si="805"/>
        <v>-0.1312976350011594</v>
      </c>
      <c r="EE98" s="89">
        <f t="shared" si="806"/>
        <v>-7.3111407594507738E-3</v>
      </c>
      <c r="EF98" s="90">
        <f t="shared" si="807"/>
        <v>0</v>
      </c>
      <c r="EG98" s="242"/>
      <c r="EH98" s="245">
        <f t="shared" si="808"/>
        <v>4.7775422340760754</v>
      </c>
      <c r="EI98" s="246">
        <f t="shared" si="809"/>
        <v>-5.016617768394287</v>
      </c>
      <c r="EJ98" s="198">
        <f t="shared" si="810"/>
        <v>-2.4410009052119834</v>
      </c>
      <c r="EK98" s="198">
        <f t="shared" si="811"/>
        <v>1.1902878880144175E-2</v>
      </c>
      <c r="EL98" s="101">
        <f>IF(AND(CS98&lt;&gt;"",DK98&lt;&gt;""),LOG(CS98*DK98/Minerals!$C$6),"")</f>
        <v>1.5742944094792146</v>
      </c>
      <c r="EM98" s="94">
        <f>IF(AND(CS98&lt;&gt;"",DK98&lt;&gt;""),LOG(CS98*DK98/Minerals!$C$5),"")</f>
        <v>1.4438148801229969</v>
      </c>
      <c r="EN98" s="94">
        <f>IF(AND(CS98&lt;&gt;"",DL98&lt;&gt;""),LOG(CS98*DL98^2/Minerals!$C$2),"")</f>
        <v>-2.425209269380646</v>
      </c>
      <c r="EO98" s="94">
        <f>IF(AND(CS98&lt;&gt;"",CX98&lt;&gt;""),LOG($CS98*$CX98/Minerals!$C$3),"")</f>
        <v>-2.0782147030389555</v>
      </c>
      <c r="EP98" s="95">
        <f>IF(AND(CS98&lt;&gt;"",CX98&lt;&gt;""),LOG($CS98*$CX98/Minerals!$C$4),"")</f>
        <v>-2.3181992145048582</v>
      </c>
      <c r="EQ98" s="199"/>
      <c r="ER98" s="101">
        <f t="shared" si="834"/>
        <v>0.89292678083717203</v>
      </c>
      <c r="ES98" s="94">
        <f t="shared" si="834"/>
        <v>0.89292678083717203</v>
      </c>
      <c r="ET98" s="94">
        <f t="shared" si="835"/>
        <v>0.63571636935646991</v>
      </c>
      <c r="EU98" s="94">
        <f t="shared" si="835"/>
        <v>0.63571636935646991</v>
      </c>
      <c r="EV98" s="95">
        <f t="shared" si="835"/>
        <v>0.63571636935646991</v>
      </c>
      <c r="EW98" s="101">
        <f t="shared" si="836"/>
        <v>0.89292678083717203</v>
      </c>
      <c r="EX98" s="94">
        <f t="shared" si="758"/>
        <v>0.63571636935646991</v>
      </c>
      <c r="EY98" s="94">
        <f t="shared" si="836"/>
        <v>0.89292678083717203</v>
      </c>
      <c r="EZ98" s="94">
        <f t="shared" si="836"/>
        <v>0.89292678083717203</v>
      </c>
      <c r="FA98" s="94">
        <f t="shared" si="836"/>
        <v>0.89292678083717203</v>
      </c>
      <c r="FB98" s="95">
        <f t="shared" si="759"/>
        <v>0.63571636935646991</v>
      </c>
      <c r="FC98" s="199"/>
      <c r="FD98" s="101">
        <f t="shared" si="812"/>
        <v>2.2994551864377431E-4</v>
      </c>
      <c r="FE98" s="94">
        <f t="shared" si="813"/>
        <v>2.3600784057545561E-5</v>
      </c>
      <c r="FF98" s="94">
        <f t="shared" si="814"/>
        <v>1.2027043726072295E-3</v>
      </c>
      <c r="FG98" s="94">
        <f t="shared" si="815"/>
        <v>2.2561980670927421E-4</v>
      </c>
      <c r="FH98" s="95" t="str">
        <f t="shared" si="816"/>
        <v/>
      </c>
      <c r="FI98" s="101">
        <f t="shared" si="817"/>
        <v>3.6144544525909756E-3</v>
      </c>
      <c r="FJ98" s="94">
        <f t="shared" si="818"/>
        <v>4.1734027914014013E-5</v>
      </c>
      <c r="FK98" s="94">
        <f t="shared" si="819"/>
        <v>2.4059381058373532E-4</v>
      </c>
      <c r="FL98" s="94">
        <f t="shared" si="820"/>
        <v>2.9972607148086782E-4</v>
      </c>
      <c r="FM98" s="94">
        <f t="shared" si="821"/>
        <v>6.5283133825838161E-6</v>
      </c>
      <c r="FN98" s="95">
        <f t="shared" si="822"/>
        <v>7.0497356301834458E-5</v>
      </c>
      <c r="FO98" s="199"/>
      <c r="FP98" s="101">
        <f>IF(EL98&lt;&gt;"",LOG(FF98*FJ98/Minerals!$C$6),"")</f>
        <v>1.1808211983293009</v>
      </c>
      <c r="FQ98" s="94">
        <f>IF(EL98&lt;&gt;"",LOG(FF98*FJ98/Minerals!$C$5),"")</f>
        <v>1.0503416689730831</v>
      </c>
      <c r="FR98" s="94">
        <f>IF(EN98&lt;&gt;"",LOG(FF98*FM98^2/Minerals!$C$2),"")</f>
        <v>-2.7203141777430813</v>
      </c>
      <c r="FS98" s="94">
        <f>IF(EO98&lt;&gt;"",LOG($FF98*$FN98/Minerals!$C$3),"")</f>
        <v>-2.4716879141888692</v>
      </c>
      <c r="FT98" s="95">
        <f>IF(EP98&lt;&gt;"",LOG($FF98*$FN98/Minerals!$C$4),"")</f>
        <v>-2.711672425654772</v>
      </c>
      <c r="FU98" s="96"/>
      <c r="FV98" s="101">
        <f>IF(FP98&lt;&gt;"",LOG(FF98*FJ98/(EXP(-1*Minerals!$E$6/'Other Constants'!$B$2*(1/(273.15+'ppm-mgL-1'!$D98)-1/298.15)+LN(Minerals!$C$6)))),"")</f>
        <v>-0.12060840278804896</v>
      </c>
      <c r="FW98" s="94">
        <f>IF(FP98&lt;&gt;"",LOG(FF98*FJ98/(EXP(-1*Minerals!$E$5/'Other Constants'!$B$2*(1/(273.15+'ppm-mgL-1'!$D98)-1/298.15)+LN(Minerals!$C$5)))),"")</f>
        <v>-0.25120558528784437</v>
      </c>
      <c r="FX98" s="94">
        <f>IF(FR98&lt;&gt;"",LOG(FF98*FM98^2/(EXP(-1*Minerals!$E$2/'Other Constants'!$B$2*(1/(273.15+'ppm-mgL-1'!$D98)-1/298.15)+LN(Minerals!$C$2)))),"")</f>
        <v>-2.6652917242629175</v>
      </c>
      <c r="FY98" s="94">
        <f>IF(FS98&lt;&gt;"",LOG($FF98*$FN98/(EXP(-1*Minerals!$E$3/'Other Constants'!$B$2*(1/(273.15+'ppm-mgL-1'!$D98)-1/298.15)+LN(Minerals!$C$3)))),"")</f>
        <v>-1.3498102853685199</v>
      </c>
      <c r="FZ98" s="95">
        <f>IF(FT98&lt;&gt;"",LOG($FF98*$FN98/(EXP(-1*Minerals!$E$4/'Other Constants'!$B$2*(1/(273.15+'ppm-mgL-1'!$D98)-1/298.15)+LN(Minerals!$C$4)))),"")</f>
        <v>-2.7438113427089372</v>
      </c>
      <c r="GA98" s="96"/>
      <c r="GB98" s="96"/>
      <c r="GC98" s="101">
        <f>10^(-1825000*(79.755*EXP(-0.0046*($D98-20))*($D98+273.15))^-1.5*$EK98^0.5/(1+'Elements and ions'!$D$12*$EK98^0.5/(2*(79.755*EXP(-0.0046*($D98-20))*($D98+273.15))^0.5)))</f>
        <v>0.89354659198506703</v>
      </c>
      <c r="GD98" s="94">
        <f>10^(-1825000*(79.755*EXP(-0.0046*($D98-20))*($D98+273.15))^-1.5*$EK98^0.5/(1+'Elements and ions'!$D$20*$EK98^0.5/(2*(79.755*EXP(-0.0046*($D98-20))*($D98+273.15))^0.5)))</f>
        <v>0.89030831228040108</v>
      </c>
      <c r="GE98" s="94">
        <f>10^(-1825000*(79.755*EXP(-0.0046*($D98-20))*($D98+273.15))^-1.5*4*$EK98^0.5/(1+'Elements and ions'!$D$21*$EK98^0.5/(2*(79.755*EXP(-0.0046*($D98-20))*($D98+273.15))^0.5)))</f>
        <v>0.65459102764930821</v>
      </c>
      <c r="GF98" s="94">
        <f>10^(-1825000*(79.755*EXP(-0.0046*($D98-20))*($D98+273.15))^-1.5*4*$EK98^0.5/(1+'Elements and ions'!$D$13*$EK98^0.5/(2*(79.755*EXP(-0.0046*($D98-20))*($D98+273.15))^0.5)))</f>
        <v>0.67018303961325054</v>
      </c>
      <c r="GG98" s="95">
        <f>10^(-1825000*(79.755*EXP(-0.0046*($D98-20))*($D98+273.15))^-1.5*4*$EK98^0.5/(1+'Elements and ions'!$D$27*$EK98^0.5/(2*(79.755*EXP(-0.0046*($D98-20))*($D98+273.15))^0.5)))</f>
        <v>0.65459102764930821</v>
      </c>
      <c r="GH98" s="101">
        <f>10^(-1825000*(79.755*EXP(-0.0046*($D98-20))*($D98+273.15))^-1.5*$EK98^0.5/(1+'Elements and ions'!$G$3*$EK98^0.5/(2*(79.755*EXP(-0.0046*($D98-20))*($D98+273.15))^0.5)))</f>
        <v>0.8817099819655273</v>
      </c>
      <c r="GI98" s="94">
        <f>10^(-1825000*(79.755*EXP(-0.0046*($D98-20))*($D98+273.15))^-1.5*4*$EK98^0.5/(1+'Elements and ions'!$G$4*$EK98^0.5/(2*(79.755*EXP(-0.0046*($D98-20))*($D98+273.15))^0.5)))</f>
        <v>0.60426294154472704</v>
      </c>
      <c r="GJ98" s="94">
        <f>10^(-1825000*(79.755*EXP(-0.0046*($D98-20))*($D98+273.15))^-1.5*$EK98^0.5/(1+'Elements and ions'!$D$18*$EK98^0.5/(2*(79.755*EXP(-0.0046*($D98-20))*($D98+273.15))^0.5)))</f>
        <v>0.89030831228040108</v>
      </c>
      <c r="GK98" s="94">
        <f>10^(-1825000*(79.755*EXP(-0.0046*($D98-20))*($D98+273.15))^-1.5*$EK98^0.5/(1+'Elements and ions'!$I$7*$EK98^0.5/(2*(79.755*EXP(-0.0046*($D98-20))*($D98+273.15))^0.5)))</f>
        <v>0.89030831228040108</v>
      </c>
      <c r="GL98" s="94">
        <f>10^(-1825000*(79.755*EXP(-0.0046*($D98-20))*($D98+273.15))^-1.5*$EK98^0.5/(1+'Elements and ions'!$D$10*$EK98^0.5/(2*(79.755*EXP(-0.0046*($D98-20))*($D98+273.15))^0.5)))</f>
        <v>0.891951682045376</v>
      </c>
      <c r="GM98" s="95">
        <f>10^(-1825000*(79.755*EXP(-0.0046*($D98-20))*($D98+273.15))^-1.5*4*$EK98^0.5/(1+'Elements and ions'!$I$5*$EK98^0.5/(2*(79.755*EXP(-0.0046*($D98-20))*($D98+273.15))^0.5)))</f>
        <v>0.63748329828931538</v>
      </c>
      <c r="GN98" s="96"/>
      <c r="GO98" s="101">
        <f t="shared" si="823"/>
        <v>2.3010513172619333E-4</v>
      </c>
      <c r="GP98" s="94">
        <f t="shared" si="824"/>
        <v>2.3531575795125784E-5</v>
      </c>
      <c r="GQ98" s="94">
        <f t="shared" si="825"/>
        <v>1.238413118133546E-3</v>
      </c>
      <c r="GR98" s="94">
        <f t="shared" si="826"/>
        <v>2.3785224849635461E-4</v>
      </c>
      <c r="GS98" s="95" t="str">
        <f t="shared" si="827"/>
        <v/>
      </c>
      <c r="GT98" s="101">
        <f t="shared" si="828"/>
        <v>3.569050272208545E-3</v>
      </c>
      <c r="GU98" s="94">
        <f t="shared" si="829"/>
        <v>3.9669147571833248E-5</v>
      </c>
      <c r="GV98" s="94">
        <f t="shared" si="830"/>
        <v>2.3988827980395901E-4</v>
      </c>
      <c r="GW98" s="94">
        <f t="shared" si="831"/>
        <v>2.9884713794380751E-4</v>
      </c>
      <c r="GX98" s="94">
        <f t="shared" si="832"/>
        <v>6.5211842980626253E-6</v>
      </c>
      <c r="GY98" s="102">
        <f t="shared" si="833"/>
        <v>7.0693298744947761E-5</v>
      </c>
      <c r="GZ98" s="199"/>
      <c r="HA98" s="92">
        <f>IF(AND(GQ98&lt;&gt;"",GU98&lt;&gt;""),LOG(GQ98*GU98/Minerals!$C$6),"")</f>
        <v>1.1714904181995793</v>
      </c>
      <c r="HB98" s="94">
        <f>IF(AND(GQ98&lt;&gt;"",GU98&lt;&gt;""),LOG(GQ98*GU98/Minerals!$C$5),"")</f>
        <v>1.0410108888433616</v>
      </c>
      <c r="HC98" s="94">
        <f>IF(AND(GQ98&lt;&gt;"",GX98&lt;&gt;""),LOG(GQ98*GX98^2/Minerals!$C$2),"")</f>
        <v>-2.7085565635021838</v>
      </c>
      <c r="HD98" s="94">
        <f>IF(AND(GQ98&lt;&gt;"",GY98&lt;&gt;""),LOG($GQ98*$GY98/Minerals!$C$3),"")</f>
        <v>-2.4577758438361283</v>
      </c>
      <c r="HE98" s="102">
        <f>IF(AND(GQ98&lt;&gt;"",GY98&lt;&gt;""),LOG($GQ98*$GY98/Minerals!$C$3),"")</f>
        <v>-2.4577758438361283</v>
      </c>
      <c r="HF98" s="199"/>
      <c r="HG98" s="92">
        <f>IF(HA98&lt;&gt;"",LOG(GQ98*GU98/(EXP(-1*Minerals!$E$6/'Other Constants'!$B$2*(1/(273.15+'ppm-mgL-1'!$D98)-1/298.15)+LN(Minerals!$C$6)))),"")</f>
        <v>-0.12993918291777048</v>
      </c>
      <c r="HH98" s="94">
        <f>IF(HA98&lt;&gt;"",LOG(GQ98*GU98/(EXP(-1*Minerals!$E$5/'Other Constants'!$B$2*(1/(273.15+'ppm-mgL-1'!$D98)-1/298.15)+LN(Minerals!$C$5)))),"")</f>
        <v>-0.26053636541756592</v>
      </c>
      <c r="HI98" s="94">
        <f>IF(HC98&lt;&gt;"",LOG(GQ98*GX98^2/(EXP(-1*Minerals!$E$2/'Other Constants'!$B$2*(1/(273.15+'ppm-mgL-1'!$D98)-1/298.15)+LN(Minerals!$C$2)))),"")</f>
        <v>-2.65353411002202</v>
      </c>
      <c r="HJ98" s="94">
        <f>IF(HD98&lt;&gt;"",LOG($FF98*$FN98/(EXP(-1*Minerals!$E$3/'Other Constants'!$B$2*(1/(273.15+'ppm-mgL-1'!$D98)-1/298.15)+LN(Minerals!$C$3)))),"")</f>
        <v>-1.3498102853685199</v>
      </c>
      <c r="HK98" s="95">
        <f>IF(HE98&lt;&gt;"",LOG($FF98*$FN98/(EXP(-1*Minerals!$E$4/'Other Constants'!$B$2*(1/(273.15+'ppm-mgL-1'!$D98)-1/298.15)+LN(Minerals!$C$4)))),"")</f>
        <v>-2.7438113427089372</v>
      </c>
      <c r="HL98" s="199"/>
      <c r="HM98" s="199"/>
    </row>
    <row r="99" spans="1:221" x14ac:dyDescent="0.25">
      <c r="A99" s="267" t="str">
        <f>'WC samples'!B70</f>
        <v>ISSR 8</v>
      </c>
      <c r="C99" s="266">
        <f>'WC samples'!A70</f>
        <v>41685</v>
      </c>
      <c r="D99" s="4">
        <f>'WC samples'!I70</f>
        <v>21.5</v>
      </c>
      <c r="E99" s="4">
        <f>'WC samples'!F70</f>
        <v>8.52</v>
      </c>
      <c r="AD99" s="83">
        <f>IF(E99&lt;&gt;"",10^(-2*$E99)/(10^(-2*$E99)+10^(-$E99-pKa!$B$2)+(10^(-pKa!$B$2-pKa!$C$2))),"")</f>
        <v>5.8923033276304972E-3</v>
      </c>
      <c r="AE99" s="84">
        <f>IF(E99&lt;&gt;"",10^(-$E99-pKa!$B$2)/(10^(-2*$E99)+10^(-$E99-pKa!$B$2)+10^(-pKa!$B$2-pKa!$C$2)),"")</f>
        <v>0.97787894571863465</v>
      </c>
      <c r="AF99" s="212">
        <f>IF(E99&lt;&gt;"",10^(-pKa!$B$2-pKa!$C$2)/(10^(-2*$E99)+10^(-$E99-pKa!$B$2)+10^(-pKa!$B$2-pKa!$C$2)),"")</f>
        <v>1.6228750953734841E-2</v>
      </c>
      <c r="AG99" s="152"/>
      <c r="AH99" s="222">
        <f>IF($AK99&lt;&gt;"",$AK99/'Elements and ions'!$G$3,IF($E99="","",""))</f>
        <v>4.4413968340543368</v>
      </c>
      <c r="AI99" s="85">
        <f t="shared" si="770"/>
        <v>4.3959549674750546E-3</v>
      </c>
      <c r="AJ99" s="84">
        <f>IF(AI99&lt;&gt;"",AI99*1000*'Elements and ions'!$B$7,"")</f>
        <v>52.798496327852639</v>
      </c>
      <c r="AK99" s="99">
        <f>'WC samples'!H70</f>
        <v>271</v>
      </c>
      <c r="AL99" s="88">
        <f>IF($AK99&lt;&gt;"",$AK99/'Elements and ions'!$G$3*Minerals!$B$6/2,IF($E99="","","Enter Alk(HCO3-)"))</f>
        <v>222.2628203951565</v>
      </c>
      <c r="AM99" s="199"/>
      <c r="AN99" s="101">
        <f t="shared" si="837"/>
        <v>2.5902300082967078E-5</v>
      </c>
      <c r="AO99" s="94">
        <f t="shared" si="838"/>
        <v>4.2987118090211012E-3</v>
      </c>
      <c r="AP99" s="95">
        <f t="shared" si="839"/>
        <v>7.1340858370986206E-5</v>
      </c>
      <c r="AQ99" s="199"/>
      <c r="AR99" s="199"/>
      <c r="AS99" s="83">
        <f t="shared" si="760"/>
        <v>7.6183235538138466E-2</v>
      </c>
      <c r="AT99" s="83">
        <f>IF(AN99&lt;&gt;"",AN99/'Henrys law constants'!$B$7*1000000,"")</f>
        <v>761.83235538138467</v>
      </c>
      <c r="AU99" s="268">
        <f>'WC samples'!K70</f>
        <v>5.4177</v>
      </c>
      <c r="AV99" s="269">
        <f>'WC samples'!M70</f>
        <v>1.0056</v>
      </c>
      <c r="AW99" s="269">
        <f>'WC samples'!O70</f>
        <v>78.45</v>
      </c>
      <c r="AX99" s="269">
        <f>'WC samples'!N70</f>
        <v>8.3508999999999993</v>
      </c>
      <c r="AY99" s="226">
        <f>AO99*'Elements and ions'!$G$3*1000</f>
        <v>262.29381065715108</v>
      </c>
      <c r="AZ99" s="269">
        <f>'WC samples'!Q70</f>
        <v>8.9295000000000009</v>
      </c>
      <c r="BA99" s="269">
        <f>'WC samples'!T70</f>
        <v>19.278500000000001</v>
      </c>
      <c r="BB99" s="270">
        <f>'WC samples'!V70</f>
        <v>9.8978000000000002</v>
      </c>
      <c r="BC99" s="222">
        <f>IF($E99&lt;&gt;"",10^-$E99*'Elements and ions'!B103*1000,"")</f>
        <v>0</v>
      </c>
      <c r="BE99" s="6"/>
      <c r="BF99" s="6"/>
      <c r="BG99" s="270">
        <f>'WC samples'!L70</f>
        <v>1.1999999999999999E-3</v>
      </c>
      <c r="BH99" s="3"/>
      <c r="BJ99" s="92">
        <f>IF($AN99&lt;&gt;"",$AN99*'Elements and ions'!$G$2*1000,"")</f>
        <v>1.6065844641400144</v>
      </c>
      <c r="BK99" s="229"/>
      <c r="BL99" s="230"/>
      <c r="BM99" s="101">
        <f>IF($E99&lt;&gt;"",(10^-14+$E99)*'Elements and ions'!$G$8,"")</f>
        <v>144.90253680000018</v>
      </c>
      <c r="BO99" s="102">
        <f>IF($AP99&lt;&gt;"",$AP99*'Elements and ions'!$G$4*1000,"")</f>
        <v>4.2810864358986738</v>
      </c>
      <c r="BP99" s="269">
        <f>'WC samples'!P70</f>
        <v>0.16020000000000001</v>
      </c>
      <c r="BQ99" s="270">
        <f>'WC samples'!R70</f>
        <v>0</v>
      </c>
      <c r="BR99" s="195"/>
      <c r="BS99" s="238">
        <f>IF($AU99&lt;&gt;"",$AU99/'Elements and ions'!$B$12,"")</f>
        <v>0.23565699742420382</v>
      </c>
      <c r="BT99" s="239">
        <f>IF($AV99&lt;&gt;"",$AV99/'Elements and ions'!$B$20,"")</f>
        <v>2.5719788328392796E-2</v>
      </c>
      <c r="BU99" s="239">
        <f>IF($AW99&lt;&gt;"",$AW99/'Elements and ions'!$B$21, "")</f>
        <v>1.9574330056390039</v>
      </c>
      <c r="BV99" s="240">
        <f>IF($AX99&lt;&gt;"",$AX99/'Elements and ions'!$B$13, "")</f>
        <v>0.34358773914832336</v>
      </c>
      <c r="BW99" s="238">
        <f>IF($AY99&lt;&gt;"",$AY99/'Elements and ions'!$G$3,"")</f>
        <v>4.2987118090211016</v>
      </c>
      <c r="BX99" s="239">
        <f>IF($AZ99&lt;&gt;"",$AZ99/'Elements and ions'!$B$18,"")</f>
        <v>0.25186867119848816</v>
      </c>
      <c r="BY99" s="239">
        <f>IF($BA99&lt;&gt;"",$BA99/'Elements and ions'!$G$7,"")</f>
        <v>0.31091897575836752</v>
      </c>
      <c r="BZ99" s="241">
        <f>IF($BB99&lt;&gt;"",$BB99/'Elements and ions'!$G$5,"")</f>
        <v>0.10303489599490333</v>
      </c>
      <c r="CA99" s="91">
        <f t="shared" si="761"/>
        <v>3.0199517204020151E-6</v>
      </c>
      <c r="CB99" s="163" t="str">
        <f>IF($BD99&lt;&gt;"",$BD99/'Elements and ions'!$B$14,"")</f>
        <v/>
      </c>
      <c r="CC99" s="89" t="str">
        <f>IF($BE99&lt;&gt;"",$BE99/'Elements and ions'!$B$27, "")</f>
        <v/>
      </c>
      <c r="CD99" s="249" t="str">
        <f>IF($BF99&lt;&gt;"",$BF99/'Elements and ions'!$B$26,"")</f>
        <v/>
      </c>
      <c r="CE99" s="250">
        <f>IF($BG99&lt;&gt;"",$BG99/'Elements and ions'!$G$6,"")</f>
        <v>6.6524525929597089E-5</v>
      </c>
      <c r="CF99" s="91" t="str">
        <f>IF($BH99&lt;&gt;"",$BH99/'Elements and ions'!$G$15,"")</f>
        <v/>
      </c>
      <c r="CG99" s="89" t="str">
        <f>IF($BI99&lt;&gt;"",$BI99/'Elements and ions'!$G$16,"")</f>
        <v/>
      </c>
      <c r="CH99" s="90">
        <f>IF($BJ99&lt;&gt;"",$BJ99/'Elements and ions'!$G$2,"")</f>
        <v>2.5902300082967077E-2</v>
      </c>
      <c r="CI99" s="91" t="str">
        <f>IF($BK99&lt;&gt;"",$BK99/'Elements and ions'!$B$15, "")</f>
        <v/>
      </c>
      <c r="CJ99" s="88" t="str">
        <f>IF($BL99&lt;&gt;"", $BL99/'Elements and ions'!$G$17,"")</f>
        <v/>
      </c>
      <c r="CK99" s="89">
        <f t="shared" si="762"/>
        <v>3.3113112148259022E-3</v>
      </c>
      <c r="CL99" s="163" t="str">
        <f>IF($BN99&lt;&gt;"", $BN99/'Elements and ions'!$G$19,"")</f>
        <v/>
      </c>
      <c r="CM99" s="89">
        <f>IF($BO99&lt;&gt;"",$BO99/'Elements and ions'!$G$4,"")</f>
        <v>7.1340858370986207E-2</v>
      </c>
      <c r="CN99" s="89">
        <f>IF($BP99&lt;&gt;"",$BP99/'Elements and ions'!$B$10,"")</f>
        <v>8.4322876145717356E-3</v>
      </c>
      <c r="CO99" s="104">
        <f>IF($BQ99&lt;&gt;"",$BQ99/'Elements and ions'!$G$18,"")</f>
        <v>0</v>
      </c>
      <c r="CP99" s="242"/>
      <c r="CQ99" s="238">
        <f t="shared" si="771"/>
        <v>2.3565699742420383E-4</v>
      </c>
      <c r="CR99" s="239">
        <f t="shared" si="772"/>
        <v>2.5719788328392794E-5</v>
      </c>
      <c r="CS99" s="239">
        <f t="shared" si="773"/>
        <v>1.9574330056390038E-3</v>
      </c>
      <c r="CT99" s="241">
        <f t="shared" si="774"/>
        <v>3.4358773914832335E-4</v>
      </c>
      <c r="CU99" s="238">
        <f t="shared" si="775"/>
        <v>4.298711809021102E-3</v>
      </c>
      <c r="CV99" s="239">
        <f t="shared" si="776"/>
        <v>2.5186867119848815E-4</v>
      </c>
      <c r="CW99" s="239">
        <f t="shared" si="777"/>
        <v>3.1091897575836753E-4</v>
      </c>
      <c r="CX99" s="241">
        <f t="shared" si="778"/>
        <v>1.0303489599490333E-4</v>
      </c>
      <c r="CY99" s="258">
        <f t="shared" si="763"/>
        <v>3.0199517204020151E-9</v>
      </c>
      <c r="CZ99" s="259" t="str">
        <f t="shared" si="779"/>
        <v/>
      </c>
      <c r="DA99" s="260" t="str">
        <f t="shared" si="780"/>
        <v/>
      </c>
      <c r="DB99" s="261" t="str">
        <f t="shared" si="781"/>
        <v/>
      </c>
      <c r="DC99" s="262">
        <f t="shared" si="782"/>
        <v>6.6524525929597093E-8</v>
      </c>
      <c r="DD99" s="263" t="str">
        <f t="shared" si="783"/>
        <v/>
      </c>
      <c r="DE99" s="259" t="str">
        <f t="shared" si="784"/>
        <v/>
      </c>
      <c r="DF99" s="260">
        <f t="shared" si="785"/>
        <v>2.5902300082967078E-5</v>
      </c>
      <c r="DG99" s="260" t="str">
        <f t="shared" si="786"/>
        <v/>
      </c>
      <c r="DH99" s="264" t="str">
        <f t="shared" si="787"/>
        <v/>
      </c>
      <c r="DI99" s="258">
        <f t="shared" si="764"/>
        <v>3.3113112148259022E-6</v>
      </c>
      <c r="DJ99" s="260" t="str">
        <f t="shared" si="788"/>
        <v/>
      </c>
      <c r="DK99" s="260">
        <f t="shared" si="789"/>
        <v>7.1340858370986206E-5</v>
      </c>
      <c r="DL99" s="260">
        <f t="shared" si="790"/>
        <v>8.4322876145717361E-6</v>
      </c>
      <c r="DM99" s="265">
        <f t="shared" si="791"/>
        <v>0</v>
      </c>
      <c r="DN99" s="242"/>
      <c r="DO99" s="238">
        <f t="shared" si="792"/>
        <v>0.23565699742420382</v>
      </c>
      <c r="DP99" s="239">
        <f t="shared" si="793"/>
        <v>2.5719788328392796E-2</v>
      </c>
      <c r="DQ99" s="239">
        <f t="shared" si="794"/>
        <v>3.9148660112780078</v>
      </c>
      <c r="DR99" s="241">
        <f t="shared" si="795"/>
        <v>0.68717547829664671</v>
      </c>
      <c r="DS99" s="238">
        <f t="shared" si="796"/>
        <v>-4.2987118090211016</v>
      </c>
      <c r="DT99" s="239">
        <f t="shared" si="797"/>
        <v>-0.25186867119848816</v>
      </c>
      <c r="DU99" s="239">
        <f t="shared" si="798"/>
        <v>-0.31091897575836752</v>
      </c>
      <c r="DV99" s="241">
        <f t="shared" si="799"/>
        <v>-0.20606979198980666</v>
      </c>
      <c r="DW99" s="91">
        <f t="shared" si="765"/>
        <v>3.0199517204020151E-6</v>
      </c>
      <c r="DX99" s="89">
        <f t="shared" si="800"/>
        <v>0</v>
      </c>
      <c r="DY99" s="89">
        <f t="shared" si="801"/>
        <v>0</v>
      </c>
      <c r="DZ99" s="89">
        <f t="shared" si="802"/>
        <v>0</v>
      </c>
      <c r="EA99" s="90">
        <f t="shared" si="803"/>
        <v>6.6524525929597089E-5</v>
      </c>
      <c r="EB99" s="91">
        <f t="shared" si="766"/>
        <v>-3.3113112148259022E-3</v>
      </c>
      <c r="EC99" s="89">
        <f t="shared" si="804"/>
        <v>0</v>
      </c>
      <c r="ED99" s="89">
        <f t="shared" si="805"/>
        <v>-0.14268171674197241</v>
      </c>
      <c r="EE99" s="89">
        <f t="shared" si="806"/>
        <v>-8.4322876145717356E-3</v>
      </c>
      <c r="EF99" s="90">
        <f t="shared" si="807"/>
        <v>0</v>
      </c>
      <c r="EG99" s="242"/>
      <c r="EH99" s="245">
        <f t="shared" si="808"/>
        <v>4.8634878198049014</v>
      </c>
      <c r="EI99" s="246">
        <f t="shared" si="809"/>
        <v>-5.2219945635391332</v>
      </c>
      <c r="EJ99" s="198">
        <f t="shared" si="810"/>
        <v>-3.5546811754517385</v>
      </c>
      <c r="EK99" s="198">
        <f t="shared" si="811"/>
        <v>1.2181876827801483E-2</v>
      </c>
      <c r="EL99" s="101">
        <f>IF(AND(CS99&lt;&gt;"",DK99&lt;&gt;""),LOG(CS99*DK99/Minerals!$C$6),"")</f>
        <v>1.6251972436615538</v>
      </c>
      <c r="EM99" s="94">
        <f>IF(AND(CS99&lt;&gt;"",DK99&lt;&gt;""),LOG(CS99*DK99/Minerals!$C$5),"")</f>
        <v>1.4947177143053361</v>
      </c>
      <c r="EN99" s="94">
        <f>IF(AND(CS99&lt;&gt;"",DL99&lt;&gt;""),LOG(CS99*DL99^2/Minerals!$C$2),"")</f>
        <v>-2.2864973258625865</v>
      </c>
      <c r="EO99" s="94">
        <f>IF(AND(CS99&lt;&gt;"",CX99&lt;&gt;""),LOG($CS99*$CX99/Minerals!$C$3),"")</f>
        <v>-2.0953483910309028</v>
      </c>
      <c r="EP99" s="95">
        <f>IF(AND(CS99&lt;&gt;"",CX99&lt;&gt;""),LOG($CS99*$CX99/Minerals!$C$4),"")</f>
        <v>-2.335332902496805</v>
      </c>
      <c r="EQ99" s="199"/>
      <c r="ER99" s="101">
        <f t="shared" si="834"/>
        <v>0.89186624211967525</v>
      </c>
      <c r="ES99" s="94">
        <f t="shared" si="834"/>
        <v>0.89186624211967525</v>
      </c>
      <c r="ET99" s="94">
        <f t="shared" si="835"/>
        <v>0.63270155715385978</v>
      </c>
      <c r="EU99" s="94">
        <f t="shared" si="835"/>
        <v>0.63270155715385978</v>
      </c>
      <c r="EV99" s="95">
        <f t="shared" si="835"/>
        <v>0.63270155715385978</v>
      </c>
      <c r="EW99" s="101">
        <f t="shared" si="836"/>
        <v>0.89186624211967525</v>
      </c>
      <c r="EX99" s="94">
        <f t="shared" si="758"/>
        <v>0.63270155715385978</v>
      </c>
      <c r="EY99" s="94">
        <f t="shared" si="836"/>
        <v>0.89186624211967525</v>
      </c>
      <c r="EZ99" s="94">
        <f t="shared" si="836"/>
        <v>0.89186624211967525</v>
      </c>
      <c r="FA99" s="94">
        <f t="shared" si="836"/>
        <v>0.89186624211967525</v>
      </c>
      <c r="FB99" s="95">
        <f t="shared" si="759"/>
        <v>0.63270155715385978</v>
      </c>
      <c r="FC99" s="199"/>
      <c r="FD99" s="101">
        <f t="shared" si="812"/>
        <v>2.1017452072193065E-4</v>
      </c>
      <c r="FE99" s="94">
        <f t="shared" si="813"/>
        <v>2.2938610964557164E-5</v>
      </c>
      <c r="FF99" s="94">
        <f t="shared" si="814"/>
        <v>1.2384709106921577E-3</v>
      </c>
      <c r="FG99" s="94">
        <f t="shared" si="815"/>
        <v>2.1738849757811838E-4</v>
      </c>
      <c r="FH99" s="95" t="str">
        <f t="shared" si="816"/>
        <v/>
      </c>
      <c r="FI99" s="101">
        <f t="shared" si="817"/>
        <v>3.8338759470671214E-3</v>
      </c>
      <c r="FJ99" s="94">
        <f t="shared" si="818"/>
        <v>4.5137472180015944E-5</v>
      </c>
      <c r="FK99" s="94">
        <f t="shared" si="819"/>
        <v>2.2463316528947171E-4</v>
      </c>
      <c r="FL99" s="94">
        <f t="shared" si="820"/>
        <v>2.7729813851331365E-4</v>
      </c>
      <c r="FM99" s="94">
        <f t="shared" si="821"/>
        <v>7.520472667280375E-6</v>
      </c>
      <c r="FN99" s="95">
        <f t="shared" si="822"/>
        <v>6.5190339137161324E-5</v>
      </c>
      <c r="FO99" s="199"/>
      <c r="FP99" s="101">
        <f>IF(EL99&lt;&gt;"",LOG(FF99*FJ99/Minerals!$C$6),"")</f>
        <v>1.2275950502833337</v>
      </c>
      <c r="FQ99" s="94">
        <f>IF(EL99&lt;&gt;"",LOG(FF99*FJ99/Minerals!$C$5),"")</f>
        <v>1.097115520927116</v>
      </c>
      <c r="FR99" s="94">
        <f>IF(EN99&lt;&gt;"",LOG(FF99*FM99^2/Minerals!$C$2),"")</f>
        <v>-2.5846989708962513</v>
      </c>
      <c r="FS99" s="94">
        <f>IF(EO99&lt;&gt;"",LOG($FF99*$FN99/Minerals!$C$3),"")</f>
        <v>-2.4929505844091229</v>
      </c>
      <c r="FT99" s="95">
        <f>IF(EP99&lt;&gt;"",LOG($FF99*$FN99/Minerals!$C$4),"")</f>
        <v>-2.7329350958750251</v>
      </c>
      <c r="FU99" s="96"/>
      <c r="FV99" s="101">
        <f>IF(FP99&lt;&gt;"",LOG(FF99*FJ99/(EXP(-1*Minerals!$E$6/'Other Constants'!$B$2*(1/(273.15+'ppm-mgL-1'!$D99)-1/298.15)+LN(Minerals!$C$6)))),"")</f>
        <v>-0.15364598310817373</v>
      </c>
      <c r="FW99" s="94">
        <f>IF(FP99&lt;&gt;"",LOG(FF99*FJ99/(EXP(-1*Minerals!$E$5/'Other Constants'!$B$2*(1/(273.15+'ppm-mgL-1'!$D99)-1/298.15)+LN(Minerals!$C$5)))),"")</f>
        <v>-0.28425038080108728</v>
      </c>
      <c r="FX99" s="94">
        <f>IF(FR99&lt;&gt;"",LOG(FF99*FM99^2/(EXP(-1*Minerals!$E$2/'Other Constants'!$B$2*(1/(273.15+'ppm-mgL-1'!$D99)-1/298.15)+LN(Minerals!$C$2)))),"")</f>
        <v>-2.5263022121015939</v>
      </c>
      <c r="FY99" s="94">
        <f>IF(FS99&lt;&gt;"",LOG($FF99*$FN99/(EXP(-1*Minerals!$E$3/'Other Constants'!$B$2*(1/(273.15+'ppm-mgL-1'!$D99)-1/298.15)+LN(Minerals!$C$3)))),"")</f>
        <v>-1.3022727221258072</v>
      </c>
      <c r="FZ99" s="95">
        <f>IF(FT99&lt;&gt;"",LOG($FF99*$FN99/(EXP(-1*Minerals!$E$4/'Other Constants'!$B$2*(1/(273.15+'ppm-mgL-1'!$D99)-1/298.15)+LN(Minerals!$C$4)))),"")</f>
        <v>-2.7670449631823821</v>
      </c>
      <c r="GA99" s="96"/>
      <c r="GB99" s="96"/>
      <c r="GC99" s="101">
        <f>10^(-1825000*(79.755*EXP(-0.0046*($D99-20))*($D99+273.15))^-1.5*$EK99^0.5/(1+'Elements and ions'!$D$12*$EK99^0.5/(2*(79.755*EXP(-0.0046*($D99-20))*($D99+273.15))^0.5)))</f>
        <v>0.89255846530395933</v>
      </c>
      <c r="GD99" s="94">
        <f>10^(-1825000*(79.755*EXP(-0.0046*($D99-20))*($D99+273.15))^-1.5*$EK99^0.5/(1+'Elements and ions'!$D$20*$EK99^0.5/(2*(79.755*EXP(-0.0046*($D99-20))*($D99+273.15))^0.5)))</f>
        <v>0.88925811105148234</v>
      </c>
      <c r="GE99" s="94">
        <f>10^(-1825000*(79.755*EXP(-0.0046*($D99-20))*($D99+273.15))^-1.5*4*$EK99^0.5/(1+'Elements and ions'!$D$21*$EK99^0.5/(2*(79.755*EXP(-0.0046*($D99-20))*($D99+273.15))^0.5)))</f>
        <v>0.65203520736587495</v>
      </c>
      <c r="GF99" s="94">
        <f>10^(-1825000*(79.755*EXP(-0.0046*($D99-20))*($D99+273.15))^-1.5*4*$EK99^0.5/(1+'Elements and ions'!$D$13*$EK99^0.5/(2*(79.755*EXP(-0.0046*($D99-20))*($D99+273.15))^0.5)))</f>
        <v>0.66785334567607602</v>
      </c>
      <c r="GG99" s="95">
        <f>10^(-1825000*(79.755*EXP(-0.0046*($D99-20))*($D99+273.15))^-1.5*4*$EK99^0.5/(1+'Elements and ions'!$D$27*$EK99^0.5/(2*(79.755*EXP(-0.0046*($D99-20))*($D99+273.15))^0.5)))</f>
        <v>0.65203520736587495</v>
      </c>
      <c r="GH99" s="101">
        <f>10^(-1825000*(79.755*EXP(-0.0046*($D99-20))*($D99+273.15))^-1.5*$EK99^0.5/(1+'Elements and ions'!$G$3*$EK99^0.5/(2*(79.755*EXP(-0.0046*($D99-20))*($D99+273.15))^0.5)))</f>
        <v>0.88048572786457946</v>
      </c>
      <c r="GI99" s="94">
        <f>10^(-1825000*(79.755*EXP(-0.0046*($D99-20))*($D99+273.15))^-1.5*4*$EK99^0.5/(1+'Elements and ions'!$G$4*$EK99^0.5/(2*(79.755*EXP(-0.0046*($D99-20))*($D99+273.15))^0.5)))</f>
        <v>0.60091145548426284</v>
      </c>
      <c r="GJ99" s="94">
        <f>10^(-1825000*(79.755*EXP(-0.0046*($D99-20))*($D99+273.15))^-1.5*$EK99^0.5/(1+'Elements and ions'!$D$18*$EK99^0.5/(2*(79.755*EXP(-0.0046*($D99-20))*($D99+273.15))^0.5)))</f>
        <v>0.88925811105148234</v>
      </c>
      <c r="GK99" s="94">
        <f>10^(-1825000*(79.755*EXP(-0.0046*($D99-20))*($D99+273.15))^-1.5*$EK99^0.5/(1+'Elements and ions'!$I$7*$EK99^0.5/(2*(79.755*EXP(-0.0046*($D99-20))*($D99+273.15))^0.5)))</f>
        <v>0.88925811105148234</v>
      </c>
      <c r="GL99" s="94">
        <f>10^(-1825000*(79.755*EXP(-0.0046*($D99-20))*($D99+273.15))^-1.5*$EK99^0.5/(1+'Elements and ions'!$D$10*$EK99^0.5/(2*(79.755*EXP(-0.0046*($D99-20))*($D99+273.15))^0.5)))</f>
        <v>0.89093322020018351</v>
      </c>
      <c r="GM99" s="95">
        <f>10^(-1825000*(79.755*EXP(-0.0046*($D99-20))*($D99+273.15))^-1.5*4*$EK99^0.5/(1+'Elements and ions'!$I$5*$EK99^0.5/(2*(79.755*EXP(-0.0046*($D99-20))*($D99+273.15))^0.5)))</f>
        <v>0.6346681338761665</v>
      </c>
      <c r="GN99" s="96"/>
      <c r="GO99" s="101">
        <f t="shared" si="823"/>
        <v>2.1033764795908645E-4</v>
      </c>
      <c r="GP99" s="94">
        <f t="shared" si="824"/>
        <v>2.2871530385550537E-5</v>
      </c>
      <c r="GQ99" s="94">
        <f t="shared" si="825"/>
        <v>1.2763152357366356E-3</v>
      </c>
      <c r="GR99" s="94">
        <f t="shared" si="826"/>
        <v>2.2946622112348663E-4</v>
      </c>
      <c r="GS99" s="95" t="str">
        <f t="shared" si="827"/>
        <v/>
      </c>
      <c r="GT99" s="101">
        <f t="shared" si="828"/>
        <v>3.7849543960460082E-3</v>
      </c>
      <c r="GU99" s="94">
        <f t="shared" si="829"/>
        <v>4.2869539039205977E-5</v>
      </c>
      <c r="GV99" s="94">
        <f t="shared" si="830"/>
        <v>2.2397625878301447E-4</v>
      </c>
      <c r="GW99" s="94">
        <f t="shared" si="831"/>
        <v>2.7648722107294756E-4</v>
      </c>
      <c r="GX99" s="94">
        <f t="shared" si="832"/>
        <v>7.5126051581045206E-6</v>
      </c>
      <c r="GY99" s="102">
        <f t="shared" si="833"/>
        <v>6.5392965165210192E-5</v>
      </c>
      <c r="GZ99" s="199"/>
      <c r="HA99" s="92">
        <f>IF(AND(GQ99&lt;&gt;"",GU99&lt;&gt;""),LOG(GQ99*GU99/Minerals!$C$6),"")</f>
        <v>1.2182787735112739</v>
      </c>
      <c r="HB99" s="94">
        <f>IF(AND(GQ99&lt;&gt;"",GU99&lt;&gt;""),LOG(GQ99*GU99/Minerals!$C$5),"")</f>
        <v>1.0877992441550561</v>
      </c>
      <c r="HC99" s="94">
        <f>IF(AND(GQ99&lt;&gt;"",GX99&lt;&gt;""),LOG(GQ99*GX99^2/Minerals!$C$2),"")</f>
        <v>-2.57253597375917</v>
      </c>
      <c r="HD99" s="94">
        <f>IF(AND(GQ99&lt;&gt;"",GY99&lt;&gt;""),LOG($GQ99*$GY99/Minerals!$C$3),"")</f>
        <v>-2.4785306511317153</v>
      </c>
      <c r="HE99" s="102">
        <f>IF(AND(GQ99&lt;&gt;"",GY99&lt;&gt;""),LOG($GQ99*$GY99/Minerals!$C$3),"")</f>
        <v>-2.4785306511317153</v>
      </c>
      <c r="HF99" s="199"/>
      <c r="HG99" s="92">
        <f>IF(HA99&lt;&gt;"",LOG(GQ99*GU99/(EXP(-1*Minerals!$E$6/'Other Constants'!$B$2*(1/(273.15+'ppm-mgL-1'!$D99)-1/298.15)+LN(Minerals!$C$6)))),"")</f>
        <v>-0.16296225988023366</v>
      </c>
      <c r="HH99" s="94">
        <f>IF(HA99&lt;&gt;"",LOG(GQ99*GU99/(EXP(-1*Minerals!$E$5/'Other Constants'!$B$2*(1/(273.15+'ppm-mgL-1'!$D99)-1/298.15)+LN(Minerals!$C$5)))),"")</f>
        <v>-0.29356665757314715</v>
      </c>
      <c r="HI99" s="94">
        <f>IF(HC99&lt;&gt;"",LOG(GQ99*GX99^2/(EXP(-1*Minerals!$E$2/'Other Constants'!$B$2*(1/(273.15+'ppm-mgL-1'!$D99)-1/298.15)+LN(Minerals!$C$2)))),"")</f>
        <v>-2.5141392149645125</v>
      </c>
      <c r="HJ99" s="94">
        <f>IF(HD99&lt;&gt;"",LOG($FF99*$FN99/(EXP(-1*Minerals!$E$3/'Other Constants'!$B$2*(1/(273.15+'ppm-mgL-1'!$D99)-1/298.15)+LN(Minerals!$C$3)))),"")</f>
        <v>-1.3022727221258072</v>
      </c>
      <c r="HK99" s="95">
        <f>IF(HE99&lt;&gt;"",LOG($FF99*$FN99/(EXP(-1*Minerals!$E$4/'Other Constants'!$B$2*(1/(273.15+'ppm-mgL-1'!$D99)-1/298.15)+LN(Minerals!$C$4)))),"")</f>
        <v>-2.7670449631823821</v>
      </c>
      <c r="HL99" s="199"/>
      <c r="HM99" s="199"/>
    </row>
    <row r="100" spans="1:221" x14ac:dyDescent="0.25">
      <c r="A100" s="267" t="str">
        <f>'WC samples'!B71</f>
        <v>ISSR 8</v>
      </c>
      <c r="C100" s="266">
        <f>'WC samples'!A71</f>
        <v>41727</v>
      </c>
      <c r="D100" s="4">
        <f>'WC samples'!I71</f>
        <v>21.4</v>
      </c>
      <c r="E100" s="4">
        <f>'WC samples'!F71</f>
        <v>8.4600000000000009</v>
      </c>
      <c r="AD100" s="83">
        <f>IF(E100&lt;&gt;"",10^(-2*$E100)/(10^(-2*$E100)+10^(-$E100-pKa!$B$2)+(10^(-pKa!$B$2-pKa!$C$2))),"")</f>
        <v>6.7735408034230674E-3</v>
      </c>
      <c r="AE100" s="84">
        <f>IF(E100&lt;&gt;"",10^(-$E100-pKa!$B$2)/(10^(-2*$E100)+10^(-$E100-pKa!$B$2)+10^(-pKa!$B$2-pKa!$C$2)),"")</f>
        <v>0.97907452660380312</v>
      </c>
      <c r="AF100" s="212">
        <f>IF(E100&lt;&gt;"",10^(-pKa!$B$2-pKa!$C$2)/(10^(-2*$E100)+10^(-$E100-pKa!$B$2)+10^(-pKa!$B$2-pKa!$C$2)),"")</f>
        <v>1.4151932592773833E-2</v>
      </c>
      <c r="AG100" s="152"/>
      <c r="AH100" s="222">
        <f>IF($AK100&lt;&gt;"",$AK100/'Elements and ions'!$G$3,IF($E100="","",""))</f>
        <v>4.2940604593748217</v>
      </c>
      <c r="AI100" s="85">
        <f t="shared" si="770"/>
        <v>4.2626063987568656E-3</v>
      </c>
      <c r="AJ100" s="84">
        <f>IF(AI100&lt;&gt;"",AI100*1000*'Elements and ions'!$B$7,"")</f>
        <v>51.196886673549088</v>
      </c>
      <c r="AK100" s="99">
        <f>'WC samples'!H71</f>
        <v>262.01</v>
      </c>
      <c r="AL100" s="88">
        <f>IF($AK100&lt;&gt;"",$AK100/'Elements and ions'!$G$3*Minerals!$B$6/2,IF($E100="","","Enter Alk(HCO3-)"))</f>
        <v>214.88959989570091</v>
      </c>
      <c r="AM100" s="199"/>
      <c r="AN100" s="101">
        <f t="shared" si="837"/>
        <v>2.8872938370911889E-5</v>
      </c>
      <c r="AO100" s="94">
        <f t="shared" si="838"/>
        <v>4.1734093419612201E-3</v>
      </c>
      <c r="AP100" s="95">
        <f t="shared" si="839"/>
        <v>6.0324118424733575E-5</v>
      </c>
      <c r="AQ100" s="199"/>
      <c r="AR100" s="199"/>
      <c r="AS100" s="83">
        <f t="shared" si="760"/>
        <v>8.492040697327026E-2</v>
      </c>
      <c r="AT100" s="83">
        <f>IF(AN100&lt;&gt;"",AN100/'Henrys law constants'!$B$7*1000000,"")</f>
        <v>849.20406973270258</v>
      </c>
      <c r="AU100" s="268">
        <f>'WC samples'!K71</f>
        <v>5.5087000000000002</v>
      </c>
      <c r="AV100" s="269">
        <f>'WC samples'!M71</f>
        <v>1.0370999999999999</v>
      </c>
      <c r="AW100" s="269">
        <f>'WC samples'!O71</f>
        <v>79.286500000000004</v>
      </c>
      <c r="AX100" s="269">
        <f>'WC samples'!N71</f>
        <v>8.4169999999999998</v>
      </c>
      <c r="AY100" s="226">
        <f>AO100*'Elements and ions'!$G$3*1000</f>
        <v>254.64825007295306</v>
      </c>
      <c r="AZ100" s="269">
        <f>'WC samples'!Q71</f>
        <v>10.486499999999999</v>
      </c>
      <c r="BA100" s="269">
        <f>'WC samples'!T71</f>
        <v>18.670999999999999</v>
      </c>
      <c r="BB100" s="270">
        <f>'WC samples'!V71</f>
        <v>10.258599999999999</v>
      </c>
      <c r="BC100" s="222">
        <f>IF($E100&lt;&gt;"",10^-$E100*'Elements and ions'!B104*1000,"")</f>
        <v>0</v>
      </c>
      <c r="BE100" s="6"/>
      <c r="BF100" s="6"/>
      <c r="BG100" s="270">
        <f>'WC samples'!L71</f>
        <v>5.0000000000000001E-4</v>
      </c>
      <c r="BH100" s="3"/>
      <c r="BJ100" s="92">
        <f>IF($AN100&lt;&gt;"",$AN100*'Elements and ions'!$G$2*1000,"")</f>
        <v>1.7908376504093682</v>
      </c>
      <c r="BK100" s="229"/>
      <c r="BL100" s="230"/>
      <c r="BM100" s="101">
        <f>IF($E100&lt;&gt;"",(10^-14+$E100)*'Elements and ions'!$G$8,"")</f>
        <v>143.88209640000019</v>
      </c>
      <c r="BO100" s="102">
        <f>IF($AP100&lt;&gt;"",$AP100*'Elements and ions'!$G$4*1000,"")</f>
        <v>3.6199839901379942</v>
      </c>
      <c r="BP100" s="269">
        <f>'WC samples'!P71</f>
        <v>0.14499999999999999</v>
      </c>
      <c r="BQ100" s="270">
        <f>'WC samples'!R71</f>
        <v>0</v>
      </c>
      <c r="BR100" s="195"/>
      <c r="BS100" s="238">
        <f>IF($AU100&lt;&gt;"",$AU100/'Elements and ions'!$B$12,"")</f>
        <v>0.23961527986243453</v>
      </c>
      <c r="BT100" s="239">
        <f>IF($AV100&lt;&gt;"",$AV100/'Elements and ions'!$B$20,"")</f>
        <v>2.6525449955624666E-2</v>
      </c>
      <c r="BU100" s="239">
        <f>IF($AW100&lt;&gt;"",$AW100/'Elements and ions'!$B$21, "")</f>
        <v>1.9783048056290233</v>
      </c>
      <c r="BV100" s="240">
        <f>IF($AX100&lt;&gt;"",$AX100/'Elements and ions'!$B$13, "")</f>
        <v>0.34630734416786668</v>
      </c>
      <c r="BW100" s="238">
        <f>IF($AY100&lt;&gt;"",$AY100/'Elements and ions'!$G$3,"")</f>
        <v>4.1734093419612206</v>
      </c>
      <c r="BX100" s="239">
        <f>IF($AZ100&lt;&gt;"",$AZ100/'Elements and ions'!$B$18,"")</f>
        <v>0.29578597015767349</v>
      </c>
      <c r="BY100" s="239">
        <f>IF($BA100&lt;&gt;"",$BA100/'Elements and ions'!$G$7,"")</f>
        <v>0.30112136298905406</v>
      </c>
      <c r="BZ100" s="241">
        <f>IF($BB100&lt;&gt;"",$BB100/'Elements and ions'!$G$5,"")</f>
        <v>0.10679078017875843</v>
      </c>
      <c r="CA100" s="91">
        <f t="shared" si="761"/>
        <v>3.4673685045253007E-6</v>
      </c>
      <c r="CB100" s="163" t="str">
        <f>IF($BD100&lt;&gt;"",$BD100/'Elements and ions'!$B$14,"")</f>
        <v/>
      </c>
      <c r="CC100" s="89" t="str">
        <f>IF($BE100&lt;&gt;"",$BE100/'Elements and ions'!$B$27, "")</f>
        <v/>
      </c>
      <c r="CD100" s="249" t="str">
        <f>IF($BF100&lt;&gt;"",$BF100/'Elements and ions'!$B$26,"")</f>
        <v/>
      </c>
      <c r="CE100" s="250">
        <f>IF($BG100&lt;&gt;"",$BG100/'Elements and ions'!$G$6,"")</f>
        <v>2.7718552470665456E-5</v>
      </c>
      <c r="CF100" s="91" t="str">
        <f>IF($BH100&lt;&gt;"",$BH100/'Elements and ions'!$G$15,"")</f>
        <v/>
      </c>
      <c r="CG100" s="89" t="str">
        <f>IF($BI100&lt;&gt;"",$BI100/'Elements and ions'!$G$16,"")</f>
        <v/>
      </c>
      <c r="CH100" s="90">
        <f>IF($BJ100&lt;&gt;"",$BJ100/'Elements and ions'!$G$2,"")</f>
        <v>2.8872938370911889E-2</v>
      </c>
      <c r="CI100" s="91" t="str">
        <f>IF($BK100&lt;&gt;"",$BK100/'Elements and ions'!$B$15, "")</f>
        <v/>
      </c>
      <c r="CJ100" s="88" t="str">
        <f>IF($BL100&lt;&gt;"", $BL100/'Elements and ions'!$G$17,"")</f>
        <v/>
      </c>
      <c r="CK100" s="89">
        <f t="shared" si="762"/>
        <v>2.8840315031266103E-3</v>
      </c>
      <c r="CL100" s="163" t="str">
        <f>IF($BN100&lt;&gt;"", $BN100/'Elements and ions'!$G$19,"")</f>
        <v/>
      </c>
      <c r="CM100" s="89">
        <f>IF($BO100&lt;&gt;"",$BO100/'Elements and ions'!$G$4,"")</f>
        <v>6.0324118424733571E-2</v>
      </c>
      <c r="CN100" s="89">
        <f>IF($BP100&lt;&gt;"",$BP100/'Elements and ions'!$B$10,"")</f>
        <v>7.6322203752365887E-3</v>
      </c>
      <c r="CO100" s="104">
        <f>IF($BQ100&lt;&gt;"",$BQ100/'Elements and ions'!$G$18,"")</f>
        <v>0</v>
      </c>
      <c r="CP100" s="242"/>
      <c r="CQ100" s="238">
        <f t="shared" si="771"/>
        <v>2.3961527986243454E-4</v>
      </c>
      <c r="CR100" s="239">
        <f t="shared" si="772"/>
        <v>2.6525449955624664E-5</v>
      </c>
      <c r="CS100" s="239">
        <f t="shared" si="773"/>
        <v>1.9783048056290233E-3</v>
      </c>
      <c r="CT100" s="241">
        <f t="shared" si="774"/>
        <v>3.4630734416786669E-4</v>
      </c>
      <c r="CU100" s="238">
        <f t="shared" si="775"/>
        <v>4.1734093419612209E-3</v>
      </c>
      <c r="CV100" s="239">
        <f t="shared" si="776"/>
        <v>2.957859701576735E-4</v>
      </c>
      <c r="CW100" s="239">
        <f t="shared" si="777"/>
        <v>3.0112136298905408E-4</v>
      </c>
      <c r="CX100" s="241">
        <f t="shared" si="778"/>
        <v>1.0679078017875843E-4</v>
      </c>
      <c r="CY100" s="258">
        <f t="shared" si="763"/>
        <v>3.467368504525301E-9</v>
      </c>
      <c r="CZ100" s="259" t="str">
        <f t="shared" si="779"/>
        <v/>
      </c>
      <c r="DA100" s="260" t="str">
        <f t="shared" si="780"/>
        <v/>
      </c>
      <c r="DB100" s="261" t="str">
        <f t="shared" si="781"/>
        <v/>
      </c>
      <c r="DC100" s="262">
        <f t="shared" si="782"/>
        <v>2.7718552470665455E-8</v>
      </c>
      <c r="DD100" s="263" t="str">
        <f t="shared" si="783"/>
        <v/>
      </c>
      <c r="DE100" s="259" t="str">
        <f t="shared" si="784"/>
        <v/>
      </c>
      <c r="DF100" s="260">
        <f t="shared" si="785"/>
        <v>2.8872938370911889E-5</v>
      </c>
      <c r="DG100" s="260" t="str">
        <f t="shared" si="786"/>
        <v/>
      </c>
      <c r="DH100" s="264" t="str">
        <f t="shared" si="787"/>
        <v/>
      </c>
      <c r="DI100" s="258">
        <f t="shared" si="764"/>
        <v>2.8840315031266101E-6</v>
      </c>
      <c r="DJ100" s="260" t="str">
        <f t="shared" si="788"/>
        <v/>
      </c>
      <c r="DK100" s="260">
        <f t="shared" si="789"/>
        <v>6.0324118424733568E-5</v>
      </c>
      <c r="DL100" s="260">
        <f t="shared" si="790"/>
        <v>7.6322203752365893E-6</v>
      </c>
      <c r="DM100" s="265">
        <f t="shared" si="791"/>
        <v>0</v>
      </c>
      <c r="DN100" s="242"/>
      <c r="DO100" s="238">
        <f t="shared" si="792"/>
        <v>0.23961527986243453</v>
      </c>
      <c r="DP100" s="239">
        <f t="shared" si="793"/>
        <v>2.6525449955624666E-2</v>
      </c>
      <c r="DQ100" s="239">
        <f t="shared" si="794"/>
        <v>3.9566096112580467</v>
      </c>
      <c r="DR100" s="241">
        <f t="shared" si="795"/>
        <v>0.69261468833573336</v>
      </c>
      <c r="DS100" s="238">
        <f t="shared" si="796"/>
        <v>-4.1734093419612206</v>
      </c>
      <c r="DT100" s="239">
        <f t="shared" si="797"/>
        <v>-0.29578597015767349</v>
      </c>
      <c r="DU100" s="239">
        <f t="shared" si="798"/>
        <v>-0.30112136298905406</v>
      </c>
      <c r="DV100" s="241">
        <f t="shared" si="799"/>
        <v>-0.21358156035751685</v>
      </c>
      <c r="DW100" s="91">
        <f t="shared" si="765"/>
        <v>3.4673685045253007E-6</v>
      </c>
      <c r="DX100" s="89">
        <f t="shared" si="800"/>
        <v>0</v>
      </c>
      <c r="DY100" s="89">
        <f t="shared" si="801"/>
        <v>0</v>
      </c>
      <c r="DZ100" s="89">
        <f t="shared" si="802"/>
        <v>0</v>
      </c>
      <c r="EA100" s="90">
        <f t="shared" si="803"/>
        <v>2.7718552470665456E-5</v>
      </c>
      <c r="EB100" s="91">
        <f t="shared" si="766"/>
        <v>-2.8840315031266103E-3</v>
      </c>
      <c r="EC100" s="89">
        <f t="shared" si="804"/>
        <v>0</v>
      </c>
      <c r="ED100" s="89">
        <f t="shared" si="805"/>
        <v>-0.12064823684946714</v>
      </c>
      <c r="EE100" s="89">
        <f t="shared" si="806"/>
        <v>-7.6322203752365887E-3</v>
      </c>
      <c r="EF100" s="90">
        <f t="shared" si="807"/>
        <v>0</v>
      </c>
      <c r="EG100" s="242"/>
      <c r="EH100" s="245">
        <f t="shared" si="808"/>
        <v>4.9153962153328141</v>
      </c>
      <c r="EI100" s="246">
        <f t="shared" si="809"/>
        <v>-5.1150627241932956</v>
      </c>
      <c r="EJ100" s="198">
        <f t="shared" si="810"/>
        <v>-1.9906019262356374</v>
      </c>
      <c r="EK100" s="198">
        <f t="shared" si="811"/>
        <v>1.2247656532553216E-2</v>
      </c>
      <c r="EL100" s="101">
        <f>IF(AND(CS100&lt;&gt;"",DK100&lt;&gt;""),LOG(CS100*DK100/Minerals!$C$6),"")</f>
        <v>1.5569561960511509</v>
      </c>
      <c r="EM100" s="94">
        <f>IF(AND(CS100&lt;&gt;"",DK100&lt;&gt;""),LOG(CS100*DK100/Minerals!$C$5),"")</f>
        <v>1.4264766666949331</v>
      </c>
      <c r="EN100" s="94">
        <f>IF(AND(CS100&lt;&gt;"",DL100&lt;&gt;""),LOG(CS100*DL100^2/Minerals!$C$2),"")</f>
        <v>-2.3684800459057453</v>
      </c>
      <c r="EO100" s="94">
        <f>IF(AND(CS100&lt;&gt;"",CX100&lt;&gt;""),LOG($CS100*$CX100/Minerals!$C$3),"")</f>
        <v>-2.0751926697586489</v>
      </c>
      <c r="EP100" s="95">
        <f>IF(AND(CS100&lt;&gt;"",CX100&lt;&gt;""),LOG($CS100*$CX100/Minerals!$C$4),"")</f>
        <v>-2.3151771812245512</v>
      </c>
      <c r="EQ100" s="199"/>
      <c r="ER100" s="101">
        <f t="shared" ref="ER100:ES115" si="840">10^(-0.5*SQRT($EK100)/(1+SQRT($EK100)))</f>
        <v>0.89161850459125913</v>
      </c>
      <c r="ES100" s="94">
        <f t="shared" si="840"/>
        <v>0.89161850459125913</v>
      </c>
      <c r="ET100" s="94">
        <f t="shared" ref="ET100:EV115" si="841">10^(-0.5*4*SQRT($EK100)/(1+SQRT($EK100)))</f>
        <v>0.63199885706033776</v>
      </c>
      <c r="EU100" s="94">
        <f t="shared" si="841"/>
        <v>0.63199885706033776</v>
      </c>
      <c r="EV100" s="95">
        <f t="shared" si="841"/>
        <v>0.63199885706033776</v>
      </c>
      <c r="EW100" s="101">
        <f t="shared" ref="EW100:FA115" si="842">10^(-0.5*SQRT($EK100)/(1+SQRT($EK100)))</f>
        <v>0.89161850459125913</v>
      </c>
      <c r="EX100" s="94">
        <f t="shared" si="758"/>
        <v>0.63199885706033776</v>
      </c>
      <c r="EY100" s="94">
        <f t="shared" si="842"/>
        <v>0.89161850459125913</v>
      </c>
      <c r="EZ100" s="94">
        <f t="shared" si="842"/>
        <v>0.89161850459125913</v>
      </c>
      <c r="FA100" s="94">
        <f t="shared" si="842"/>
        <v>0.89161850459125913</v>
      </c>
      <c r="FB100" s="95">
        <f t="shared" si="759"/>
        <v>0.63199885706033776</v>
      </c>
      <c r="FC100" s="199"/>
      <c r="FD100" s="101">
        <f t="shared" si="812"/>
        <v>2.1364541750815993E-4</v>
      </c>
      <c r="FE100" s="94">
        <f t="shared" si="813"/>
        <v>2.3650582023044345E-5</v>
      </c>
      <c r="FF100" s="94">
        <f t="shared" si="814"/>
        <v>1.2502863760745163E-3</v>
      </c>
      <c r="FG100" s="94">
        <f t="shared" si="815"/>
        <v>2.1886584570569279E-4</v>
      </c>
      <c r="FH100" s="95" t="str">
        <f t="shared" si="816"/>
        <v/>
      </c>
      <c r="FI100" s="101">
        <f t="shared" si="817"/>
        <v>3.7210889965266546E-3</v>
      </c>
      <c r="FJ100" s="94">
        <f t="shared" si="818"/>
        <v>3.8124773897604078E-5</v>
      </c>
      <c r="FK100" s="94">
        <f t="shared" si="819"/>
        <v>2.6372824439105966E-4</v>
      </c>
      <c r="FL100" s="94">
        <f t="shared" si="820"/>
        <v>2.684853793687821E-4</v>
      </c>
      <c r="FM100" s="94">
        <f t="shared" si="821"/>
        <v>6.8050289176793863E-6</v>
      </c>
      <c r="FN100" s="95">
        <f t="shared" si="822"/>
        <v>6.7491651017557105E-5</v>
      </c>
      <c r="FO100" s="199"/>
      <c r="FP100" s="101">
        <f>IF(EL100&lt;&gt;"",LOG(FF100*FJ100/Minerals!$C$6),"")</f>
        <v>1.158388781815803</v>
      </c>
      <c r="FQ100" s="94">
        <f>IF(EL100&lt;&gt;"",LOG(FF100*FJ100/Minerals!$C$5),"")</f>
        <v>1.0279092524595852</v>
      </c>
      <c r="FR100" s="94">
        <f>IF(EN100&lt;&gt;"",LOG(FF100*FM100^2/Minerals!$C$2),"")</f>
        <v>-2.6674056065822564</v>
      </c>
      <c r="FS100" s="94">
        <f>IF(EO100&lt;&gt;"",LOG($FF100*$FN100/Minerals!$C$3),"")</f>
        <v>-2.4737600839939966</v>
      </c>
      <c r="FT100" s="95">
        <f>IF(EP100&lt;&gt;"",LOG($FF100*$FN100/Minerals!$C$4),"")</f>
        <v>-2.7137445954598993</v>
      </c>
      <c r="FU100" s="96"/>
      <c r="FV100" s="101">
        <f>IF(FP100&lt;&gt;"",LOG(FF100*FJ100/(EXP(-1*Minerals!$E$6/'Other Constants'!$B$2*(1/(273.15+'ppm-mgL-1'!$D100)-1/298.15)+LN(Minerals!$C$6)))),"")</f>
        <v>-0.26279861179645858</v>
      </c>
      <c r="FW100" s="94">
        <f>IF(FP100&lt;&gt;"",LOG(FF100*FJ100/(EXP(-1*Minerals!$E$5/'Other Constants'!$B$2*(1/(273.15+'ppm-mgL-1'!$D100)-1/298.15)+LN(Minerals!$C$5)))),"")</f>
        <v>-0.39340662076027794</v>
      </c>
      <c r="FX100" s="94">
        <f>IF(FR100&lt;&gt;"",LOG(FF100*FM100^2/(EXP(-1*Minerals!$E$2/'Other Constants'!$B$2*(1/(273.15+'ppm-mgL-1'!$D100)-1/298.15)+LN(Minerals!$C$2)))),"")</f>
        <v>-2.6073199767606448</v>
      </c>
      <c r="FY100" s="94">
        <f>IF(FS100&lt;&gt;"",LOG($FF100*$FN100/(EXP(-1*Minerals!$E$3/'Other Constants'!$B$2*(1/(273.15+'ppm-mgL-1'!$D100)-1/298.15)+LN(Minerals!$C$3)))),"")</f>
        <v>-1.2486470683639408</v>
      </c>
      <c r="FZ100" s="95">
        <f>IF(FT100&lt;&gt;"",LOG($FF100*$FN100/(EXP(-1*Minerals!$E$4/'Other Constants'!$B$2*(1/(273.15+'ppm-mgL-1'!$D100)-1/298.15)+LN(Minerals!$C$4)))),"")</f>
        <v>-2.7488409416030293</v>
      </c>
      <c r="GA100" s="96"/>
      <c r="GB100" s="96"/>
      <c r="GC100" s="101">
        <f>10^(-1825000*(79.755*EXP(-0.0046*($D100-20))*($D100+273.15))^-1.5*$EK100^0.5/(1+'Elements and ions'!$D$12*$EK100^0.5/(2*(79.755*EXP(-0.0046*($D100-20))*($D100+273.15))^0.5)))</f>
        <v>0.89233718181354527</v>
      </c>
      <c r="GD100" s="94">
        <f>10^(-1825000*(79.755*EXP(-0.0046*($D100-20))*($D100+273.15))^-1.5*$EK100^0.5/(1+'Elements and ions'!$D$20*$EK100^0.5/(2*(79.755*EXP(-0.0046*($D100-20))*($D100+273.15))^0.5)))</f>
        <v>0.88902261426130702</v>
      </c>
      <c r="GE100" s="94">
        <f>10^(-1825000*(79.755*EXP(-0.0046*($D100-20))*($D100+273.15))^-1.5*4*$EK100^0.5/(1+'Elements and ions'!$D$21*$EK100^0.5/(2*(79.755*EXP(-0.0046*($D100-20))*($D100+273.15))^0.5)))</f>
        <v>0.65146536168654035</v>
      </c>
      <c r="GF100" s="94">
        <f>10^(-1825000*(79.755*EXP(-0.0046*($D100-20))*($D100+273.15))^-1.5*4*$EK100^0.5/(1+'Elements and ions'!$D$13*$EK100^0.5/(2*(79.755*EXP(-0.0046*($D100-20))*($D100+273.15))^0.5)))</f>
        <v>0.66733513346937579</v>
      </c>
      <c r="GG100" s="95">
        <f>10^(-1825000*(79.755*EXP(-0.0046*($D100-20))*($D100+273.15))^-1.5*4*$EK100^0.5/(1+'Elements and ions'!$D$27*$EK100^0.5/(2*(79.755*EXP(-0.0046*($D100-20))*($D100+273.15))^0.5)))</f>
        <v>0.65146536168654035</v>
      </c>
      <c r="GH100" s="101">
        <f>10^(-1825000*(79.755*EXP(-0.0046*($D100-20))*($D100+273.15))^-1.5*$EK100^0.5/(1+'Elements and ions'!$G$3*$EK100^0.5/(2*(79.755*EXP(-0.0046*($D100-20))*($D100+273.15))^0.5)))</f>
        <v>0.88021030673305345</v>
      </c>
      <c r="GI100" s="94">
        <f>10^(-1825000*(79.755*EXP(-0.0046*($D100-20))*($D100+273.15))^-1.5*4*$EK100^0.5/(1+'Elements and ions'!$G$4*$EK100^0.5/(2*(79.755*EXP(-0.0046*($D100-20))*($D100+273.15))^0.5)))</f>
        <v>0.60015938432739402</v>
      </c>
      <c r="GJ100" s="94">
        <f>10^(-1825000*(79.755*EXP(-0.0046*($D100-20))*($D100+273.15))^-1.5*$EK100^0.5/(1+'Elements and ions'!$D$18*$EK100^0.5/(2*(79.755*EXP(-0.0046*($D100-20))*($D100+273.15))^0.5)))</f>
        <v>0.88902261426130702</v>
      </c>
      <c r="GK100" s="94">
        <f>10^(-1825000*(79.755*EXP(-0.0046*($D100-20))*($D100+273.15))^-1.5*$EK100^0.5/(1+'Elements and ions'!$I$7*$EK100^0.5/(2*(79.755*EXP(-0.0046*($D100-20))*($D100+273.15))^0.5)))</f>
        <v>0.88902261426130702</v>
      </c>
      <c r="GL100" s="94">
        <f>10^(-1825000*(79.755*EXP(-0.0046*($D100-20))*($D100+273.15))^-1.5*$EK100^0.5/(1+'Elements and ions'!$D$10*$EK100^0.5/(2*(79.755*EXP(-0.0046*($D100-20))*($D100+273.15))^0.5)))</f>
        <v>0.89070499259412994</v>
      </c>
      <c r="GM100" s="95">
        <f>10^(-1825000*(79.755*EXP(-0.0046*($D100-20))*($D100+273.15))^-1.5*4*$EK100^0.5/(1+'Elements and ions'!$I$5*$EK100^0.5/(2*(79.755*EXP(-0.0046*($D100-20))*($D100+273.15))^0.5)))</f>
        <v>0.63403897907455076</v>
      </c>
      <c r="GN100" s="96"/>
      <c r="GO100" s="101">
        <f t="shared" si="823"/>
        <v>2.1381762355190877E-4</v>
      </c>
      <c r="GP100" s="94">
        <f t="shared" si="824"/>
        <v>2.3581724864006909E-5</v>
      </c>
      <c r="GQ100" s="94">
        <f t="shared" si="825"/>
        <v>1.2887970557253325E-3</v>
      </c>
      <c r="GR100" s="94">
        <f t="shared" si="826"/>
        <v>2.3110305774168838E-4</v>
      </c>
      <c r="GS100" s="95" t="str">
        <f t="shared" si="827"/>
        <v/>
      </c>
      <c r="GT100" s="101">
        <f t="shared" si="828"/>
        <v>3.6734779170102773E-3</v>
      </c>
      <c r="GU100" s="94">
        <f t="shared" si="829"/>
        <v>3.6204085773880905E-5</v>
      </c>
      <c r="GV100" s="94">
        <f t="shared" si="830"/>
        <v>2.6296041645139183E-4</v>
      </c>
      <c r="GW100" s="94">
        <f t="shared" si="831"/>
        <v>2.6770370133445681E-4</v>
      </c>
      <c r="GX100" s="94">
        <f t="shared" si="832"/>
        <v>6.7980567928018735E-6</v>
      </c>
      <c r="GY100" s="102">
        <f t="shared" si="833"/>
        <v>6.7709517239114764E-5</v>
      </c>
      <c r="GZ100" s="199"/>
      <c r="HA100" s="92">
        <f>IF(AND(GQ100&lt;&gt;"",GU100&lt;&gt;""),LOG(GQ100*GU100/Minerals!$C$6),"")</f>
        <v>1.1491141266290892</v>
      </c>
      <c r="HB100" s="94">
        <f>IF(AND(GQ100&lt;&gt;"",GU100&lt;&gt;""),LOG(GQ100*GU100/Minerals!$C$5),"")</f>
        <v>1.0186345972728714</v>
      </c>
      <c r="HC100" s="94">
        <f>IF(AND(GQ100&lt;&gt;"",GX100&lt;&gt;""),LOG(GQ100*GX100^2/Minerals!$C$2),"")</f>
        <v>-2.6551209433402749</v>
      </c>
      <c r="HD100" s="94">
        <f>IF(AND(GQ100&lt;&gt;"",GY100&lt;&gt;""),LOG($GQ100*$GY100/Minerals!$C$3),"")</f>
        <v>-2.4591853824646588</v>
      </c>
      <c r="HE100" s="102">
        <f>IF(AND(GQ100&lt;&gt;"",GY100&lt;&gt;""),LOG($GQ100*$GY100/Minerals!$C$3),"")</f>
        <v>-2.4591853824646588</v>
      </c>
      <c r="HF100" s="199"/>
      <c r="HG100" s="92">
        <f>IF(HA100&lt;&gt;"",LOG(GQ100*GU100/(EXP(-1*Minerals!$E$6/'Other Constants'!$B$2*(1/(273.15+'ppm-mgL-1'!$D100)-1/298.15)+LN(Minerals!$C$6)))),"")</f>
        <v>-0.27207326698317241</v>
      </c>
      <c r="HH100" s="94">
        <f>IF(HA100&lt;&gt;"",LOG(GQ100*GU100/(EXP(-1*Minerals!$E$5/'Other Constants'!$B$2*(1/(273.15+'ppm-mgL-1'!$D100)-1/298.15)+LN(Minerals!$C$5)))),"")</f>
        <v>-0.40268127594699171</v>
      </c>
      <c r="HI100" s="94">
        <f>IF(HC100&lt;&gt;"",LOG(GQ100*GX100^2/(EXP(-1*Minerals!$E$2/'Other Constants'!$B$2*(1/(273.15+'ppm-mgL-1'!$D100)-1/298.15)+LN(Minerals!$C$2)))),"")</f>
        <v>-2.5950353135186632</v>
      </c>
      <c r="HJ100" s="94">
        <f>IF(HD100&lt;&gt;"",LOG($FF100*$FN100/(EXP(-1*Minerals!$E$3/'Other Constants'!$B$2*(1/(273.15+'ppm-mgL-1'!$D100)-1/298.15)+LN(Minerals!$C$3)))),"")</f>
        <v>-1.2486470683639408</v>
      </c>
      <c r="HK100" s="95">
        <f>IF(HE100&lt;&gt;"",LOG($FF100*$FN100/(EXP(-1*Minerals!$E$4/'Other Constants'!$B$2*(1/(273.15+'ppm-mgL-1'!$D100)-1/298.15)+LN(Minerals!$C$4)))),"")</f>
        <v>-2.7488409416030293</v>
      </c>
      <c r="HL100" s="199"/>
      <c r="HM100" s="199"/>
    </row>
    <row r="101" spans="1:221" x14ac:dyDescent="0.25">
      <c r="A101" s="267" t="str">
        <f>'WC samples'!B72</f>
        <v>ISST Direct</v>
      </c>
      <c r="C101" s="266">
        <f>'WC samples'!A72</f>
        <v>41502</v>
      </c>
      <c r="D101" s="4">
        <f>'WC samples'!I72</f>
        <v>22.5</v>
      </c>
      <c r="E101" s="4">
        <f>'WC samples'!F72</f>
        <v>7.48</v>
      </c>
      <c r="AD101" s="83">
        <f>IF(E101&lt;&gt;"",10^(-2*$E101)/(10^(-2*$E101)+10^(-$E101-pKa!$B$2)+(10^(-pKa!$B$2-pKa!$C$2))),"")</f>
        <v>6.188685152824569E-2</v>
      </c>
      <c r="AE101" s="84">
        <f>IF(E101&lt;&gt;"",10^(-$E101-pKa!$B$2)/(10^(-2*$E101)+10^(-$E101-pKa!$B$2)+10^(-pKa!$B$2-pKa!$C$2)),"")</f>
        <v>0.93669540260877737</v>
      </c>
      <c r="AF101" s="212">
        <f>IF(E101&lt;&gt;"",10^(-pKa!$B$2-pKa!$C$2)/(10^(-2*$E101)+10^(-$E101-pKa!$B$2)+10^(-pKa!$B$2-pKa!$C$2)),"")</f>
        <v>1.4177458629770006E-3</v>
      </c>
      <c r="AG101" s="152"/>
      <c r="AH101" s="222">
        <f>IF($AK101&lt;&gt;"",$AK101/'Elements and ions'!$G$3,IF($E101="","",""))</f>
        <v>4.6708416889501327</v>
      </c>
      <c r="AI101" s="85">
        <f t="shared" si="770"/>
        <v>4.9714612347850793E-3</v>
      </c>
      <c r="AJ101" s="84">
        <f>IF(AI101&lt;&gt;"",AI101*1000*'Elements and ions'!$B$7,"")</f>
        <v>59.710729452633146</v>
      </c>
      <c r="AK101" s="99">
        <f>'WC samples'!H72</f>
        <v>285</v>
      </c>
      <c r="AL101" s="88">
        <f>IF($AK101&lt;&gt;"",$AK101/'Elements and ions'!$G$3*Minerals!$B$6/2,IF($E101="","","Enter Alk(HCO3-)"))</f>
        <v>233.74503251889152</v>
      </c>
      <c r="AM101" s="199"/>
      <c r="AN101" s="101">
        <f t="shared" si="837"/>
        <v>3.0766808331557317E-4</v>
      </c>
      <c r="AO101" s="94">
        <f t="shared" si="838"/>
        <v>4.6567448828709395E-3</v>
      </c>
      <c r="AP101" s="95">
        <f t="shared" si="839"/>
        <v>7.0482685985670773E-6</v>
      </c>
      <c r="AQ101" s="199"/>
      <c r="AR101" s="199"/>
      <c r="AS101" s="83">
        <f t="shared" si="760"/>
        <v>0.90490612739874465</v>
      </c>
      <c r="AT101" s="83">
        <f>IF(AN101&lt;&gt;"",AN101/'Henrys law constants'!$B$7*1000000,"")</f>
        <v>9049.0612739874468</v>
      </c>
      <c r="AU101" s="268">
        <f>'WC samples'!K72</f>
        <v>14.967219930334061</v>
      </c>
      <c r="AV101" s="269">
        <f>'WC samples'!M72</f>
        <v>2.4764976120530471</v>
      </c>
      <c r="AW101" s="269">
        <f>'WC samples'!O72</f>
        <v>85.18569498489174</v>
      </c>
      <c r="AX101" s="269">
        <f>'WC samples'!N72</f>
        <v>14.735638622628841</v>
      </c>
      <c r="AY101" s="226">
        <f>AO101*'Elements and ions'!$G$3*1000</f>
        <v>284.13985743895483</v>
      </c>
      <c r="AZ101" s="269">
        <f>'WC samples'!Q72</f>
        <v>23.113903630182978</v>
      </c>
      <c r="BA101" s="269">
        <f>'WC samples'!T72</f>
        <v>21.643295652173915</v>
      </c>
      <c r="BB101" s="270">
        <f>'WC samples'!V72</f>
        <v>15.027004356219575</v>
      </c>
      <c r="BC101" s="222">
        <f>IF($E101&lt;&gt;"",10^-$E101*'Elements and ions'!B105*1000,"")</f>
        <v>0</v>
      </c>
      <c r="BE101" s="6"/>
      <c r="BF101" s="6"/>
      <c r="BG101" s="270">
        <f>'WC samples'!L72</f>
        <v>0</v>
      </c>
      <c r="BH101" s="3"/>
      <c r="BJ101" s="92">
        <f>IF($AN101&lt;&gt;"",$AN101*'Elements and ions'!$G$2*1000,"")</f>
        <v>19.083045180670094</v>
      </c>
      <c r="BK101" s="229"/>
      <c r="BL101" s="230"/>
      <c r="BM101" s="101">
        <f>IF($E101&lt;&gt;"",(10^-14+$E101)*'Elements and ions'!$G$8,"")</f>
        <v>127.21490320000017</v>
      </c>
      <c r="BO101" s="102">
        <f>IF($AP101&lt;&gt;"",$AP101*'Elements and ions'!$G$4*1000,"")</f>
        <v>0.42295884550455187</v>
      </c>
      <c r="BP101" s="269">
        <f>'WC samples'!P72</f>
        <v>8.5565070505287902E-2</v>
      </c>
      <c r="BQ101" s="270">
        <f>'WC samples'!R72</f>
        <v>0</v>
      </c>
      <c r="BR101" s="195"/>
      <c r="BS101" s="238">
        <f>IF($AU101&lt;&gt;"",$AU101/'Elements and ions'!$B$12,"")</f>
        <v>0.65103828350964899</v>
      </c>
      <c r="BT101" s="239">
        <f>IF($AV101&lt;&gt;"",$AV101/'Elements and ions'!$B$20,"")</f>
        <v>6.3340288760714583E-2</v>
      </c>
      <c r="BU101" s="239">
        <f>IF($AW101&lt;&gt;"",$AW101/'Elements and ions'!$B$21, "")</f>
        <v>2.12549765419661</v>
      </c>
      <c r="BV101" s="240">
        <f>IF($AX101&lt;&gt;"",$AX101/'Elements and ions'!$B$13, "")</f>
        <v>0.60628013259118874</v>
      </c>
      <c r="BW101" s="238">
        <f>IF($AY101&lt;&gt;"",$AY101/'Elements and ions'!$G$3,"")</f>
        <v>4.6567448828709397</v>
      </c>
      <c r="BX101" s="239">
        <f>IF($AZ101&lt;&gt;"",$AZ101/'Elements and ions'!$B$18,"")</f>
        <v>0.65195903393740939</v>
      </c>
      <c r="BY101" s="239">
        <f>IF($BA101&lt;&gt;"",$BA101/'Elements and ions'!$G$7,"")</f>
        <v>0.34905782691648429</v>
      </c>
      <c r="BZ101" s="241">
        <f>IF($BB101&lt;&gt;"",$BB101/'Elements and ions'!$G$5,"")</f>
        <v>0.15642929044414344</v>
      </c>
      <c r="CA101" s="91">
        <f t="shared" si="761"/>
        <v>3.3113112148259002E-5</v>
      </c>
      <c r="CB101" s="163" t="str">
        <f>IF($BD101&lt;&gt;"",$BD101/'Elements and ions'!$B$14,"")</f>
        <v/>
      </c>
      <c r="CC101" s="89" t="str">
        <f>IF($BE101&lt;&gt;"",$BE101/'Elements and ions'!$B$27, "")</f>
        <v/>
      </c>
      <c r="CD101" s="249" t="str">
        <f>IF($BF101&lt;&gt;"",$BF101/'Elements and ions'!$B$26,"")</f>
        <v/>
      </c>
      <c r="CE101" s="250">
        <f>IF($BG101&lt;&gt;"",$BG101/'Elements and ions'!$G$6,"")</f>
        <v>0</v>
      </c>
      <c r="CF101" s="91" t="str">
        <f>IF($BH101&lt;&gt;"",$BH101/'Elements and ions'!$G$15,"")</f>
        <v/>
      </c>
      <c r="CG101" s="89" t="str">
        <f>IF($BI101&lt;&gt;"",$BI101/'Elements and ions'!$G$16,"")</f>
        <v/>
      </c>
      <c r="CH101" s="90">
        <f>IF($BJ101&lt;&gt;"",$BJ101/'Elements and ions'!$G$2,"")</f>
        <v>0.30766808331557316</v>
      </c>
      <c r="CI101" s="91" t="str">
        <f>IF($BK101&lt;&gt;"",$BK101/'Elements and ions'!$B$15, "")</f>
        <v/>
      </c>
      <c r="CJ101" s="88" t="str">
        <f>IF($BL101&lt;&gt;"", $BL101/'Elements and ions'!$G$17,"")</f>
        <v/>
      </c>
      <c r="CK101" s="89">
        <f t="shared" si="762"/>
        <v>3.0199517204020164E-4</v>
      </c>
      <c r="CL101" s="163" t="str">
        <f>IF($BN101&lt;&gt;"", $BN101/'Elements and ions'!$G$19,"")</f>
        <v/>
      </c>
      <c r="CM101" s="89">
        <f>IF($BO101&lt;&gt;"",$BO101/'Elements and ions'!$G$4,"")</f>
        <v>7.0482685985670777E-3</v>
      </c>
      <c r="CN101" s="89">
        <f>IF($BP101&lt;&gt;"",$BP101/'Elements and ions'!$B$10,"")</f>
        <v>4.5038032725449213E-3</v>
      </c>
      <c r="CO101" s="104">
        <f>IF($BQ101&lt;&gt;"",$BQ101/'Elements and ions'!$G$18,"")</f>
        <v>0</v>
      </c>
      <c r="CP101" s="242"/>
      <c r="CQ101" s="238">
        <f t="shared" si="771"/>
        <v>6.5103828350964897E-4</v>
      </c>
      <c r="CR101" s="239">
        <f t="shared" si="772"/>
        <v>6.3340288760714586E-5</v>
      </c>
      <c r="CS101" s="239">
        <f t="shared" si="773"/>
        <v>2.1254976541966101E-3</v>
      </c>
      <c r="CT101" s="241">
        <f t="shared" si="774"/>
        <v>6.0628013259118874E-4</v>
      </c>
      <c r="CU101" s="238">
        <f t="shared" si="775"/>
        <v>4.6567448828709395E-3</v>
      </c>
      <c r="CV101" s="239">
        <f t="shared" si="776"/>
        <v>6.5195903393740944E-4</v>
      </c>
      <c r="CW101" s="239">
        <f t="shared" si="777"/>
        <v>3.4905782691648429E-4</v>
      </c>
      <c r="CX101" s="241">
        <f t="shared" si="778"/>
        <v>1.5642929044414343E-4</v>
      </c>
      <c r="CY101" s="258">
        <f t="shared" si="763"/>
        <v>3.3113112148259005E-8</v>
      </c>
      <c r="CZ101" s="259" t="str">
        <f t="shared" si="779"/>
        <v/>
      </c>
      <c r="DA101" s="260" t="str">
        <f t="shared" si="780"/>
        <v/>
      </c>
      <c r="DB101" s="261" t="str">
        <f t="shared" si="781"/>
        <v/>
      </c>
      <c r="DC101" s="262">
        <f t="shared" si="782"/>
        <v>0</v>
      </c>
      <c r="DD101" s="263" t="str">
        <f t="shared" si="783"/>
        <v/>
      </c>
      <c r="DE101" s="259" t="str">
        <f t="shared" si="784"/>
        <v/>
      </c>
      <c r="DF101" s="260">
        <f t="shared" si="785"/>
        <v>3.0766808331557317E-4</v>
      </c>
      <c r="DG101" s="260" t="str">
        <f t="shared" si="786"/>
        <v/>
      </c>
      <c r="DH101" s="264" t="str">
        <f t="shared" si="787"/>
        <v/>
      </c>
      <c r="DI101" s="258">
        <f t="shared" si="764"/>
        <v>3.0199517204020165E-7</v>
      </c>
      <c r="DJ101" s="260" t="str">
        <f t="shared" si="788"/>
        <v/>
      </c>
      <c r="DK101" s="260">
        <f t="shared" si="789"/>
        <v>7.0482685985670781E-6</v>
      </c>
      <c r="DL101" s="260">
        <f t="shared" si="790"/>
        <v>4.5038032725449217E-6</v>
      </c>
      <c r="DM101" s="265">
        <f t="shared" si="791"/>
        <v>0</v>
      </c>
      <c r="DN101" s="242"/>
      <c r="DO101" s="238">
        <f t="shared" si="792"/>
        <v>0.65103828350964899</v>
      </c>
      <c r="DP101" s="239">
        <f t="shared" si="793"/>
        <v>6.3340288760714583E-2</v>
      </c>
      <c r="DQ101" s="239">
        <f t="shared" si="794"/>
        <v>4.2509953083932199</v>
      </c>
      <c r="DR101" s="241">
        <f t="shared" si="795"/>
        <v>1.2125602651823775</v>
      </c>
      <c r="DS101" s="238">
        <f t="shared" si="796"/>
        <v>-4.6567448828709397</v>
      </c>
      <c r="DT101" s="239">
        <f t="shared" si="797"/>
        <v>-0.65195903393740939</v>
      </c>
      <c r="DU101" s="239">
        <f t="shared" si="798"/>
        <v>-0.34905782691648429</v>
      </c>
      <c r="DV101" s="241">
        <f t="shared" si="799"/>
        <v>-0.31285858088828689</v>
      </c>
      <c r="DW101" s="91">
        <f t="shared" si="765"/>
        <v>3.3113112148259002E-5</v>
      </c>
      <c r="DX101" s="89">
        <f t="shared" si="800"/>
        <v>0</v>
      </c>
      <c r="DY101" s="89">
        <f t="shared" si="801"/>
        <v>0</v>
      </c>
      <c r="DZ101" s="89">
        <f t="shared" si="802"/>
        <v>0</v>
      </c>
      <c r="EA101" s="90">
        <f t="shared" si="803"/>
        <v>0</v>
      </c>
      <c r="EB101" s="91">
        <f t="shared" si="766"/>
        <v>-3.0199517204020164E-4</v>
      </c>
      <c r="EC101" s="89">
        <f t="shared" si="804"/>
        <v>0</v>
      </c>
      <c r="ED101" s="89">
        <f t="shared" si="805"/>
        <v>-1.4096537197134155E-2</v>
      </c>
      <c r="EE101" s="89">
        <f t="shared" si="806"/>
        <v>-4.5038032725449213E-3</v>
      </c>
      <c r="EF101" s="90">
        <f t="shared" si="807"/>
        <v>0</v>
      </c>
      <c r="EG101" s="242"/>
      <c r="EH101" s="245">
        <f t="shared" si="808"/>
        <v>6.1779672589581089</v>
      </c>
      <c r="EI101" s="246">
        <f t="shared" si="809"/>
        <v>-5.9895226602548393</v>
      </c>
      <c r="EJ101" s="198">
        <f t="shared" si="810"/>
        <v>1.5487549194982952</v>
      </c>
      <c r="EK101" s="198">
        <f t="shared" si="811"/>
        <v>1.4741150368561639E-2</v>
      </c>
      <c r="EL101" s="101">
        <f>IF(AND(CS101&lt;&gt;"",DK101&lt;&gt;""),LOG(CS101*DK101/Minerals!$C$6),"")</f>
        <v>0.65571508222640884</v>
      </c>
      <c r="EM101" s="94">
        <f>IF(AND(CS101&lt;&gt;"",DK101&lt;&gt;""),LOG(CS101*DK101/Minerals!$C$5),"")</f>
        <v>0.52523555287019108</v>
      </c>
      <c r="EN101" s="94">
        <f>IF(AND(CS101&lt;&gt;"",DL101&lt;&gt;""),LOG(CS101*DL101^2/Minerals!$C$2),"")</f>
        <v>-2.7954556012641127</v>
      </c>
      <c r="EO101" s="94">
        <f>IF(AND(CS101&lt;&gt;"",CX101&lt;&gt;""),LOG($CS101*$CX101/Minerals!$C$3),"")</f>
        <v>-1.8782409297017508</v>
      </c>
      <c r="EP101" s="95">
        <f>IF(AND(CS101&lt;&gt;"",CX101&lt;&gt;""),LOG($CS101*$CX101/Minerals!$C$4),"")</f>
        <v>-2.1182254411676533</v>
      </c>
      <c r="EQ101" s="199"/>
      <c r="ER101" s="101">
        <f t="shared" si="840"/>
        <v>0.88280748814584276</v>
      </c>
      <c r="ES101" s="94">
        <f t="shared" si="840"/>
        <v>0.88280748814584276</v>
      </c>
      <c r="ET101" s="94">
        <f t="shared" si="841"/>
        <v>0.60738495907855783</v>
      </c>
      <c r="EU101" s="94">
        <f t="shared" si="841"/>
        <v>0.60738495907855783</v>
      </c>
      <c r="EV101" s="95">
        <f t="shared" si="841"/>
        <v>0.60738495907855783</v>
      </c>
      <c r="EW101" s="101">
        <f t="shared" si="842"/>
        <v>0.88280748814584276</v>
      </c>
      <c r="EX101" s="94">
        <f t="shared" si="758"/>
        <v>0.60738495907855783</v>
      </c>
      <c r="EY101" s="94">
        <f t="shared" si="842"/>
        <v>0.88280748814584276</v>
      </c>
      <c r="EZ101" s="94">
        <f t="shared" si="842"/>
        <v>0.88280748814584276</v>
      </c>
      <c r="FA101" s="94">
        <f t="shared" si="842"/>
        <v>0.88280748814584276</v>
      </c>
      <c r="FB101" s="95">
        <f t="shared" si="759"/>
        <v>0.60738495907855783</v>
      </c>
      <c r="FC101" s="199"/>
      <c r="FD101" s="101">
        <f t="shared" si="812"/>
        <v>5.7474147175193421E-4</v>
      </c>
      <c r="FE101" s="94">
        <f t="shared" si="813"/>
        <v>5.5917281219278801E-5</v>
      </c>
      <c r="FF101" s="94">
        <f t="shared" si="814"/>
        <v>1.2909953057157787E-3</v>
      </c>
      <c r="FG101" s="94">
        <f t="shared" si="815"/>
        <v>3.6824543352404176E-4</v>
      </c>
      <c r="FH101" s="95" t="str">
        <f t="shared" si="816"/>
        <v/>
      </c>
      <c r="FI101" s="101">
        <f t="shared" si="817"/>
        <v>4.1110092529833006E-3</v>
      </c>
      <c r="FJ101" s="94">
        <f t="shared" si="818"/>
        <v>4.2810123343153489E-6</v>
      </c>
      <c r="FK101" s="94">
        <f t="shared" si="819"/>
        <v>5.7555431712427469E-4</v>
      </c>
      <c r="FL101" s="94">
        <f t="shared" si="820"/>
        <v>3.0815086339778782E-4</v>
      </c>
      <c r="FM101" s="94">
        <f t="shared" si="821"/>
        <v>3.975991254138409E-6</v>
      </c>
      <c r="FN101" s="95">
        <f t="shared" si="822"/>
        <v>9.5012798175103896E-5</v>
      </c>
      <c r="FO101" s="199"/>
      <c r="FP101" s="101">
        <f>IF(EL101&lt;&gt;"",LOG(FF101*FJ101/Minerals!$C$6),"")</f>
        <v>0.22264314843448388</v>
      </c>
      <c r="FQ101" s="94">
        <f>IF(EL101&lt;&gt;"",LOG(FF101*FJ101/Minerals!$C$5),"")</f>
        <v>9.2163619078266229E-2</v>
      </c>
      <c r="FR101" s="94">
        <f>IF(EN101&lt;&gt;"",LOG(FF101*FM101^2/Minerals!$C$2),"")</f>
        <v>-3.1202595516080565</v>
      </c>
      <c r="FS101" s="94">
        <f>IF(EO101&lt;&gt;"",LOG($FF101*$FN101/Minerals!$C$3),"")</f>
        <v>-2.3113128634936757</v>
      </c>
      <c r="FT101" s="95">
        <f>IF(EP101&lt;&gt;"",LOG($FF101*$FN101/Minerals!$C$4),"")</f>
        <v>-2.551297374959578</v>
      </c>
      <c r="FU101" s="96"/>
      <c r="FV101" s="101">
        <f>IF(FP101&lt;&gt;"",LOG(FF101*FJ101/(EXP(-1*Minerals!$E$6/'Other Constants'!$B$2*(1/(273.15+'ppm-mgL-1'!$D101)-1/298.15)+LN(Minerals!$C$6)))),"")</f>
        <v>-0.76062053325672385</v>
      </c>
      <c r="FW101" s="94">
        <f>IF(FP101&lt;&gt;"",LOG(FF101*FJ101/(EXP(-1*Minerals!$E$5/'Other Constants'!$B$2*(1/(273.15+'ppm-mgL-1'!$D101)-1/298.15)+LN(Minerals!$C$5)))),"")</f>
        <v>-0.89118895260208664</v>
      </c>
      <c r="FX101" s="94">
        <f>IF(FR101&lt;&gt;"",LOG(FF101*FM101^2/(EXP(-1*Minerals!$E$2/'Other Constants'!$B$2*(1/(273.15+'ppm-mgL-1'!$D101)-1/298.15)+LN(Minerals!$C$2)))),"")</f>
        <v>-3.0786886666841697</v>
      </c>
      <c r="FY101" s="94">
        <f>IF(FS101&lt;&gt;"",LOG($FF101*$FN101/(EXP(-1*Minerals!$E$3/'Other Constants'!$B$2*(1/(273.15+'ppm-mgL-1'!$D101)-1/298.15)+LN(Minerals!$C$3)))),"")</f>
        <v>-1.4637053349928453</v>
      </c>
      <c r="FZ101" s="95">
        <f>IF(FT101&lt;&gt;"",LOG($FF101*$FN101/(EXP(-1*Minerals!$E$4/'Other Constants'!$B$2*(1/(273.15+'ppm-mgL-1'!$D101)-1/298.15)+LN(Minerals!$C$4)))),"")</f>
        <v>-2.5755791569945923</v>
      </c>
      <c r="GA101" s="96"/>
      <c r="GB101" s="96"/>
      <c r="GC101" s="101">
        <f>10^(-1825000*(79.755*EXP(-0.0046*($D101-20))*($D101+273.15))^-1.5*$EK101^0.5/(1+'Elements and ions'!$D$12*$EK101^0.5/(2*(79.755*EXP(-0.0046*($D101-20))*($D101+273.15))^0.5)))</f>
        <v>0.88365459831403148</v>
      </c>
      <c r="GD101" s="94">
        <f>10^(-1825000*(79.755*EXP(-0.0046*($D101-20))*($D101+273.15))^-1.5*$EK101^0.5/(1+'Elements and ions'!$D$20*$EK101^0.5/(2*(79.755*EXP(-0.0046*($D101-20))*($D101+273.15))^0.5)))</f>
        <v>0.87978037939440878</v>
      </c>
      <c r="GE101" s="94">
        <f>10^(-1825000*(79.755*EXP(-0.0046*($D101-20))*($D101+273.15))^-1.5*4*$EK101^0.5/(1+'Elements and ions'!$D$21*$EK101^0.5/(2*(79.755*EXP(-0.0046*($D101-20))*($D101+273.15))^0.5)))</f>
        <v>0.62939901543605881</v>
      </c>
      <c r="GF101" s="94">
        <f>10^(-1825000*(79.755*EXP(-0.0046*($D101-20))*($D101+273.15))^-1.5*4*$EK101^0.5/(1+'Elements and ions'!$D$13*$EK101^0.5/(2*(79.755*EXP(-0.0046*($D101-20))*($D101+273.15))^0.5)))</f>
        <v>0.64722797443396984</v>
      </c>
      <c r="GG101" s="95">
        <f>10^(-1825000*(79.755*EXP(-0.0046*($D101-20))*($D101+273.15))^-1.5*4*$EK101^0.5/(1+'Elements and ions'!$D$27*$EK101^0.5/(2*(79.755*EXP(-0.0046*($D101-20))*($D101+273.15))^0.5)))</f>
        <v>0.62939901543605881</v>
      </c>
      <c r="GH101" s="101">
        <f>10^(-1825000*(79.755*EXP(-0.0046*($D101-20))*($D101+273.15))^-1.5*$EK101^0.5/(1+'Elements and ions'!$G$3*$EK101^0.5/(2*(79.755*EXP(-0.0046*($D101-20))*($D101+273.15))^0.5)))</f>
        <v>0.8693881327709434</v>
      </c>
      <c r="GI101" s="94">
        <f>10^(-1825000*(79.755*EXP(-0.0046*($D101-20))*($D101+273.15))^-1.5*4*$EK101^0.5/(1+'Elements and ions'!$G$4*$EK101^0.5/(2*(79.755*EXP(-0.0046*($D101-20))*($D101+273.15))^0.5)))</f>
        <v>0.57116246019775785</v>
      </c>
      <c r="GJ101" s="94">
        <f>10^(-1825000*(79.755*EXP(-0.0046*($D101-20))*($D101+273.15))^-1.5*$EK101^0.5/(1+'Elements and ions'!$D$18*$EK101^0.5/(2*(79.755*EXP(-0.0046*($D101-20))*($D101+273.15))^0.5)))</f>
        <v>0.87978037939440878</v>
      </c>
      <c r="GK101" s="94">
        <f>10^(-1825000*(79.755*EXP(-0.0046*($D101-20))*($D101+273.15))^-1.5*$EK101^0.5/(1+'Elements and ions'!$I$7*$EK101^0.5/(2*(79.755*EXP(-0.0046*($D101-20))*($D101+273.15))^0.5)))</f>
        <v>0.87978037939440878</v>
      </c>
      <c r="GL101" s="94">
        <f>10^(-1825000*(79.755*EXP(-0.0046*($D101-20))*($D101+273.15))^-1.5*$EK101^0.5/(1+'Elements and ions'!$D$10*$EK101^0.5/(2*(79.755*EXP(-0.0046*($D101-20))*($D101+273.15))^0.5)))</f>
        <v>0.881749168235064</v>
      </c>
      <c r="GM101" s="95">
        <f>10^(-1825000*(79.755*EXP(-0.0046*($D101-20))*($D101+273.15))^-1.5*4*$EK101^0.5/(1+'Elements and ions'!$I$5*$EK101^0.5/(2*(79.755*EXP(-0.0046*($D101-20))*($D101+273.15))^0.5)))</f>
        <v>0.60971961541380748</v>
      </c>
      <c r="GN101" s="96"/>
      <c r="GO101" s="101">
        <f t="shared" si="823"/>
        <v>5.7529297290177545E-4</v>
      </c>
      <c r="GP101" s="94">
        <f t="shared" si="824"/>
        <v>5.5725543276852886E-5</v>
      </c>
      <c r="GQ101" s="94">
        <f t="shared" si="825"/>
        <v>1.3377861308629989E-3</v>
      </c>
      <c r="GR101" s="94">
        <f t="shared" si="826"/>
        <v>3.9240146215655376E-4</v>
      </c>
      <c r="GS101" s="95" t="str">
        <f t="shared" si="827"/>
        <v/>
      </c>
      <c r="GT101" s="101">
        <f t="shared" si="828"/>
        <v>4.0485187385098115E-3</v>
      </c>
      <c r="GU101" s="94">
        <f t="shared" si="829"/>
        <v>4.0257064328921755E-6</v>
      </c>
      <c r="GV101" s="94">
        <f t="shared" si="830"/>
        <v>5.7358076622706635E-4</v>
      </c>
      <c r="GW101" s="94">
        <f t="shared" si="831"/>
        <v>3.0709422739517241E-4</v>
      </c>
      <c r="GX101" s="94">
        <f t="shared" si="832"/>
        <v>3.9712247894608437E-6</v>
      </c>
      <c r="GY101" s="102">
        <f t="shared" si="833"/>
        <v>9.5378006809057923E-5</v>
      </c>
      <c r="GZ101" s="199"/>
      <c r="HA101" s="92">
        <f>IF(AND(GQ101&lt;&gt;"",GU101&lt;&gt;""),LOG(GQ101*GU101/Minerals!$C$6),"")</f>
        <v>0.21140079702827003</v>
      </c>
      <c r="HB101" s="94">
        <f>IF(AND(GQ101&lt;&gt;"",GU101&lt;&gt;""),LOG(GQ101*GU101/Minerals!$C$5),"")</f>
        <v>8.0921267672052308E-2</v>
      </c>
      <c r="HC101" s="94">
        <f>IF(AND(GQ101&lt;&gt;"",GX101&lt;&gt;""),LOG(GQ101*GX101^2/Minerals!$C$2),"")</f>
        <v>-3.1058394247211409</v>
      </c>
      <c r="HD101" s="94">
        <f>IF(AND(GQ101&lt;&gt;"",GY101&lt;&gt;""),LOG($GQ101*$GY101/Minerals!$C$3),"")</f>
        <v>-2.2941847034646554</v>
      </c>
      <c r="HE101" s="102">
        <f>IF(AND(GQ101&lt;&gt;"",GY101&lt;&gt;""),LOG($GQ101*$GY101/Minerals!$C$3),"")</f>
        <v>-2.2941847034646554</v>
      </c>
      <c r="HF101" s="199"/>
      <c r="HG101" s="92">
        <f>IF(HA101&lt;&gt;"",LOG(GQ101*GU101/(EXP(-1*Minerals!$E$6/'Other Constants'!$B$2*(1/(273.15+'ppm-mgL-1'!$D101)-1/298.15)+LN(Minerals!$C$6)))),"")</f>
        <v>-0.77186288466293773</v>
      </c>
      <c r="HH101" s="94">
        <f>IF(HA101&lt;&gt;"",LOG(GQ101*GU101/(EXP(-1*Minerals!$E$5/'Other Constants'!$B$2*(1/(273.15+'ppm-mgL-1'!$D101)-1/298.15)+LN(Minerals!$C$5)))),"")</f>
        <v>-0.90243130400830052</v>
      </c>
      <c r="HI101" s="94">
        <f>IF(HC101&lt;&gt;"",LOG(GQ101*GX101^2/(EXP(-1*Minerals!$E$2/'Other Constants'!$B$2*(1/(273.15+'ppm-mgL-1'!$D101)-1/298.15)+LN(Minerals!$C$2)))),"")</f>
        <v>-3.0642685397972547</v>
      </c>
      <c r="HJ101" s="94">
        <f>IF(HD101&lt;&gt;"",LOG($FF101*$FN101/(EXP(-1*Minerals!$E$3/'Other Constants'!$B$2*(1/(273.15+'ppm-mgL-1'!$D101)-1/298.15)+LN(Minerals!$C$3)))),"")</f>
        <v>-1.4637053349928453</v>
      </c>
      <c r="HK101" s="95">
        <f>IF(HE101&lt;&gt;"",LOG($FF101*$FN101/(EXP(-1*Minerals!$E$4/'Other Constants'!$B$2*(1/(273.15+'ppm-mgL-1'!$D101)-1/298.15)+LN(Minerals!$C$4)))),"")</f>
        <v>-2.5755791569945923</v>
      </c>
      <c r="HL101" s="199"/>
      <c r="HM101" s="199"/>
    </row>
    <row r="102" spans="1:221" x14ac:dyDescent="0.25">
      <c r="A102" s="267" t="str">
        <f>'WC samples'!B73</f>
        <v>ISST Direct</v>
      </c>
      <c r="C102" s="266">
        <f>'WC samples'!A73</f>
        <v>41546</v>
      </c>
      <c r="D102" s="4">
        <f>'WC samples'!I73</f>
        <v>21.4</v>
      </c>
      <c r="E102" s="4">
        <f>'WC samples'!F73</f>
        <v>7.56</v>
      </c>
      <c r="AD102" s="83">
        <f>IF(E102&lt;&gt;"",10^(-2*$E102)/(10^(-2*$E102)+10^(-$E102-pKa!$B$2)+(10^(-pKa!$B$2-pKa!$C$2))),"")</f>
        <v>5.2001750986895724E-2</v>
      </c>
      <c r="AE102" s="84">
        <f>IF(E102&lt;&gt;"",10^(-$E102-pKa!$B$2)/(10^(-2*$E102)+10^(-$E102-pKa!$B$2)+10^(-pKa!$B$2-pKa!$C$2)),"")</f>
        <v>0.94627630920076922</v>
      </c>
      <c r="AF102" s="212">
        <f>IF(E102&lt;&gt;"",10^(-pKa!$B$2-pKa!$C$2)/(10^(-2*$E102)+10^(-$E102-pKa!$B$2)+10^(-pKa!$B$2-pKa!$C$2)),"")</f>
        <v>1.7219398123349218E-3</v>
      </c>
      <c r="AG102" s="152"/>
      <c r="AH102" s="222">
        <f>IF($AK102&lt;&gt;"",$AK102/'Elements and ions'!$G$3,IF($E102="","",""))</f>
        <v>5.2772316626033078</v>
      </c>
      <c r="AI102" s="85">
        <f t="shared" si="770"/>
        <v>5.5566169795696618E-3</v>
      </c>
      <c r="AJ102" s="84">
        <f>IF(AI102&lt;&gt;"",AI102*1000*'Elements and ions'!$B$7,"")</f>
        <v>66.73885955651734</v>
      </c>
      <c r="AK102" s="99">
        <f>'WC samples'!H73</f>
        <v>322</v>
      </c>
      <c r="AL102" s="88">
        <f>IF($AK102&lt;&gt;"",$AK102/'Elements and ions'!$G$3*Minerals!$B$6/2,IF($E102="","","Enter Alk(HCO3-)"))</f>
        <v>264.09087884590548</v>
      </c>
      <c r="AM102" s="199"/>
      <c r="AN102" s="101">
        <f t="shared" si="837"/>
        <v>2.889538125011382E-4</v>
      </c>
      <c r="AO102" s="94">
        <f t="shared" si="838"/>
        <v>5.2580950070695055E-3</v>
      </c>
      <c r="AP102" s="95">
        <f t="shared" si="839"/>
        <v>9.5681599990172231E-6</v>
      </c>
      <c r="AQ102" s="199"/>
      <c r="AR102" s="199"/>
      <c r="AS102" s="83">
        <f t="shared" si="760"/>
        <v>0.84986415441511232</v>
      </c>
      <c r="AT102" s="83">
        <f>IF(AN102&lt;&gt;"",AN102/'Henrys law constants'!$B$7*1000000,"")</f>
        <v>8498.6415441511235</v>
      </c>
      <c r="AU102" s="268">
        <f>'WC samples'!K73</f>
        <v>14.463800000000001</v>
      </c>
      <c r="AV102" s="269">
        <f>'WC samples'!M73</f>
        <v>2.6107999999999998</v>
      </c>
      <c r="AW102" s="269">
        <f>'WC samples'!O73</f>
        <v>86.969300000000004</v>
      </c>
      <c r="AX102" s="269">
        <f>'WC samples'!N73</f>
        <v>14.992100000000001</v>
      </c>
      <c r="AY102" s="226">
        <f>AO102*'Elements and ions'!$G$3*1000</f>
        <v>320.83234175115888</v>
      </c>
      <c r="AZ102" s="269">
        <f>'WC samples'!Q73</f>
        <v>22.813199999999998</v>
      </c>
      <c r="BA102" s="269">
        <f>'WC samples'!T73</f>
        <v>22.004300000000001</v>
      </c>
      <c r="BB102" s="270">
        <f>'WC samples'!V73</f>
        <v>15.0345</v>
      </c>
      <c r="BC102" s="222">
        <f>IF($E102&lt;&gt;"",10^-$E102*'Elements and ions'!B106*1000,"")</f>
        <v>0</v>
      </c>
      <c r="BE102" s="6"/>
      <c r="BF102" s="6"/>
      <c r="BG102" s="270">
        <f>'WC samples'!L73</f>
        <v>0</v>
      </c>
      <c r="BH102" s="3"/>
      <c r="BJ102" s="92">
        <f>IF($AN102&lt;&gt;"",$AN102*'Elements and ions'!$G$2*1000,"")</f>
        <v>17.922296650544347</v>
      </c>
      <c r="BK102" s="229"/>
      <c r="BL102" s="230"/>
      <c r="BM102" s="101">
        <f>IF($E102&lt;&gt;"",(10^-14+$E102)*'Elements and ions'!$G$8,"")</f>
        <v>128.57549040000015</v>
      </c>
      <c r="BO102" s="102">
        <f>IF($AP102&lt;&gt;"",$AP102*'Elements and ions'!$G$4*1000,"")</f>
        <v>0.57417475656502459</v>
      </c>
      <c r="BP102" s="269">
        <f>'WC samples'!P73</f>
        <v>8.43E-2</v>
      </c>
      <c r="BQ102" s="270">
        <f>'WC samples'!R73</f>
        <v>0</v>
      </c>
      <c r="BR102" s="195"/>
      <c r="BS102" s="238">
        <f>IF($AU102&lt;&gt;"",$AU102/'Elements and ions'!$B$12,"")</f>
        <v>0.62914072011078492</v>
      </c>
      <c r="BT102" s="239">
        <f>IF($AV102&lt;&gt;"",$AV102/'Elements and ions'!$B$20,"")</f>
        <v>6.677528178974533E-2</v>
      </c>
      <c r="BU102" s="239">
        <f>IF($AW102&lt;&gt;"",$AW102/'Elements and ions'!$B$21, "")</f>
        <v>2.1700009980537951</v>
      </c>
      <c r="BV102" s="240">
        <f>IF($AX102&lt;&gt;"",$AX102/'Elements and ions'!$B$13, "")</f>
        <v>0.6168319275869163</v>
      </c>
      <c r="BW102" s="238">
        <f>IF($AY102&lt;&gt;"",$AY102/'Elements and ions'!$G$3,"")</f>
        <v>5.2580950070695058</v>
      </c>
      <c r="BX102" s="239">
        <f>IF($AZ102&lt;&gt;"",$AZ102/'Elements and ions'!$B$18,"")</f>
        <v>0.64347727977886204</v>
      </c>
      <c r="BY102" s="239">
        <f>IF($BA102&lt;&gt;"",$BA102/'Elements and ions'!$G$7,"")</f>
        <v>0.35488001754700033</v>
      </c>
      <c r="BZ102" s="241">
        <f>IF($BB102&lt;&gt;"",$BB102/'Elements and ions'!$G$5,"")</f>
        <v>0.15650731918561436</v>
      </c>
      <c r="CA102" s="91">
        <f t="shared" si="761"/>
        <v>2.7542287033381599E-5</v>
      </c>
      <c r="CB102" s="163" t="str">
        <f>IF($BD102&lt;&gt;"",$BD102/'Elements and ions'!$B$14,"")</f>
        <v/>
      </c>
      <c r="CC102" s="89" t="str">
        <f>IF($BE102&lt;&gt;"",$BE102/'Elements and ions'!$B$27, "")</f>
        <v/>
      </c>
      <c r="CD102" s="249" t="str">
        <f>IF($BF102&lt;&gt;"",$BF102/'Elements and ions'!$B$26,"")</f>
        <v/>
      </c>
      <c r="CE102" s="250">
        <f>IF($BG102&lt;&gt;"",$BG102/'Elements and ions'!$G$6,"")</f>
        <v>0</v>
      </c>
      <c r="CF102" s="91" t="str">
        <f>IF($BH102&lt;&gt;"",$BH102/'Elements and ions'!$G$15,"")</f>
        <v/>
      </c>
      <c r="CG102" s="89" t="str">
        <f>IF($BI102&lt;&gt;"",$BI102/'Elements and ions'!$G$16,"")</f>
        <v/>
      </c>
      <c r="CH102" s="90">
        <f>IF($BJ102&lt;&gt;"",$BJ102/'Elements and ions'!$G$2,"")</f>
        <v>0.28895381250113822</v>
      </c>
      <c r="CI102" s="91" t="str">
        <f>IF($BK102&lt;&gt;"",$BK102/'Elements and ions'!$B$15, "")</f>
        <v/>
      </c>
      <c r="CJ102" s="88" t="str">
        <f>IF($BL102&lt;&gt;"", $BL102/'Elements and ions'!$G$17,"")</f>
        <v/>
      </c>
      <c r="CK102" s="89">
        <f t="shared" si="762"/>
        <v>3.6307805477010048E-4</v>
      </c>
      <c r="CL102" s="163" t="str">
        <f>IF($BN102&lt;&gt;"", $BN102/'Elements and ions'!$G$19,"")</f>
        <v/>
      </c>
      <c r="CM102" s="89">
        <f>IF($BO102&lt;&gt;"",$BO102/'Elements and ions'!$G$4,"")</f>
        <v>9.5681599990172228E-3</v>
      </c>
      <c r="CN102" s="89">
        <f>IF($BP102&lt;&gt;"",$BP102/'Elements and ions'!$B$10,"")</f>
        <v>4.4372150181547889E-3</v>
      </c>
      <c r="CO102" s="104">
        <f>IF($BQ102&lt;&gt;"",$BQ102/'Elements and ions'!$G$18,"")</f>
        <v>0</v>
      </c>
      <c r="CP102" s="242"/>
      <c r="CQ102" s="238">
        <f t="shared" si="771"/>
        <v>6.2914072011078495E-4</v>
      </c>
      <c r="CR102" s="239">
        <f t="shared" si="772"/>
        <v>6.677528178974533E-5</v>
      </c>
      <c r="CS102" s="239">
        <f t="shared" si="773"/>
        <v>2.170000998053795E-3</v>
      </c>
      <c r="CT102" s="241">
        <f t="shared" si="774"/>
        <v>6.1683192758691632E-4</v>
      </c>
      <c r="CU102" s="238">
        <f t="shared" si="775"/>
        <v>5.2580950070695055E-3</v>
      </c>
      <c r="CV102" s="239">
        <f t="shared" si="776"/>
        <v>6.4347727977886202E-4</v>
      </c>
      <c r="CW102" s="239">
        <f t="shared" si="777"/>
        <v>3.5488001754700033E-4</v>
      </c>
      <c r="CX102" s="241">
        <f t="shared" si="778"/>
        <v>1.5650731918561437E-4</v>
      </c>
      <c r="CY102" s="258">
        <f t="shared" si="763"/>
        <v>2.75422870333816E-8</v>
      </c>
      <c r="CZ102" s="259" t="str">
        <f t="shared" si="779"/>
        <v/>
      </c>
      <c r="DA102" s="260" t="str">
        <f t="shared" si="780"/>
        <v/>
      </c>
      <c r="DB102" s="261" t="str">
        <f t="shared" si="781"/>
        <v/>
      </c>
      <c r="DC102" s="262">
        <f t="shared" si="782"/>
        <v>0</v>
      </c>
      <c r="DD102" s="263" t="str">
        <f t="shared" si="783"/>
        <v/>
      </c>
      <c r="DE102" s="259" t="str">
        <f t="shared" si="784"/>
        <v/>
      </c>
      <c r="DF102" s="260">
        <f t="shared" si="785"/>
        <v>2.889538125011382E-4</v>
      </c>
      <c r="DG102" s="260" t="str">
        <f t="shared" si="786"/>
        <v/>
      </c>
      <c r="DH102" s="264" t="str">
        <f t="shared" si="787"/>
        <v/>
      </c>
      <c r="DI102" s="258">
        <f t="shared" si="764"/>
        <v>3.6307805477010047E-7</v>
      </c>
      <c r="DJ102" s="260" t="str">
        <f t="shared" si="788"/>
        <v/>
      </c>
      <c r="DK102" s="260">
        <f t="shared" si="789"/>
        <v>9.5681599990172231E-6</v>
      </c>
      <c r="DL102" s="260">
        <f t="shared" si="790"/>
        <v>4.437215018154789E-6</v>
      </c>
      <c r="DM102" s="265">
        <f t="shared" si="791"/>
        <v>0</v>
      </c>
      <c r="DN102" s="242"/>
      <c r="DO102" s="238">
        <f t="shared" si="792"/>
        <v>0.62914072011078492</v>
      </c>
      <c r="DP102" s="239">
        <f t="shared" si="793"/>
        <v>6.677528178974533E-2</v>
      </c>
      <c r="DQ102" s="239">
        <f t="shared" si="794"/>
        <v>4.3400019961075902</v>
      </c>
      <c r="DR102" s="241">
        <f t="shared" si="795"/>
        <v>1.2336638551738326</v>
      </c>
      <c r="DS102" s="238">
        <f t="shared" si="796"/>
        <v>-5.2580950070695058</v>
      </c>
      <c r="DT102" s="239">
        <f t="shared" si="797"/>
        <v>-0.64347727977886204</v>
      </c>
      <c r="DU102" s="239">
        <f t="shared" si="798"/>
        <v>-0.35488001754700033</v>
      </c>
      <c r="DV102" s="241">
        <f t="shared" si="799"/>
        <v>-0.31301463837122873</v>
      </c>
      <c r="DW102" s="91">
        <f t="shared" si="765"/>
        <v>2.7542287033381599E-5</v>
      </c>
      <c r="DX102" s="89">
        <f t="shared" si="800"/>
        <v>0</v>
      </c>
      <c r="DY102" s="89">
        <f t="shared" si="801"/>
        <v>0</v>
      </c>
      <c r="DZ102" s="89">
        <f t="shared" si="802"/>
        <v>0</v>
      </c>
      <c r="EA102" s="90">
        <f t="shared" si="803"/>
        <v>0</v>
      </c>
      <c r="EB102" s="91">
        <f t="shared" si="766"/>
        <v>-3.6307805477010048E-4</v>
      </c>
      <c r="EC102" s="89">
        <f t="shared" si="804"/>
        <v>0</v>
      </c>
      <c r="ED102" s="89">
        <f t="shared" si="805"/>
        <v>-1.9136319998034446E-2</v>
      </c>
      <c r="EE102" s="89">
        <f t="shared" si="806"/>
        <v>-4.4372150181547889E-3</v>
      </c>
      <c r="EF102" s="90">
        <f t="shared" si="807"/>
        <v>0</v>
      </c>
      <c r="EG102" s="242"/>
      <c r="EH102" s="245">
        <f t="shared" si="808"/>
        <v>6.2696093954689855</v>
      </c>
      <c r="EI102" s="246">
        <f t="shared" si="809"/>
        <v>-6.5934035558375559</v>
      </c>
      <c r="EJ102" s="198">
        <f t="shared" si="810"/>
        <v>-2.5172497422983735</v>
      </c>
      <c r="EK102" s="198">
        <f t="shared" si="811"/>
        <v>1.5251763739962331E-2</v>
      </c>
      <c r="EL102" s="101">
        <f>IF(AND(CS102&lt;&gt;"",DK102&lt;&gt;""),LOG(CS102*DK102/Minerals!$C$6),"")</f>
        <v>0.7974603688075016</v>
      </c>
      <c r="EM102" s="94">
        <f>IF(AND(CS102&lt;&gt;"",DK102&lt;&gt;""),LOG(CS102*DK102/Minerals!$C$5),"")</f>
        <v>0.66698083945128384</v>
      </c>
      <c r="EN102" s="94">
        <f>IF(AND(CS102&lt;&gt;"",DL102&lt;&gt;""),LOG(CS102*DL102^2/Minerals!$C$2),"")</f>
        <v>-2.7993941735006747</v>
      </c>
      <c r="EO102" s="94">
        <f>IF(AND(CS102&lt;&gt;"",CX102&lt;&gt;""),LOG($CS102*$CX102/Minerals!$C$3),"")</f>
        <v>-1.8690250489963365</v>
      </c>
      <c r="EP102" s="95">
        <f>IF(AND(CS102&lt;&gt;"",CX102&lt;&gt;""),LOG($CS102*$CX102/Minerals!$C$4),"")</f>
        <v>-2.1090095604622388</v>
      </c>
      <c r="EQ102" s="199"/>
      <c r="ER102" s="101">
        <f t="shared" si="840"/>
        <v>0.88112720024433633</v>
      </c>
      <c r="ES102" s="94">
        <f t="shared" si="840"/>
        <v>0.88112720024433633</v>
      </c>
      <c r="ET102" s="94">
        <f t="shared" si="841"/>
        <v>0.60277389028731443</v>
      </c>
      <c r="EU102" s="94">
        <f t="shared" si="841"/>
        <v>0.60277389028731443</v>
      </c>
      <c r="EV102" s="95">
        <f t="shared" si="841"/>
        <v>0.60277389028731443</v>
      </c>
      <c r="EW102" s="101">
        <f t="shared" si="842"/>
        <v>0.88112720024433633</v>
      </c>
      <c r="EX102" s="94">
        <f t="shared" si="758"/>
        <v>0.60277389028731443</v>
      </c>
      <c r="EY102" s="94">
        <f t="shared" si="842"/>
        <v>0.88112720024433633</v>
      </c>
      <c r="EZ102" s="94">
        <f t="shared" si="842"/>
        <v>0.88112720024433633</v>
      </c>
      <c r="FA102" s="94">
        <f t="shared" si="842"/>
        <v>0.88112720024433633</v>
      </c>
      <c r="FB102" s="95">
        <f t="shared" si="759"/>
        <v>0.60277389028731443</v>
      </c>
      <c r="FC102" s="199"/>
      <c r="FD102" s="101">
        <f t="shared" si="812"/>
        <v>5.5435300127092157E-4</v>
      </c>
      <c r="FE102" s="94">
        <f t="shared" si="813"/>
        <v>5.8837517088924921E-5</v>
      </c>
      <c r="FF102" s="94">
        <f t="shared" si="814"/>
        <v>1.3080199435242411E-3</v>
      </c>
      <c r="FG102" s="94">
        <f t="shared" si="815"/>
        <v>3.7181018064498858E-4</v>
      </c>
      <c r="FH102" s="95" t="str">
        <f t="shared" si="816"/>
        <v/>
      </c>
      <c r="FI102" s="101">
        <f t="shared" si="817"/>
        <v>4.6330505321978774E-3</v>
      </c>
      <c r="FJ102" s="94">
        <f t="shared" si="818"/>
        <v>5.7674370254990786E-6</v>
      </c>
      <c r="FK102" s="94">
        <f t="shared" si="819"/>
        <v>5.6698533395239015E-4</v>
      </c>
      <c r="FL102" s="94">
        <f t="shared" si="820"/>
        <v>3.1269443628384935E-4</v>
      </c>
      <c r="FM102" s="94">
        <f t="shared" si="821"/>
        <v>3.9097508458288511E-6</v>
      </c>
      <c r="FN102" s="95">
        <f t="shared" si="822"/>
        <v>9.4338525643951208E-5</v>
      </c>
      <c r="FO102" s="199"/>
      <c r="FP102" s="101">
        <f>IF(EL102&lt;&gt;"",LOG(FF102*FJ102/Minerals!$C$6),"")</f>
        <v>0.3577692331672549</v>
      </c>
      <c r="FQ102" s="94">
        <f>IF(EL102&lt;&gt;"",LOG(FF102*FJ102/Minerals!$C$5),"")</f>
        <v>0.22728970381103714</v>
      </c>
      <c r="FR102" s="94">
        <f>IF(EN102&lt;&gt;"",LOG(FF102*FM102^2/Minerals!$C$2),"")</f>
        <v>-3.1291625252308597</v>
      </c>
      <c r="FS102" s="94">
        <f>IF(EO102&lt;&gt;"",LOG($FF102*$FN102/Minerals!$C$3),"")</f>
        <v>-2.3087161846365829</v>
      </c>
      <c r="FT102" s="95">
        <f>IF(EP102&lt;&gt;"",LOG($FF102*$FN102/Minerals!$C$4),"")</f>
        <v>-2.5487006961024856</v>
      </c>
      <c r="FU102" s="96"/>
      <c r="FV102" s="101">
        <f>IF(FP102&lt;&gt;"",LOG(FF102*FJ102/(EXP(-1*Minerals!$E$6/'Other Constants'!$B$2*(1/(273.15+'ppm-mgL-1'!$D102)-1/298.15)+LN(Minerals!$C$6)))),"")</f>
        <v>-1.0634181604450066</v>
      </c>
      <c r="FW102" s="94">
        <f>IF(FP102&lt;&gt;"",LOG(FF102*FJ102/(EXP(-1*Minerals!$E$5/'Other Constants'!$B$2*(1/(273.15+'ppm-mgL-1'!$D102)-1/298.15)+LN(Minerals!$C$5)))),"")</f>
        <v>-1.1940261694088259</v>
      </c>
      <c r="FX102" s="94">
        <f>IF(FR102&lt;&gt;"",LOG(FF102*FM102^2/(EXP(-1*Minerals!$E$2/'Other Constants'!$B$2*(1/(273.15+'ppm-mgL-1'!$D102)-1/298.15)+LN(Minerals!$C$2)))),"")</f>
        <v>-3.069076895409248</v>
      </c>
      <c r="FY102" s="94">
        <f>IF(FS102&lt;&gt;"",LOG($FF102*$FN102/(EXP(-1*Minerals!$E$3/'Other Constants'!$B$2*(1/(273.15+'ppm-mgL-1'!$D102)-1/298.15)+LN(Minerals!$C$3)))),"")</f>
        <v>-1.0836031690065271</v>
      </c>
      <c r="FZ102" s="95">
        <f>IF(FT102&lt;&gt;"",LOG($FF102*$FN102/(EXP(-1*Minerals!$E$4/'Other Constants'!$B$2*(1/(273.15+'ppm-mgL-1'!$D102)-1/298.15)+LN(Minerals!$C$4)))),"")</f>
        <v>-2.5837970422456151</v>
      </c>
      <c r="GA102" s="96"/>
      <c r="GB102" s="96"/>
      <c r="GC102" s="101">
        <f>10^(-1825000*(79.755*EXP(-0.0046*($D102-20))*($D102+273.15))^-1.5*$EK102^0.5/(1+'Elements and ions'!$D$12*$EK102^0.5/(2*(79.755*EXP(-0.0046*($D102-20))*($D102+273.15))^0.5)))</f>
        <v>0.88225140006415681</v>
      </c>
      <c r="GD102" s="94">
        <f>10^(-1825000*(79.755*EXP(-0.0046*($D102-20))*($D102+273.15))^-1.5*$EK102^0.5/(1+'Elements and ions'!$D$20*$EK102^0.5/(2*(79.755*EXP(-0.0046*($D102-20))*($D102+273.15))^0.5)))</f>
        <v>0.87827624355340894</v>
      </c>
      <c r="GE102" s="94">
        <f>10^(-1825000*(79.755*EXP(-0.0046*($D102-20))*($D102+273.15))^-1.5*4*$EK102^0.5/(1+'Elements and ions'!$D$21*$EK102^0.5/(2*(79.755*EXP(-0.0046*($D102-20))*($D102+273.15))^0.5)))</f>
        <v>0.62593331663496732</v>
      </c>
      <c r="GF102" s="94">
        <f>10^(-1825000*(79.755*EXP(-0.0046*($D102-20))*($D102+273.15))^-1.5*4*$EK102^0.5/(1+'Elements and ions'!$D$13*$EK102^0.5/(2*(79.755*EXP(-0.0046*($D102-20))*($D102+273.15))^0.5)))</f>
        <v>0.64410545165555821</v>
      </c>
      <c r="GG102" s="95">
        <f>10^(-1825000*(79.755*EXP(-0.0046*($D102-20))*($D102+273.15))^-1.5*4*$EK102^0.5/(1+'Elements and ions'!$D$27*$EK102^0.5/(2*(79.755*EXP(-0.0046*($D102-20))*($D102+273.15))^0.5)))</f>
        <v>0.62593331663496732</v>
      </c>
      <c r="GH102" s="101">
        <f>10^(-1825000*(79.755*EXP(-0.0046*($D102-20))*($D102+273.15))^-1.5*$EK102^0.5/(1+'Elements and ions'!$G$3*$EK102^0.5/(2*(79.755*EXP(-0.0046*($D102-20))*($D102+273.15))^0.5)))</f>
        <v>0.86759581097043759</v>
      </c>
      <c r="GI102" s="94">
        <f>10^(-1825000*(79.755*EXP(-0.0046*($D102-20))*($D102+273.15))^-1.5*4*$EK102^0.5/(1+'Elements and ions'!$G$4*$EK102^0.5/(2*(79.755*EXP(-0.0046*($D102-20))*($D102+273.15))^0.5)))</f>
        <v>0.56646313530095094</v>
      </c>
      <c r="GJ102" s="94">
        <f>10^(-1825000*(79.755*EXP(-0.0046*($D102-20))*($D102+273.15))^-1.5*$EK102^0.5/(1+'Elements and ions'!$D$18*$EK102^0.5/(2*(79.755*EXP(-0.0046*($D102-20))*($D102+273.15))^0.5)))</f>
        <v>0.87827624355340894</v>
      </c>
      <c r="GK102" s="94">
        <f>10^(-1825000*(79.755*EXP(-0.0046*($D102-20))*($D102+273.15))^-1.5*$EK102^0.5/(1+'Elements and ions'!$I$7*$EK102^0.5/(2*(79.755*EXP(-0.0046*($D102-20))*($D102+273.15))^0.5)))</f>
        <v>0.87827624355340894</v>
      </c>
      <c r="GL102" s="94">
        <f>10^(-1825000*(79.755*EXP(-0.0046*($D102-20))*($D102+273.15))^-1.5*$EK102^0.5/(1+'Elements and ions'!$D$10*$EK102^0.5/(2*(79.755*EXP(-0.0046*($D102-20))*($D102+273.15))^0.5)))</f>
        <v>0.88029676724989359</v>
      </c>
      <c r="GM102" s="95">
        <f>10^(-1825000*(79.755*EXP(-0.0046*($D102-20))*($D102+273.15))^-1.5*4*$EK102^0.5/(1+'Elements and ions'!$I$5*$EK102^0.5/(2*(79.755*EXP(-0.0046*($D102-20))*($D102+273.15))^0.5)))</f>
        <v>0.60585601629644004</v>
      </c>
      <c r="GN102" s="96"/>
      <c r="GO102" s="101">
        <f t="shared" si="823"/>
        <v>5.5506028115511179E-4</v>
      </c>
      <c r="GP102" s="94">
        <f t="shared" si="824"/>
        <v>5.8647143652517883E-5</v>
      </c>
      <c r="GQ102" s="94">
        <f t="shared" si="825"/>
        <v>1.3582759218130013E-3</v>
      </c>
      <c r="GR102" s="94">
        <f t="shared" si="826"/>
        <v>3.9730480731393929E-4</v>
      </c>
      <c r="GS102" s="95" t="str">
        <f t="shared" si="827"/>
        <v/>
      </c>
      <c r="GT102" s="101">
        <f t="shared" si="828"/>
        <v>4.5619012018180763E-3</v>
      </c>
      <c r="GU102" s="94">
        <f t="shared" si="829"/>
        <v>5.4200099121044402E-6</v>
      </c>
      <c r="GV102" s="94">
        <f t="shared" si="830"/>
        <v>5.6515080809614484E-4</v>
      </c>
      <c r="GW102" s="94">
        <f t="shared" si="831"/>
        <v>3.1168268872334732E-4</v>
      </c>
      <c r="GX102" s="94">
        <f t="shared" si="832"/>
        <v>3.9060660360743388E-6</v>
      </c>
      <c r="GY102" s="102">
        <f t="shared" si="833"/>
        <v>9.4820900923031724E-5</v>
      </c>
      <c r="GZ102" s="199"/>
      <c r="HA102" s="92">
        <f>IF(AND(GQ102&lt;&gt;"",GU102&lt;&gt;""),LOG(GQ102*GU102/Minerals!$C$6),"")</f>
        <v>0.34716008901308176</v>
      </c>
      <c r="HB102" s="94">
        <f>IF(AND(GQ102&lt;&gt;"",GU102&lt;&gt;""),LOG(GQ102*GU102/Minerals!$C$5),"")</f>
        <v>0.21668055965686409</v>
      </c>
      <c r="HC102" s="94">
        <f>IF(AND(GQ102&lt;&gt;"",GX102&lt;&gt;""),LOG(GQ102*GX102^2/Minerals!$C$2),"")</f>
        <v>-3.1136078911192882</v>
      </c>
      <c r="HD102" s="94">
        <f>IF(AND(GQ102&lt;&gt;"",GY102&lt;&gt;""),LOG($GQ102*$GY102/Minerals!$C$3),"")</f>
        <v>-2.2901275556822189</v>
      </c>
      <c r="HE102" s="102">
        <f>IF(AND(GQ102&lt;&gt;"",GY102&lt;&gt;""),LOG($GQ102*$GY102/Minerals!$C$3),"")</f>
        <v>-2.2901275556822189</v>
      </c>
      <c r="HF102" s="199"/>
      <c r="HG102" s="92">
        <f>IF(HA102&lt;&gt;"",LOG(GQ102*GU102/(EXP(-1*Minerals!$E$6/'Other Constants'!$B$2*(1/(273.15+'ppm-mgL-1'!$D102)-1/298.15)+LN(Minerals!$C$6)))),"")</f>
        <v>-1.0740273045991797</v>
      </c>
      <c r="HH102" s="94">
        <f>IF(HA102&lt;&gt;"",LOG(GQ102*GU102/(EXP(-1*Minerals!$E$5/'Other Constants'!$B$2*(1/(273.15+'ppm-mgL-1'!$D102)-1/298.15)+LN(Minerals!$C$5)))),"")</f>
        <v>-1.204635313562999</v>
      </c>
      <c r="HI102" s="94">
        <f>IF(HC102&lt;&gt;"",LOG(GQ102*GX102^2/(EXP(-1*Minerals!$E$2/'Other Constants'!$B$2*(1/(273.15+'ppm-mgL-1'!$D102)-1/298.15)+LN(Minerals!$C$2)))),"")</f>
        <v>-3.0535222612976765</v>
      </c>
      <c r="HJ102" s="94">
        <f>IF(HD102&lt;&gt;"",LOG($FF102*$FN102/(EXP(-1*Minerals!$E$3/'Other Constants'!$B$2*(1/(273.15+'ppm-mgL-1'!$D102)-1/298.15)+LN(Minerals!$C$3)))),"")</f>
        <v>-1.0836031690065271</v>
      </c>
      <c r="HK102" s="95">
        <f>IF(HE102&lt;&gt;"",LOG($FF102*$FN102/(EXP(-1*Minerals!$E$4/'Other Constants'!$B$2*(1/(273.15+'ppm-mgL-1'!$D102)-1/298.15)+LN(Minerals!$C$4)))),"")</f>
        <v>-2.5837970422456151</v>
      </c>
      <c r="HL102" s="199"/>
      <c r="HM102" s="199"/>
    </row>
    <row r="103" spans="1:221" x14ac:dyDescent="0.25">
      <c r="A103" s="267" t="str">
        <f>'WC samples'!B74</f>
        <v>ISST Direct</v>
      </c>
      <c r="C103" s="266">
        <f>'WC samples'!A74</f>
        <v>41566</v>
      </c>
      <c r="D103" s="4">
        <f>'WC samples'!I74</f>
        <v>24.7</v>
      </c>
      <c r="E103" s="4">
        <f>'WC samples'!F74</f>
        <v>7.78</v>
      </c>
      <c r="AD103" s="83">
        <f>IF(E103&lt;&gt;"",10^(-2*$E103)/(10^(-2*$E103)+10^(-$E103-pKa!$B$2)+(10^(-pKa!$B$2-pKa!$C$2))),"")</f>
        <v>3.1958358731090791E-2</v>
      </c>
      <c r="AE103" s="84">
        <f>IF(E103&lt;&gt;"",10^(-$E103-pKa!$B$2)/(10^(-2*$E103)+10^(-$E103-pKa!$B$2)+10^(-pKa!$B$2-pKa!$C$2)),"")</f>
        <v>0.96512700431183129</v>
      </c>
      <c r="AF103" s="212">
        <f>IF(E103&lt;&gt;"",10^(-pKa!$B$2-pKa!$C$2)/(10^(-2*$E103)+10^(-$E103-pKa!$B$2)+10^(-pKa!$B$2-pKa!$C$2)),"")</f>
        <v>2.9146369570779459E-3</v>
      </c>
      <c r="AG103" s="152"/>
      <c r="AH103" s="222">
        <f>IF($AK103&lt;&gt;"",$AK103/'Elements and ions'!$G$3,IF($E103="","",""))</f>
        <v>4.6544527707432906</v>
      </c>
      <c r="AI103" s="85">
        <f t="shared" si="770"/>
        <v>4.7936784478942963E-3</v>
      </c>
      <c r="AJ103" s="84">
        <f>IF(AI103&lt;&gt;"",AI103*1000*'Elements and ions'!$B$7,"")</f>
        <v>57.575433734124026</v>
      </c>
      <c r="AK103" s="99">
        <f>'WC samples'!H74</f>
        <v>284</v>
      </c>
      <c r="AL103" s="88">
        <f>IF($AK103&lt;&gt;"",$AK103/'Elements and ions'!$G$3*Minerals!$B$6/2,IF($E103="","","Enter Alk(HCO3-)"))</f>
        <v>232.92487451005331</v>
      </c>
      <c r="AM103" s="199"/>
      <c r="AN103" s="101">
        <f t="shared" si="837"/>
        <v>1.5319809547930443E-4</v>
      </c>
      <c r="AO103" s="94">
        <f t="shared" si="838"/>
        <v>4.6265085200504113E-3</v>
      </c>
      <c r="AP103" s="95">
        <f t="shared" si="839"/>
        <v>1.3971832364580763E-5</v>
      </c>
      <c r="AQ103" s="199"/>
      <c r="AR103" s="199"/>
      <c r="AS103" s="83">
        <f t="shared" si="760"/>
        <v>0.45058263376266006</v>
      </c>
      <c r="AT103" s="83">
        <f>IF(AN103&lt;&gt;"",AN103/'Henrys law constants'!$B$7*1000000,"")</f>
        <v>4505.8263376266004</v>
      </c>
      <c r="AU103" s="268">
        <f>'WC samples'!K74</f>
        <v>12.1632</v>
      </c>
      <c r="AV103" s="269">
        <f>'WC samples'!M74</f>
        <v>2.4958999999999998</v>
      </c>
      <c r="AW103" s="269">
        <f>'WC samples'!O74</f>
        <v>79.558700000000002</v>
      </c>
      <c r="AX103" s="269">
        <f>'WC samples'!N74</f>
        <v>13.620699999999999</v>
      </c>
      <c r="AY103" s="226">
        <f>AO103*'Elements and ions'!$G$3*1000</f>
        <v>282.29493012655269</v>
      </c>
      <c r="AZ103" s="269">
        <f>'WC samples'!Q74</f>
        <v>14.0985</v>
      </c>
      <c r="BA103" s="269">
        <f>'WC samples'!T74</f>
        <v>17.555199999999999</v>
      </c>
      <c r="BB103" s="270">
        <f>'WC samples'!V74</f>
        <v>11.2989</v>
      </c>
      <c r="BC103" s="222">
        <f>IF($E103&lt;&gt;"",10^-$E103*'Elements and ions'!B107*1000,"")</f>
        <v>0</v>
      </c>
      <c r="BE103" s="6"/>
      <c r="BF103" s="6"/>
      <c r="BG103" s="270">
        <f>'WC samples'!L74</f>
        <v>0</v>
      </c>
      <c r="BH103" s="3"/>
      <c r="BJ103" s="92">
        <f>IF($AN103&lt;&gt;"",$AN103*'Elements and ions'!$G$2*1000,"")</f>
        <v>9.5020781685228499</v>
      </c>
      <c r="BK103" s="229"/>
      <c r="BL103" s="230"/>
      <c r="BM103" s="101">
        <f>IF($E103&lt;&gt;"",(10^-14+$E103)*'Elements and ions'!$G$8,"")</f>
        <v>132.31710520000016</v>
      </c>
      <c r="BO103" s="102">
        <f>IF($AP103&lt;&gt;"",$AP103*'Elements and ions'!$G$4*1000,"")</f>
        <v>0.83843429118289048</v>
      </c>
      <c r="BP103" s="269">
        <f>'WC samples'!P74</f>
        <v>9.3200000000000005E-2</v>
      </c>
      <c r="BQ103" s="270">
        <f>'WC samples'!R74</f>
        <v>0</v>
      </c>
      <c r="BR103" s="195"/>
      <c r="BS103" s="238">
        <f>IF($AU103&lt;&gt;"",$AU103/'Elements and ions'!$B$12,"")</f>
        <v>0.52907012035920697</v>
      </c>
      <c r="BT103" s="239">
        <f>IF($AV103&lt;&gt;"",$AV103/'Elements and ions'!$B$20,"")</f>
        <v>6.3836535092318583E-2</v>
      </c>
      <c r="BU103" s="239">
        <f>IF($AW103&lt;&gt;"",$AW103/'Elements and ions'!$B$21, "")</f>
        <v>1.9850965617046759</v>
      </c>
      <c r="BV103" s="240">
        <f>IF($AX103&lt;&gt;"",$AX103/'Elements and ions'!$B$13, "")</f>
        <v>0.5604073235959679</v>
      </c>
      <c r="BW103" s="238">
        <f>IF($AY103&lt;&gt;"",$AY103/'Elements and ions'!$G$3,"")</f>
        <v>4.626508520050411</v>
      </c>
      <c r="BX103" s="239">
        <f>IF($AZ103&lt;&gt;"",$AZ103/'Elements and ions'!$B$18,"")</f>
        <v>0.39766733421713252</v>
      </c>
      <c r="BY103" s="239">
        <f>IF($BA103&lt;&gt;"",$BA103/'Elements and ions'!$G$7,"")</f>
        <v>0.28312601100880735</v>
      </c>
      <c r="BZ103" s="241">
        <f>IF($BB103&lt;&gt;"",$BB103/'Elements and ions'!$G$5,"")</f>
        <v>0.11762017684301694</v>
      </c>
      <c r="CA103" s="91">
        <f t="shared" si="761"/>
        <v>1.6595869074375541E-5</v>
      </c>
      <c r="CB103" s="163" t="str">
        <f>IF($BD103&lt;&gt;"",$BD103/'Elements and ions'!$B$14,"")</f>
        <v/>
      </c>
      <c r="CC103" s="89" t="str">
        <f>IF($BE103&lt;&gt;"",$BE103/'Elements and ions'!$B$27, "")</f>
        <v/>
      </c>
      <c r="CD103" s="249" t="str">
        <f>IF($BF103&lt;&gt;"",$BF103/'Elements and ions'!$B$26,"")</f>
        <v/>
      </c>
      <c r="CE103" s="250">
        <f>IF($BG103&lt;&gt;"",$BG103/'Elements and ions'!$G$6,"")</f>
        <v>0</v>
      </c>
      <c r="CF103" s="91" t="str">
        <f>IF($BH103&lt;&gt;"",$BH103/'Elements and ions'!$G$15,"")</f>
        <v/>
      </c>
      <c r="CG103" s="89" t="str">
        <f>IF($BI103&lt;&gt;"",$BI103/'Elements and ions'!$G$16,"")</f>
        <v/>
      </c>
      <c r="CH103" s="90">
        <f>IF($BJ103&lt;&gt;"",$BJ103/'Elements and ions'!$G$2,"")</f>
        <v>0.15319809547930441</v>
      </c>
      <c r="CI103" s="91" t="str">
        <f>IF($BK103&lt;&gt;"",$BK103/'Elements and ions'!$B$15, "")</f>
        <v/>
      </c>
      <c r="CJ103" s="88" t="str">
        <f>IF($BL103&lt;&gt;"", $BL103/'Elements and ions'!$G$17,"")</f>
        <v/>
      </c>
      <c r="CK103" s="89">
        <f t="shared" si="762"/>
        <v>6.0255958607435725E-4</v>
      </c>
      <c r="CL103" s="163" t="str">
        <f>IF($BN103&lt;&gt;"", $BN103/'Elements and ions'!$G$19,"")</f>
        <v/>
      </c>
      <c r="CM103" s="89">
        <f>IF($BO103&lt;&gt;"",$BO103/'Elements and ions'!$G$4,"")</f>
        <v>1.3971832364580763E-2</v>
      </c>
      <c r="CN103" s="89">
        <f>IF($BP103&lt;&gt;"",$BP103/'Elements and ions'!$B$10,"")</f>
        <v>4.9056754411865525E-3</v>
      </c>
      <c r="CO103" s="104">
        <f>IF($BQ103&lt;&gt;"",$BQ103/'Elements and ions'!$G$18,"")</f>
        <v>0</v>
      </c>
      <c r="CP103" s="242"/>
      <c r="CQ103" s="238">
        <f t="shared" si="771"/>
        <v>5.2907012035920695E-4</v>
      </c>
      <c r="CR103" s="239">
        <f t="shared" si="772"/>
        <v>6.3836535092318589E-5</v>
      </c>
      <c r="CS103" s="239">
        <f t="shared" si="773"/>
        <v>1.9850965617046758E-3</v>
      </c>
      <c r="CT103" s="241">
        <f t="shared" si="774"/>
        <v>5.6040732359596791E-4</v>
      </c>
      <c r="CU103" s="238">
        <f t="shared" si="775"/>
        <v>4.6265085200504113E-3</v>
      </c>
      <c r="CV103" s="239">
        <f t="shared" si="776"/>
        <v>3.9766733421713252E-4</v>
      </c>
      <c r="CW103" s="239">
        <f t="shared" si="777"/>
        <v>2.8312601100880734E-4</v>
      </c>
      <c r="CX103" s="241">
        <f t="shared" si="778"/>
        <v>1.1762017684301694E-4</v>
      </c>
      <c r="CY103" s="258">
        <f t="shared" si="763"/>
        <v>1.6595869074375541E-8</v>
      </c>
      <c r="CZ103" s="259" t="str">
        <f t="shared" si="779"/>
        <v/>
      </c>
      <c r="DA103" s="260" t="str">
        <f t="shared" si="780"/>
        <v/>
      </c>
      <c r="DB103" s="261" t="str">
        <f t="shared" si="781"/>
        <v/>
      </c>
      <c r="DC103" s="262">
        <f t="shared" si="782"/>
        <v>0</v>
      </c>
      <c r="DD103" s="263" t="str">
        <f t="shared" si="783"/>
        <v/>
      </c>
      <c r="DE103" s="259" t="str">
        <f t="shared" si="784"/>
        <v/>
      </c>
      <c r="DF103" s="260">
        <f t="shared" si="785"/>
        <v>1.531980954793044E-4</v>
      </c>
      <c r="DG103" s="260" t="str">
        <f t="shared" si="786"/>
        <v/>
      </c>
      <c r="DH103" s="264" t="str">
        <f t="shared" si="787"/>
        <v/>
      </c>
      <c r="DI103" s="258">
        <f t="shared" si="764"/>
        <v>6.0255958607435721E-7</v>
      </c>
      <c r="DJ103" s="260" t="str">
        <f t="shared" si="788"/>
        <v/>
      </c>
      <c r="DK103" s="260">
        <f t="shared" si="789"/>
        <v>1.3971832364580763E-5</v>
      </c>
      <c r="DL103" s="260">
        <f t="shared" si="790"/>
        <v>4.9056754411865527E-6</v>
      </c>
      <c r="DM103" s="265">
        <f t="shared" si="791"/>
        <v>0</v>
      </c>
      <c r="DN103" s="242"/>
      <c r="DO103" s="238">
        <f t="shared" si="792"/>
        <v>0.52907012035920697</v>
      </c>
      <c r="DP103" s="239">
        <f t="shared" si="793"/>
        <v>6.3836535092318583E-2</v>
      </c>
      <c r="DQ103" s="239">
        <f t="shared" si="794"/>
        <v>3.9701931234093517</v>
      </c>
      <c r="DR103" s="241">
        <f t="shared" si="795"/>
        <v>1.1208146471919358</v>
      </c>
      <c r="DS103" s="238">
        <f t="shared" si="796"/>
        <v>-4.626508520050411</v>
      </c>
      <c r="DT103" s="239">
        <f t="shared" si="797"/>
        <v>-0.39766733421713252</v>
      </c>
      <c r="DU103" s="239">
        <f t="shared" si="798"/>
        <v>-0.28312601100880735</v>
      </c>
      <c r="DV103" s="241">
        <f t="shared" si="799"/>
        <v>-0.23524035368603388</v>
      </c>
      <c r="DW103" s="91">
        <f t="shared" si="765"/>
        <v>1.6595869074375541E-5</v>
      </c>
      <c r="DX103" s="89">
        <f t="shared" si="800"/>
        <v>0</v>
      </c>
      <c r="DY103" s="89">
        <f t="shared" si="801"/>
        <v>0</v>
      </c>
      <c r="DZ103" s="89">
        <f t="shared" si="802"/>
        <v>0</v>
      </c>
      <c r="EA103" s="90">
        <f t="shared" si="803"/>
        <v>0</v>
      </c>
      <c r="EB103" s="91">
        <f t="shared" si="766"/>
        <v>-6.0255958607435725E-4</v>
      </c>
      <c r="EC103" s="89">
        <f t="shared" si="804"/>
        <v>0</v>
      </c>
      <c r="ED103" s="89">
        <f t="shared" si="805"/>
        <v>-2.7943664729161526E-2</v>
      </c>
      <c r="EE103" s="89">
        <f t="shared" si="806"/>
        <v>-4.9056754411865525E-3</v>
      </c>
      <c r="EF103" s="90">
        <f t="shared" si="807"/>
        <v>0</v>
      </c>
      <c r="EG103" s="242"/>
      <c r="EH103" s="245">
        <f t="shared" si="808"/>
        <v>5.6839310219218877</v>
      </c>
      <c r="EI103" s="246">
        <f t="shared" si="809"/>
        <v>-5.575994118718806</v>
      </c>
      <c r="EJ103" s="198">
        <f t="shared" si="810"/>
        <v>0.95859343516861117</v>
      </c>
      <c r="EK103" s="198">
        <f t="shared" si="811"/>
        <v>1.3605053346659174E-2</v>
      </c>
      <c r="EL103" s="101">
        <f>IF(AND(CS103&lt;&gt;"",DK103&lt;&gt;""),LOG(CS103*DK103/Minerals!$C$6),"")</f>
        <v>0.92320700965545177</v>
      </c>
      <c r="EM103" s="94">
        <f>IF(AND(CS103&lt;&gt;"",DK103&lt;&gt;""),LOG(CS103*DK103/Minerals!$C$5),"")</f>
        <v>0.79272748029923401</v>
      </c>
      <c r="EN103" s="94">
        <f>IF(AND(CS103&lt;&gt;"",DL103&lt;&gt;""),LOG(CS103*DL103^2/Minerals!$C$2),"")</f>
        <v>-2.7508957944946597</v>
      </c>
      <c r="EO103" s="94">
        <f>IF(AND(CS103&lt;&gt;"",CX103&lt;&gt;""),LOG($CS103*$CX103/Minerals!$C$3),"")</f>
        <v>-2.0317561698906821</v>
      </c>
      <c r="EP103" s="95">
        <f>IF(AND(CS103&lt;&gt;"",CX103&lt;&gt;""),LOG($CS103*$CX103/Minerals!$C$4),"")</f>
        <v>-2.2717406813565848</v>
      </c>
      <c r="EQ103" s="199"/>
      <c r="ER103" s="101">
        <f t="shared" si="840"/>
        <v>0.88668958156507194</v>
      </c>
      <c r="ES103" s="94">
        <f t="shared" si="840"/>
        <v>0.88668958156507194</v>
      </c>
      <c r="ET103" s="94">
        <f t="shared" si="841"/>
        <v>0.61813939460079848</v>
      </c>
      <c r="EU103" s="94">
        <f t="shared" si="841"/>
        <v>0.61813939460079848</v>
      </c>
      <c r="EV103" s="95">
        <f t="shared" si="841"/>
        <v>0.61813939460079848</v>
      </c>
      <c r="EW103" s="101">
        <f t="shared" si="842"/>
        <v>0.88668958156507194</v>
      </c>
      <c r="EX103" s="94">
        <f t="shared" si="758"/>
        <v>0.61813939460079848</v>
      </c>
      <c r="EY103" s="94">
        <f t="shared" si="842"/>
        <v>0.88668958156507194</v>
      </c>
      <c r="EZ103" s="94">
        <f t="shared" si="842"/>
        <v>0.88668958156507194</v>
      </c>
      <c r="FA103" s="94">
        <f t="shared" si="842"/>
        <v>0.88668958156507194</v>
      </c>
      <c r="FB103" s="95">
        <f t="shared" si="759"/>
        <v>0.61813939460079848</v>
      </c>
      <c r="FC103" s="199"/>
      <c r="FD103" s="101">
        <f t="shared" si="812"/>
        <v>4.6912096363988746E-4</v>
      </c>
      <c r="FE103" s="94">
        <f t="shared" si="813"/>
        <v>5.6603190589571997E-5</v>
      </c>
      <c r="FF103" s="94">
        <f t="shared" si="814"/>
        <v>1.227066386876255E-3</v>
      </c>
      <c r="FG103" s="94">
        <f t="shared" si="815"/>
        <v>3.4640984373746536E-4</v>
      </c>
      <c r="FH103" s="95" t="str">
        <f t="shared" si="816"/>
        <v/>
      </c>
      <c r="FI103" s="101">
        <f t="shared" si="817"/>
        <v>4.1022769037507394E-3</v>
      </c>
      <c r="FJ103" s="94">
        <f t="shared" si="818"/>
        <v>8.636539999305796E-6</v>
      </c>
      <c r="FK103" s="94">
        <f t="shared" si="819"/>
        <v>3.5260748217908687E-4</v>
      </c>
      <c r="FL103" s="94">
        <f t="shared" si="820"/>
        <v>2.5104488423158733E-4</v>
      </c>
      <c r="FM103" s="94">
        <f t="shared" si="821"/>
        <v>4.3498113042397541E-6</v>
      </c>
      <c r="FN103" s="95">
        <f t="shared" si="822"/>
        <v>7.2705664906581348E-5</v>
      </c>
      <c r="FO103" s="199"/>
      <c r="FP103" s="101">
        <f>IF(EL103&lt;&gt;"",LOG(FF103*FJ103/Minerals!$C$6),"")</f>
        <v>0.50537985458882029</v>
      </c>
      <c r="FQ103" s="94">
        <f>IF(EL103&lt;&gt;"",LOG(FF103*FJ103/Minerals!$C$5),"")</f>
        <v>0.37490032523260264</v>
      </c>
      <c r="FR103" s="94">
        <f>IF(EN103&lt;&gt;"",LOG(FF103*FM103^2/Minerals!$C$2),"")</f>
        <v>-3.0642661607946331</v>
      </c>
      <c r="FS103" s="94">
        <f>IF(EO103&lt;&gt;"",LOG($FF103*$FN103/Minerals!$C$3),"")</f>
        <v>-2.4495833249573136</v>
      </c>
      <c r="FT103" s="95">
        <f>IF(EP103&lt;&gt;"",LOG($FF103*$FN103/Minerals!$C$4),"")</f>
        <v>-2.6895678364232163</v>
      </c>
      <c r="FU103" s="96"/>
      <c r="FV103" s="101">
        <f>IF(FP103&lt;&gt;"",LOG(FF103*FJ103/(EXP(-1*Minerals!$E$6/'Other Constants'!$B$2*(1/(273.15+'ppm-mgL-1'!$D103)-1/298.15)+LN(Minerals!$C$6)))),"")</f>
        <v>0.38825973070417991</v>
      </c>
      <c r="FW103" s="94">
        <f>IF(FP103&lt;&gt;"",LOG(FF103*FJ103/(EXP(-1*Minerals!$E$5/'Other Constants'!$B$2*(1/(273.15+'ppm-mgL-1'!$D103)-1/298.15)+LN(Minerals!$C$5)))),"")</f>
        <v>0.25776961333710208</v>
      </c>
      <c r="FX103" s="94">
        <f>IF(FR103&lt;&gt;"",LOG(FF103*FM103^2/(EXP(-1*Minerals!$E$2/'Other Constants'!$B$2*(1/(273.15+'ppm-mgL-1'!$D103)-1/298.15)+LN(Minerals!$C$2)))),"")</f>
        <v>-3.0593145010486889</v>
      </c>
      <c r="FY103" s="94">
        <f>IF(FS103&lt;&gt;"",LOG($FF103*$FN103/(EXP(-1*Minerals!$E$3/'Other Constants'!$B$2*(1/(273.15+'ppm-mgL-1'!$D103)-1/298.15)+LN(Minerals!$C$3)))),"")</f>
        <v>-2.3486217003269556</v>
      </c>
      <c r="FZ103" s="95">
        <f>IF(FT103&lt;&gt;"",LOG($FF103*$FN103/(EXP(-1*Minerals!$E$4/'Other Constants'!$B$2*(1/(273.15+'ppm-mgL-1'!$D103)-1/298.15)+LN(Minerals!$C$4)))),"")</f>
        <v>-2.6924601280567169</v>
      </c>
      <c r="GA103" s="96"/>
      <c r="GB103" s="96"/>
      <c r="GC103" s="101">
        <f>10^(-1825000*(79.755*EXP(-0.0046*($D103-20))*($D103+273.15))^-1.5*$EK103^0.5/(1+'Elements and ions'!$D$12*$EK103^0.5/(2*(79.755*EXP(-0.0046*($D103-20))*($D103+273.15))^0.5)))</f>
        <v>0.88697721401601015</v>
      </c>
      <c r="GD103" s="94">
        <f>10^(-1825000*(79.755*EXP(-0.0046*($D103-20))*($D103+273.15))^-1.5*$EK103^0.5/(1+'Elements and ions'!$D$20*$EK103^0.5/(2*(79.755*EXP(-0.0046*($D103-20))*($D103+273.15))^0.5)))</f>
        <v>0.88333447828308653</v>
      </c>
      <c r="GE103" s="94">
        <f>10^(-1825000*(79.755*EXP(-0.0046*($D103-20))*($D103+273.15))^-1.5*4*$EK103^0.5/(1+'Elements and ions'!$D$21*$EK103^0.5/(2*(79.755*EXP(-0.0046*($D103-20))*($D103+273.15))^0.5)))</f>
        <v>0.63769589667708548</v>
      </c>
      <c r="GF103" s="94">
        <f>10^(-1825000*(79.755*EXP(-0.0046*($D103-20))*($D103+273.15))^-1.5*4*$EK103^0.5/(1+'Elements and ions'!$D$13*$EK103^0.5/(2*(79.755*EXP(-0.0046*($D103-20))*($D103+273.15))^0.5)))</f>
        <v>0.65472458742587059</v>
      </c>
      <c r="GG103" s="95">
        <f>10^(-1825000*(79.755*EXP(-0.0046*($D103-20))*($D103+273.15))^-1.5*4*$EK103^0.5/(1+'Elements and ions'!$D$27*$EK103^0.5/(2*(79.755*EXP(-0.0046*($D103-20))*($D103+273.15))^0.5)))</f>
        <v>0.63769589667708548</v>
      </c>
      <c r="GH103" s="101">
        <f>10^(-1825000*(79.755*EXP(-0.0046*($D103-20))*($D103+273.15))^-1.5*$EK103^0.5/(1+'Elements and ions'!$G$3*$EK103^0.5/(2*(79.755*EXP(-0.0046*($D103-20))*($D103+273.15))^0.5)))</f>
        <v>0.87360011793976822</v>
      </c>
      <c r="GI103" s="94">
        <f>10^(-1825000*(79.755*EXP(-0.0046*($D103-20))*($D103+273.15))^-1.5*4*$EK103^0.5/(1+'Elements and ions'!$G$4*$EK103^0.5/(2*(79.755*EXP(-0.0046*($D103-20))*($D103+273.15))^0.5)))</f>
        <v>0.58232074377482612</v>
      </c>
      <c r="GJ103" s="94">
        <f>10^(-1825000*(79.755*EXP(-0.0046*($D103-20))*($D103+273.15))^-1.5*$EK103^0.5/(1+'Elements and ions'!$D$18*$EK103^0.5/(2*(79.755*EXP(-0.0046*($D103-20))*($D103+273.15))^0.5)))</f>
        <v>0.88333447828308653</v>
      </c>
      <c r="GK103" s="94">
        <f>10^(-1825000*(79.755*EXP(-0.0046*($D103-20))*($D103+273.15))^-1.5*$EK103^0.5/(1+'Elements and ions'!$I$7*$EK103^0.5/(2*(79.755*EXP(-0.0046*($D103-20))*($D103+273.15))^0.5)))</f>
        <v>0.88333447828308653</v>
      </c>
      <c r="GL103" s="94">
        <f>10^(-1825000*(79.755*EXP(-0.0046*($D103-20))*($D103+273.15))^-1.5*$EK103^0.5/(1+'Elements and ions'!$D$10*$EK103^0.5/(2*(79.755*EXP(-0.0046*($D103-20))*($D103+273.15))^0.5)))</f>
        <v>0.88518469401499844</v>
      </c>
      <c r="GM103" s="95">
        <f>10^(-1825000*(79.755*EXP(-0.0046*($D103-20))*($D103+273.15))^-1.5*4*$EK103^0.5/(1+'Elements and ions'!$I$5*$EK103^0.5/(2*(79.755*EXP(-0.0046*($D103-20))*($D103+273.15))^0.5)))</f>
        <v>0.61894185573079397</v>
      </c>
      <c r="GN103" s="96"/>
      <c r="GO103" s="101">
        <f t="shared" si="823"/>
        <v>4.6927314137532456E-4</v>
      </c>
      <c r="GP103" s="94">
        <f t="shared" si="824"/>
        <v>5.6389012421173185E-5</v>
      </c>
      <c r="GQ103" s="94">
        <f t="shared" si="825"/>
        <v>1.2658879319068627E-3</v>
      </c>
      <c r="GR103" s="94">
        <f t="shared" si="826"/>
        <v>3.6691245373180641E-4</v>
      </c>
      <c r="GS103" s="95" t="str">
        <f t="shared" si="827"/>
        <v/>
      </c>
      <c r="GT103" s="101">
        <f t="shared" si="828"/>
        <v>4.0417183887653816E-3</v>
      </c>
      <c r="GU103" s="94">
        <f t="shared" si="829"/>
        <v>8.1360878144398574E-6</v>
      </c>
      <c r="GV103" s="94">
        <f t="shared" si="830"/>
        <v>3.5127326720091654E-4</v>
      </c>
      <c r="GW103" s="94">
        <f t="shared" si="831"/>
        <v>2.5009496722283624E-4</v>
      </c>
      <c r="GX103" s="94">
        <f t="shared" si="832"/>
        <v>4.3424288143436115E-6</v>
      </c>
      <c r="GY103" s="102">
        <f t="shared" si="833"/>
        <v>7.2800050526601072E-5</v>
      </c>
      <c r="GZ103" s="199"/>
      <c r="HA103" s="92">
        <f>IF(AND(GQ103&lt;&gt;"",GU103&lt;&gt;""),LOG(GQ103*GU103/Minerals!$C$6),"")</f>
        <v>0.49298289321622629</v>
      </c>
      <c r="HB103" s="94">
        <f>IF(AND(GQ103&lt;&gt;"",GU103&lt;&gt;""),LOG(GQ103*GU103/Minerals!$C$5),"")</f>
        <v>0.36250336386000853</v>
      </c>
      <c r="HC103" s="94">
        <f>IF(AND(GQ103&lt;&gt;"",GX103&lt;&gt;""),LOG(GQ103*GX103^2/Minerals!$C$2),"")</f>
        <v>-3.0522143803961566</v>
      </c>
      <c r="HD103" s="94">
        <f>IF(AND(GQ103&lt;&gt;"",GY103&lt;&gt;""),LOG($GQ103*$GY103/Minerals!$C$3),"")</f>
        <v>-2.4354926947077078</v>
      </c>
      <c r="HE103" s="102">
        <f>IF(AND(GQ103&lt;&gt;"",GY103&lt;&gt;""),LOG($GQ103*$GY103/Minerals!$C$3),"")</f>
        <v>-2.4354926947077078</v>
      </c>
      <c r="HF103" s="199"/>
      <c r="HG103" s="92">
        <f>IF(HA103&lt;&gt;"",LOG(GQ103*GU103/(EXP(-1*Minerals!$E$6/'Other Constants'!$B$2*(1/(273.15+'ppm-mgL-1'!$D103)-1/298.15)+LN(Minerals!$C$6)))),"")</f>
        <v>0.37586276933158591</v>
      </c>
      <c r="HH103" s="94">
        <f>IF(HA103&lt;&gt;"",LOG(GQ103*GU103/(EXP(-1*Minerals!$E$5/'Other Constants'!$B$2*(1/(273.15+'ppm-mgL-1'!$D103)-1/298.15)+LN(Minerals!$C$5)))),"")</f>
        <v>0.24537265196450808</v>
      </c>
      <c r="HI103" s="94">
        <f>IF(HC103&lt;&gt;"",LOG(GQ103*GX103^2/(EXP(-1*Minerals!$E$2/'Other Constants'!$B$2*(1/(273.15+'ppm-mgL-1'!$D103)-1/298.15)+LN(Minerals!$C$2)))),"")</f>
        <v>-3.0472627206502123</v>
      </c>
      <c r="HJ103" s="94">
        <f>IF(HD103&lt;&gt;"",LOG($FF103*$FN103/(EXP(-1*Minerals!$E$3/'Other Constants'!$B$2*(1/(273.15+'ppm-mgL-1'!$D103)-1/298.15)+LN(Minerals!$C$3)))),"")</f>
        <v>-2.3486217003269556</v>
      </c>
      <c r="HK103" s="95">
        <f>IF(HE103&lt;&gt;"",LOG($FF103*$FN103/(EXP(-1*Minerals!$E$4/'Other Constants'!$B$2*(1/(273.15+'ppm-mgL-1'!$D103)-1/298.15)+LN(Minerals!$C$4)))),"")</f>
        <v>-2.6924601280567169</v>
      </c>
      <c r="HL103" s="199"/>
      <c r="HM103" s="199"/>
    </row>
    <row r="104" spans="1:221" x14ac:dyDescent="0.25">
      <c r="A104" s="267" t="str">
        <f>'WC samples'!B75</f>
        <v>ISST Direct</v>
      </c>
      <c r="C104" s="266">
        <f>'WC samples'!A75</f>
        <v>41594</v>
      </c>
      <c r="D104" s="276">
        <v>24</v>
      </c>
      <c r="E104" s="4">
        <f>'WC samples'!F75</f>
        <v>7.65</v>
      </c>
      <c r="AD104" s="83">
        <f>IF(E104&lt;&gt;"",10^(-2*$E104)/(10^(-2*$E104)+10^(-$E104-pKa!$B$2)+(10^(-pKa!$B$2-pKa!$C$2))),"")</f>
        <v>4.2666975945951625E-2</v>
      </c>
      <c r="AE104" s="84">
        <f>IF(E104&lt;&gt;"",10^(-$E104-pKa!$B$2)/(10^(-2*$E104)+10^(-$E104-pKa!$B$2)+10^(-pKa!$B$2-pKa!$C$2)),"")</f>
        <v>0.95519460968988912</v>
      </c>
      <c r="AF104" s="212">
        <f>IF(E104&lt;&gt;"",10^(-pKa!$B$2-pKa!$C$2)/(10^(-2*$E104)+10^(-$E104-pKa!$B$2)+10^(-pKa!$B$2-pKa!$C$2)),"")</f>
        <v>2.1384143641592821E-3</v>
      </c>
      <c r="AG104" s="152"/>
      <c r="AH104" s="222">
        <f>IF($AK104&lt;&gt;"",$AK104/'Elements and ions'!$G$3,IF($E104="","",""))</f>
        <v>4.58889709791592</v>
      </c>
      <c r="AI104" s="85">
        <f t="shared" si="770"/>
        <v>4.7827340031974591E-3</v>
      </c>
      <c r="AJ104" s="84">
        <f>IF(AI104&lt;&gt;"",AI104*1000*'Elements and ions'!$B$7,"")</f>
        <v>57.443983292203718</v>
      </c>
      <c r="AK104" s="99">
        <f>'WC samples'!H75</f>
        <v>280</v>
      </c>
      <c r="AL104" s="88">
        <f>IF($AK104&lt;&gt;"",$AK104/'Elements and ions'!$G$3*Minerals!$B$6/2,IF($E104="","","Enter Alk(HCO3-)"))</f>
        <v>229.64424247470046</v>
      </c>
      <c r="AM104" s="199"/>
      <c r="AN104" s="101">
        <f t="shared" si="837"/>
        <v>2.0406479667031091E-4</v>
      </c>
      <c r="AO104" s="94">
        <f t="shared" si="838"/>
        <v>4.5684417394347577E-3</v>
      </c>
      <c r="AP104" s="95">
        <f t="shared" si="839"/>
        <v>1.0227467092390472E-5</v>
      </c>
      <c r="AQ104" s="199"/>
      <c r="AR104" s="199"/>
      <c r="AS104" s="83">
        <f t="shared" si="760"/>
        <v>0.60019057844209078</v>
      </c>
      <c r="AT104" s="83">
        <f>IF(AN104&lt;&gt;"",AN104/'Henrys law constants'!$B$7*1000000,"")</f>
        <v>6001.9057844209083</v>
      </c>
      <c r="AU104" s="268">
        <f>'WC samples'!K75</f>
        <v>11.978400000000001</v>
      </c>
      <c r="AV104" s="269">
        <f>'WC samples'!M75</f>
        <v>2.4883999999999999</v>
      </c>
      <c r="AW104" s="269">
        <f>'WC samples'!O75</f>
        <v>84.511499999999998</v>
      </c>
      <c r="AX104" s="269">
        <f>'WC samples'!N75</f>
        <v>12.6379</v>
      </c>
      <c r="AY104" s="226">
        <f>AO104*'Elements and ions'!$G$3*1000</f>
        <v>278.75187866441223</v>
      </c>
      <c r="AZ104" s="269">
        <f>'WC samples'!Q75</f>
        <v>13.948</v>
      </c>
      <c r="BA104" s="269">
        <f>'WC samples'!T75</f>
        <v>20.305499999999999</v>
      </c>
      <c r="BB104" s="270">
        <f>'WC samples'!V75</f>
        <v>12.641400000000001</v>
      </c>
      <c r="BC104" s="222">
        <f>IF($E104&lt;&gt;"",10^-$E104*'Elements and ions'!B108*1000,"")</f>
        <v>0</v>
      </c>
      <c r="BE104" s="6"/>
      <c r="BF104" s="6"/>
      <c r="BG104" s="270">
        <f>'WC samples'!L75</f>
        <v>0</v>
      </c>
      <c r="BH104" s="3"/>
      <c r="BJ104" s="92">
        <f>IF($AN104&lt;&gt;"",$AN104*'Elements and ions'!$G$2*1000,"")</f>
        <v>12.657074119220766</v>
      </c>
      <c r="BK104" s="229"/>
      <c r="BL104" s="230"/>
      <c r="BM104" s="101">
        <f>IF($E104&lt;&gt;"",(10^-14+$E104)*'Elements and ions'!$G$8,"")</f>
        <v>130.10615100000015</v>
      </c>
      <c r="BO104" s="102">
        <f>IF($AP104&lt;&gt;"",$AP104*'Elements and ions'!$G$4*1000,"")</f>
        <v>0.61373905000055051</v>
      </c>
      <c r="BP104" s="269">
        <f>'WC samples'!P75</f>
        <v>0.1135</v>
      </c>
      <c r="BQ104" s="270">
        <f>'WC samples'!R75</f>
        <v>0</v>
      </c>
      <c r="BR104" s="195"/>
      <c r="BS104" s="238">
        <f>IF($AU104&lt;&gt;"",$AU104/'Elements and ions'!$B$12,"")</f>
        <v>0.52103176217695391</v>
      </c>
      <c r="BT104" s="239">
        <f>IF($AV104&lt;&gt;"",$AV104/'Elements and ions'!$B$20,"")</f>
        <v>6.3644710895358614E-2</v>
      </c>
      <c r="BU104" s="239">
        <f>IF($AW104&lt;&gt;"",$AW104/'Elements and ions'!$B$21, "")</f>
        <v>2.1086755826139028</v>
      </c>
      <c r="BV104" s="240">
        <f>IF($AX104&lt;&gt;"",$AX104/'Elements and ions'!$B$13, "")</f>
        <v>0.51997119934169922</v>
      </c>
      <c r="BW104" s="238">
        <f>IF($AY104&lt;&gt;"",$AY104/'Elements and ions'!$G$3,"")</f>
        <v>4.568441739434757</v>
      </c>
      <c r="BX104" s="239">
        <f>IF($AZ104&lt;&gt;"",$AZ104/'Elements and ions'!$B$18,"")</f>
        <v>0.39342227738132174</v>
      </c>
      <c r="BY104" s="239">
        <f>IF($BA104&lt;&gt;"",$BA104/'Elements and ions'!$G$7,"")</f>
        <v>0.32748218285974173</v>
      </c>
      <c r="BZ104" s="241">
        <f>IF($BB104&lt;&gt;"",$BB104/'Elements and ions'!$G$5,"")</f>
        <v>0.13159543880761088</v>
      </c>
      <c r="CA104" s="91">
        <f t="shared" si="761"/>
        <v>2.2387211385683366E-5</v>
      </c>
      <c r="CB104" s="163" t="str">
        <f>IF($BD104&lt;&gt;"",$BD104/'Elements and ions'!$B$14,"")</f>
        <v/>
      </c>
      <c r="CC104" s="89" t="str">
        <f>IF($BE104&lt;&gt;"",$BE104/'Elements and ions'!$B$27, "")</f>
        <v/>
      </c>
      <c r="CD104" s="249" t="str">
        <f>IF($BF104&lt;&gt;"",$BF104/'Elements and ions'!$B$26,"")</f>
        <v/>
      </c>
      <c r="CE104" s="250">
        <f>IF($BG104&lt;&gt;"",$BG104/'Elements and ions'!$G$6,"")</f>
        <v>0</v>
      </c>
      <c r="CF104" s="91" t="str">
        <f>IF($BH104&lt;&gt;"",$BH104/'Elements and ions'!$G$15,"")</f>
        <v/>
      </c>
      <c r="CG104" s="89" t="str">
        <f>IF($BI104&lt;&gt;"",$BI104/'Elements and ions'!$G$16,"")</f>
        <v/>
      </c>
      <c r="CH104" s="90">
        <f>IF($BJ104&lt;&gt;"",$BJ104/'Elements and ions'!$G$2,"")</f>
        <v>0.20406479667031094</v>
      </c>
      <c r="CI104" s="91" t="str">
        <f>IF($BK104&lt;&gt;"",$BK104/'Elements and ions'!$B$15, "")</f>
        <v/>
      </c>
      <c r="CJ104" s="88" t="str">
        <f>IF($BL104&lt;&gt;"", $BL104/'Elements and ions'!$G$17,"")</f>
        <v/>
      </c>
      <c r="CK104" s="89">
        <f t="shared" si="762"/>
        <v>4.4668359215096327E-4</v>
      </c>
      <c r="CL104" s="163" t="str">
        <f>IF($BN104&lt;&gt;"", $BN104/'Elements and ions'!$G$19,"")</f>
        <v/>
      </c>
      <c r="CM104" s="89">
        <f>IF($BO104&lt;&gt;"",$BO104/'Elements and ions'!$G$4,"")</f>
        <v>1.0227467092390471E-2</v>
      </c>
      <c r="CN104" s="89">
        <f>IF($BP104&lt;&gt;"",$BP104/'Elements and ions'!$B$10,"")</f>
        <v>5.9741862937196747E-3</v>
      </c>
      <c r="CO104" s="104">
        <f>IF($BQ104&lt;&gt;"",$BQ104/'Elements and ions'!$G$18,"")</f>
        <v>0</v>
      </c>
      <c r="CP104" s="242"/>
      <c r="CQ104" s="238">
        <f t="shared" si="771"/>
        <v>5.2103176217695385E-4</v>
      </c>
      <c r="CR104" s="239">
        <f t="shared" si="772"/>
        <v>6.3644710895358614E-5</v>
      </c>
      <c r="CS104" s="239">
        <f t="shared" si="773"/>
        <v>2.1086755826139028E-3</v>
      </c>
      <c r="CT104" s="241">
        <f t="shared" si="774"/>
        <v>5.1997119934169922E-4</v>
      </c>
      <c r="CU104" s="238">
        <f t="shared" si="775"/>
        <v>4.5684417394347568E-3</v>
      </c>
      <c r="CV104" s="239">
        <f t="shared" si="776"/>
        <v>3.9342227738132173E-4</v>
      </c>
      <c r="CW104" s="239">
        <f t="shared" si="777"/>
        <v>3.2748218285974176E-4</v>
      </c>
      <c r="CX104" s="241">
        <f t="shared" si="778"/>
        <v>1.3159543880761088E-4</v>
      </c>
      <c r="CY104" s="258">
        <f t="shared" si="763"/>
        <v>2.2387211385683365E-8</v>
      </c>
      <c r="CZ104" s="259" t="str">
        <f t="shared" si="779"/>
        <v/>
      </c>
      <c r="DA104" s="260" t="str">
        <f t="shared" si="780"/>
        <v/>
      </c>
      <c r="DB104" s="261" t="str">
        <f t="shared" si="781"/>
        <v/>
      </c>
      <c r="DC104" s="262">
        <f t="shared" si="782"/>
        <v>0</v>
      </c>
      <c r="DD104" s="263" t="str">
        <f t="shared" si="783"/>
        <v/>
      </c>
      <c r="DE104" s="259" t="str">
        <f t="shared" si="784"/>
        <v/>
      </c>
      <c r="DF104" s="260">
        <f t="shared" si="785"/>
        <v>2.0406479667031094E-4</v>
      </c>
      <c r="DG104" s="260" t="str">
        <f t="shared" si="786"/>
        <v/>
      </c>
      <c r="DH104" s="264" t="str">
        <f t="shared" si="787"/>
        <v/>
      </c>
      <c r="DI104" s="258">
        <f t="shared" si="764"/>
        <v>4.4668359215096327E-7</v>
      </c>
      <c r="DJ104" s="260" t="str">
        <f t="shared" si="788"/>
        <v/>
      </c>
      <c r="DK104" s="260">
        <f t="shared" si="789"/>
        <v>1.0227467092390471E-5</v>
      </c>
      <c r="DL104" s="260">
        <f t="shared" si="790"/>
        <v>5.9741862937196744E-6</v>
      </c>
      <c r="DM104" s="265">
        <f t="shared" si="791"/>
        <v>0</v>
      </c>
      <c r="DN104" s="242"/>
      <c r="DO104" s="238">
        <f t="shared" si="792"/>
        <v>0.52103176217695391</v>
      </c>
      <c r="DP104" s="239">
        <f t="shared" si="793"/>
        <v>6.3644710895358614E-2</v>
      </c>
      <c r="DQ104" s="239">
        <f t="shared" si="794"/>
        <v>4.2173511652278055</v>
      </c>
      <c r="DR104" s="241">
        <f t="shared" si="795"/>
        <v>1.0399423986833984</v>
      </c>
      <c r="DS104" s="238">
        <f t="shared" si="796"/>
        <v>-4.568441739434757</v>
      </c>
      <c r="DT104" s="239">
        <f t="shared" si="797"/>
        <v>-0.39342227738132174</v>
      </c>
      <c r="DU104" s="239">
        <f t="shared" si="798"/>
        <v>-0.32748218285974173</v>
      </c>
      <c r="DV104" s="241">
        <f t="shared" si="799"/>
        <v>-0.26319087761522175</v>
      </c>
      <c r="DW104" s="91">
        <f t="shared" si="765"/>
        <v>2.2387211385683366E-5</v>
      </c>
      <c r="DX104" s="89">
        <f t="shared" si="800"/>
        <v>0</v>
      </c>
      <c r="DY104" s="89">
        <f t="shared" si="801"/>
        <v>0</v>
      </c>
      <c r="DZ104" s="89">
        <f t="shared" si="802"/>
        <v>0</v>
      </c>
      <c r="EA104" s="90">
        <f t="shared" si="803"/>
        <v>0</v>
      </c>
      <c r="EB104" s="91">
        <f t="shared" si="766"/>
        <v>-4.4668359215096327E-4</v>
      </c>
      <c r="EC104" s="89">
        <f t="shared" si="804"/>
        <v>0</v>
      </c>
      <c r="ED104" s="89">
        <f t="shared" si="805"/>
        <v>-2.0454934184780942E-2</v>
      </c>
      <c r="EE104" s="89">
        <f t="shared" si="806"/>
        <v>-5.9741862937196747E-3</v>
      </c>
      <c r="EF104" s="90">
        <f t="shared" si="807"/>
        <v>0</v>
      </c>
      <c r="EG104" s="242"/>
      <c r="EH104" s="245">
        <f t="shared" si="808"/>
        <v>5.8419924241949026</v>
      </c>
      <c r="EI104" s="246">
        <f t="shared" si="809"/>
        <v>-5.5794128813616934</v>
      </c>
      <c r="EJ104" s="198">
        <f t="shared" si="810"/>
        <v>2.2990125628889317</v>
      </c>
      <c r="EK104" s="198">
        <f t="shared" si="811"/>
        <v>1.398096731257378E-2</v>
      </c>
      <c r="EL104" s="101">
        <f>IF(AND(CS104&lt;&gt;"",DK104&lt;&gt;""),LOG(CS104*DK104/Minerals!$C$6),"")</f>
        <v>0.81394986618041865</v>
      </c>
      <c r="EM104" s="94">
        <f>IF(AND(CS104&lt;&gt;"",DK104&lt;&gt;""),LOG(CS104*DK104/Minerals!$C$5),"")</f>
        <v>0.683470336824201</v>
      </c>
      <c r="EN104" s="94">
        <f>IF(AND(CS104&lt;&gt;"",DL104&lt;&gt;""),LOG(CS104*DL104^2/Minerals!$C$2),"")</f>
        <v>-2.5535077641294124</v>
      </c>
      <c r="EO104" s="94">
        <f>IF(AND(CS104&lt;&gt;"",CX104&lt;&gt;""),LOG($CS104*$CX104/Minerals!$C$3),"")</f>
        <v>-1.9567690293277542</v>
      </c>
      <c r="EP104" s="95">
        <f>IF(AND(CS104&lt;&gt;"",CX104&lt;&gt;""),LOG($CS104*$CX104/Minerals!$C$4),"")</f>
        <v>-2.1967535407936567</v>
      </c>
      <c r="EQ104" s="199"/>
      <c r="ER104" s="101">
        <f t="shared" si="840"/>
        <v>0.8853821257945178</v>
      </c>
      <c r="ES104" s="94">
        <f t="shared" si="840"/>
        <v>0.8853821257945178</v>
      </c>
      <c r="ET104" s="94">
        <f t="shared" si="841"/>
        <v>0.61450157530516647</v>
      </c>
      <c r="EU104" s="94">
        <f t="shared" si="841"/>
        <v>0.61450157530516647</v>
      </c>
      <c r="EV104" s="95">
        <f t="shared" si="841"/>
        <v>0.61450157530516647</v>
      </c>
      <c r="EW104" s="101">
        <f t="shared" si="842"/>
        <v>0.8853821257945178</v>
      </c>
      <c r="EX104" s="94">
        <f t="shared" si="758"/>
        <v>0.61450157530516647</v>
      </c>
      <c r="EY104" s="94">
        <f t="shared" si="842"/>
        <v>0.8853821257945178</v>
      </c>
      <c r="EZ104" s="94">
        <f t="shared" si="842"/>
        <v>0.8853821257945178</v>
      </c>
      <c r="FA104" s="94">
        <f t="shared" si="842"/>
        <v>0.8853821257945178</v>
      </c>
      <c r="FB104" s="95">
        <f t="shared" si="759"/>
        <v>0.61450157530516647</v>
      </c>
      <c r="FC104" s="199"/>
      <c r="FD104" s="101">
        <f t="shared" si="812"/>
        <v>4.6131220920269506E-4</v>
      </c>
      <c r="FE104" s="94">
        <f t="shared" si="813"/>
        <v>5.634988942811012E-5</v>
      </c>
      <c r="FF104" s="94">
        <f t="shared" si="814"/>
        <v>1.2957844673237829E-3</v>
      </c>
      <c r="FG104" s="94">
        <f t="shared" si="815"/>
        <v>3.1952312110879091E-4</v>
      </c>
      <c r="FH104" s="95" t="str">
        <f t="shared" si="816"/>
        <v/>
      </c>
      <c r="FI104" s="101">
        <f t="shared" si="817"/>
        <v>4.0448166588291498E-3</v>
      </c>
      <c r="FJ104" s="94">
        <f t="shared" si="818"/>
        <v>6.2847946396556951E-6</v>
      </c>
      <c r="FK104" s="94">
        <f t="shared" si="819"/>
        <v>3.483290522827951E-4</v>
      </c>
      <c r="FL104" s="94">
        <f t="shared" si="820"/>
        <v>2.8994687122018716E-4</v>
      </c>
      <c r="FM104" s="94">
        <f t="shared" si="821"/>
        <v>5.2894377606259966E-6</v>
      </c>
      <c r="FN104" s="95">
        <f t="shared" si="822"/>
        <v>8.0865604450251522E-5</v>
      </c>
      <c r="FO104" s="199"/>
      <c r="FP104" s="101">
        <f>IF(EL104&lt;&gt;"",LOG(FF104*FJ104/Minerals!$C$6),"")</f>
        <v>0.3909958672989664</v>
      </c>
      <c r="FQ104" s="94">
        <f>IF(EL104&lt;&gt;"",LOG(FF104*FJ104/Minerals!$C$5),"")</f>
        <v>0.26051633794274864</v>
      </c>
      <c r="FR104" s="94">
        <f>IF(EN104&lt;&gt;"",LOG(FF104*FM104^2/Minerals!$C$2),"")</f>
        <v>-2.8707232632905018</v>
      </c>
      <c r="FS104" s="94">
        <f>IF(EO104&lt;&gt;"",LOG($FF104*$FN104/Minerals!$C$3),"")</f>
        <v>-2.3797230282092068</v>
      </c>
      <c r="FT104" s="95">
        <f>IF(EP104&lt;&gt;"",LOG($FF104*$FN104/Minerals!$C$4),"")</f>
        <v>-2.6197075396751091</v>
      </c>
      <c r="FU104" s="96"/>
      <c r="FV104" s="101">
        <f>IF(FP104&lt;&gt;"",LOG(FF104*FJ104/(EXP(-1*Minerals!$E$6/'Other Constants'!$B$2*(1/(273.15+'ppm-mgL-1'!$D104)-1/298.15)+LN(Minerals!$C$6)))),"")</f>
        <v>-3.2421682286236462E-4</v>
      </c>
      <c r="FW104" s="94">
        <f>IF(FP104&lt;&gt;"",LOG(FF104*FJ104/(EXP(-1*Minerals!$E$5/'Other Constants'!$B$2*(1/(273.15+'ppm-mgL-1'!$D104)-1/298.15)+LN(Minerals!$C$5)))),"")</f>
        <v>-0.13083912268965076</v>
      </c>
      <c r="FX104" s="94">
        <f>IF(FR104&lt;&gt;"",LOG(FF104*FM104^2/(EXP(-1*Minerals!$E$2/'Other Constants'!$B$2*(1/(273.15+'ppm-mgL-1'!$D104)-1/298.15)+LN(Minerals!$C$2)))),"")</f>
        <v>-2.8541788485131199</v>
      </c>
      <c r="FY104" s="94">
        <f>IF(FS104&lt;&gt;"",LOG($FF104*$FN104/(EXP(-1*Minerals!$E$3/'Other Constants'!$B$2*(1/(273.15+'ppm-mgL-1'!$D104)-1/298.15)+LN(Minerals!$C$3)))),"")</f>
        <v>-2.0423914908694538</v>
      </c>
      <c r="FZ104" s="95">
        <f>IF(FT104&lt;&gt;"",LOG($FF104*$FN104/(EXP(-1*Minerals!$E$4/'Other Constants'!$B$2*(1/(273.15+'ppm-mgL-1'!$D104)-1/298.15)+LN(Minerals!$C$4)))),"")</f>
        <v>-2.6293712231462871</v>
      </c>
      <c r="GA104" s="96"/>
      <c r="GB104" s="96"/>
      <c r="GC104" s="101">
        <f>10^(-1825000*(79.755*EXP(-0.0046*($D104-20))*($D104+273.15))^-1.5*$EK104^0.5/(1+'Elements and ions'!$D$12*$EK104^0.5/(2*(79.755*EXP(-0.0046*($D104-20))*($D104+273.15))^0.5)))</f>
        <v>0.88584792444547356</v>
      </c>
      <c r="GD104" s="94">
        <f>10^(-1825000*(79.755*EXP(-0.0046*($D104-20))*($D104+273.15))^-1.5*$EK104^0.5/(1+'Elements and ions'!$D$20*$EK104^0.5/(2*(79.755*EXP(-0.0046*($D104-20))*($D104+273.15))^0.5)))</f>
        <v>0.88212760798798295</v>
      </c>
      <c r="GE104" s="94">
        <f>10^(-1825000*(79.755*EXP(-0.0046*($D104-20))*($D104+273.15))^-1.5*4*$EK104^0.5/(1+'Elements and ions'!$D$21*$EK104^0.5/(2*(79.755*EXP(-0.0046*($D104-20))*($D104+273.15))^0.5)))</f>
        <v>0.634862013073348</v>
      </c>
      <c r="GF104" s="94">
        <f>10^(-1825000*(79.755*EXP(-0.0046*($D104-20))*($D104+273.15))^-1.5*4*$EK104^0.5/(1+'Elements and ions'!$D$13*$EK104^0.5/(2*(79.755*EXP(-0.0046*($D104-20))*($D104+273.15))^0.5)))</f>
        <v>0.65216104477433223</v>
      </c>
      <c r="GG104" s="95">
        <f>10^(-1825000*(79.755*EXP(-0.0046*($D104-20))*($D104+273.15))^-1.5*4*$EK104^0.5/(1+'Elements and ions'!$D$27*$EK104^0.5/(2*(79.755*EXP(-0.0046*($D104-20))*($D104+273.15))^0.5)))</f>
        <v>0.634862013073348</v>
      </c>
      <c r="GH104" s="101">
        <f>10^(-1825000*(79.755*EXP(-0.0046*($D104-20))*($D104+273.15))^-1.5*$EK104^0.5/(1+'Elements and ions'!$G$3*$EK104^0.5/(2*(79.755*EXP(-0.0046*($D104-20))*($D104+273.15))^0.5)))</f>
        <v>0.87217321849690777</v>
      </c>
      <c r="GI104" s="94">
        <f>10^(-1825000*(79.755*EXP(-0.0046*($D104-20))*($D104+273.15))^-1.5*4*$EK104^0.5/(1+'Elements and ions'!$G$4*$EK104^0.5/(2*(79.755*EXP(-0.0046*($D104-20))*($D104+273.15))^0.5)))</f>
        <v>0.57852253405157772</v>
      </c>
      <c r="GJ104" s="94">
        <f>10^(-1825000*(79.755*EXP(-0.0046*($D104-20))*($D104+273.15))^-1.5*$EK104^0.5/(1+'Elements and ions'!$D$18*$EK104^0.5/(2*(79.755*EXP(-0.0046*($D104-20))*($D104+273.15))^0.5)))</f>
        <v>0.88212760798798295</v>
      </c>
      <c r="GK104" s="94">
        <f>10^(-1825000*(79.755*EXP(-0.0046*($D104-20))*($D104+273.15))^-1.5*$EK104^0.5/(1+'Elements and ions'!$I$7*$EK104^0.5/(2*(79.755*EXP(-0.0046*($D104-20))*($D104+273.15))^0.5)))</f>
        <v>0.88212760798798295</v>
      </c>
      <c r="GL104" s="94">
        <f>10^(-1825000*(79.755*EXP(-0.0046*($D104-20))*($D104+273.15))^-1.5*$EK104^0.5/(1+'Elements and ions'!$D$10*$EK104^0.5/(2*(79.755*EXP(-0.0046*($D104-20))*($D104+273.15))^0.5)))</f>
        <v>0.88401755209167776</v>
      </c>
      <c r="GM104" s="95">
        <f>10^(-1825000*(79.755*EXP(-0.0046*($D104-20))*($D104+273.15))^-1.5*4*$EK104^0.5/(1+'Elements and ions'!$I$5*$EK104^0.5/(2*(79.755*EXP(-0.0046*($D104-20))*($D104+273.15))^0.5)))</f>
        <v>0.61579575081113835</v>
      </c>
      <c r="GN104" s="96"/>
      <c r="GO104" s="101">
        <f t="shared" si="823"/>
        <v>4.6155490509462217E-4</v>
      </c>
      <c r="GP104" s="94">
        <f t="shared" si="824"/>
        <v>5.6142756583209411E-5</v>
      </c>
      <c r="GQ104" s="94">
        <f t="shared" si="825"/>
        <v>1.3387180252968772E-3</v>
      </c>
      <c r="GR104" s="94">
        <f t="shared" si="826"/>
        <v>3.3910496061524513E-4</v>
      </c>
      <c r="GS104" s="95" t="str">
        <f t="shared" si="827"/>
        <v/>
      </c>
      <c r="GT104" s="101">
        <f t="shared" si="828"/>
        <v>3.9844725353984237E-3</v>
      </c>
      <c r="GU104" s="94">
        <f t="shared" si="829"/>
        <v>5.9168201792188567E-6</v>
      </c>
      <c r="GV104" s="94">
        <f t="shared" si="830"/>
        <v>3.4704865247557008E-4</v>
      </c>
      <c r="GW104" s="94">
        <f t="shared" si="831"/>
        <v>2.8888107462474725E-4</v>
      </c>
      <c r="GX104" s="94">
        <f t="shared" si="832"/>
        <v>5.2812855431137196E-6</v>
      </c>
      <c r="GY104" s="102">
        <f t="shared" si="833"/>
        <v>8.1035912043853959E-5</v>
      </c>
      <c r="GZ104" s="199"/>
      <c r="HA104" s="92">
        <f>IF(AND(GQ104&lt;&gt;"",GU104&lt;&gt;""),LOG(GQ104*GU104/Minerals!$C$6),"")</f>
        <v>0.37894948788738608</v>
      </c>
      <c r="HB104" s="94">
        <f>IF(AND(GQ104&lt;&gt;"",GU104&lt;&gt;""),LOG(GQ104*GU104/Minerals!$C$5),"")</f>
        <v>0.24846995853116835</v>
      </c>
      <c r="HC104" s="94">
        <f>IF(AND(GQ104&lt;&gt;"",GX104&lt;&gt;""),LOG(GQ104*GX104^2/Minerals!$C$2),"")</f>
        <v>-2.8579066463035652</v>
      </c>
      <c r="HD104" s="94">
        <f>IF(AND(GQ104&lt;&gt;"",GY104&lt;&gt;""),LOG($GQ104*$GY104/Minerals!$C$3),"")</f>
        <v>-2.3646529996518355</v>
      </c>
      <c r="HE104" s="102">
        <f>IF(AND(GQ104&lt;&gt;"",GY104&lt;&gt;""),LOG($GQ104*$GY104/Minerals!$C$3),"")</f>
        <v>-2.3646529996518355</v>
      </c>
      <c r="HF104" s="199"/>
      <c r="HG104" s="92">
        <f>IF(HA104&lt;&gt;"",LOG(GQ104*GU104/(EXP(-1*Minerals!$E$6/'Other Constants'!$B$2*(1/(273.15+'ppm-mgL-1'!$D104)-1/298.15)+LN(Minerals!$C$6)))),"")</f>
        <v>-1.2370596234442626E-2</v>
      </c>
      <c r="HH104" s="94">
        <f>IF(HA104&lt;&gt;"",LOG(GQ104*GU104/(EXP(-1*Minerals!$E$5/'Other Constants'!$B$2*(1/(273.15+'ppm-mgL-1'!$D104)-1/298.15)+LN(Minerals!$C$5)))),"")</f>
        <v>-0.14288550210123108</v>
      </c>
      <c r="HI104" s="94">
        <f>IF(HC104&lt;&gt;"",LOG(GQ104*GX104^2/(EXP(-1*Minerals!$E$2/'Other Constants'!$B$2*(1/(273.15+'ppm-mgL-1'!$D104)-1/298.15)+LN(Minerals!$C$2)))),"")</f>
        <v>-2.8413622315261833</v>
      </c>
      <c r="HJ104" s="94">
        <f>IF(HD104&lt;&gt;"",LOG($FF104*$FN104/(EXP(-1*Minerals!$E$3/'Other Constants'!$B$2*(1/(273.15+'ppm-mgL-1'!$D104)-1/298.15)+LN(Minerals!$C$3)))),"")</f>
        <v>-2.0423914908694538</v>
      </c>
      <c r="HK104" s="95">
        <f>IF(HE104&lt;&gt;"",LOG($FF104*$FN104/(EXP(-1*Minerals!$E$4/'Other Constants'!$B$2*(1/(273.15+'ppm-mgL-1'!$D104)-1/298.15)+LN(Minerals!$C$4)))),"")</f>
        <v>-2.6293712231462871</v>
      </c>
      <c r="HL104" s="199"/>
      <c r="HM104" s="199"/>
    </row>
    <row r="105" spans="1:221" x14ac:dyDescent="0.25">
      <c r="A105" s="267" t="str">
        <f>'WC samples'!B76</f>
        <v>ISST Direct</v>
      </c>
      <c r="C105" s="266">
        <f>'WC samples'!A76</f>
        <v>41624</v>
      </c>
      <c r="D105" s="4">
        <f>'WC samples'!I76</f>
        <v>23.8</v>
      </c>
      <c r="E105" s="4">
        <f>'WC samples'!F76</f>
        <v>7.89</v>
      </c>
      <c r="AD105" s="83">
        <f>IF(E105&lt;&gt;"",10^(-2*$E105)/(10^(-2*$E105)+10^(-$E105-pKa!$B$2)+(10^(-pKa!$B$2-pKa!$C$2))),"")</f>
        <v>2.496512956565362E-2</v>
      </c>
      <c r="AE105" s="84">
        <f>IF(E105&lt;&gt;"",10^(-$E105-pKa!$B$2)/(10^(-2*$E105)+10^(-$E105-pKa!$B$2)+10^(-pKa!$B$2-pKa!$C$2)),"")</f>
        <v>0.97125624516707021</v>
      </c>
      <c r="AF105" s="212">
        <f>IF(E105&lt;&gt;"",10^(-pKa!$B$2-pKa!$C$2)/(10^(-2*$E105)+10^(-$E105-pKa!$B$2)+10^(-pKa!$B$2-pKa!$C$2)),"")</f>
        <v>3.7786252672762136E-3</v>
      </c>
      <c r="AG105" s="152"/>
      <c r="AH105" s="222">
        <f>IF($AK105&lt;&gt;"",$AK105/'Elements and ions'!$G$3,IF($E105="","",""))</f>
        <v>4.3430633248132811</v>
      </c>
      <c r="AI105" s="85">
        <f t="shared" si="770"/>
        <v>4.4370685329951573E-3</v>
      </c>
      <c r="AJ105" s="84">
        <f>IF(AI105&lt;&gt;"",AI105*1000*'Elements and ions'!$B$7,"")</f>
        <v>53.292299029244937</v>
      </c>
      <c r="AK105" s="99">
        <f>'WC samples'!H76</f>
        <v>265</v>
      </c>
      <c r="AL105" s="88">
        <f>IF($AK105&lt;&gt;"",$AK105/'Elements and ions'!$G$3*Minerals!$B$6/2,IF($E105="","","Enter Alk(HCO3-)"))</f>
        <v>217.3418723421272</v>
      </c>
      <c r="AM105" s="199"/>
      <c r="AN105" s="101">
        <f t="shared" si="837"/>
        <v>1.1077199081790873E-4</v>
      </c>
      <c r="AO105" s="94">
        <f t="shared" si="838"/>
        <v>4.3095305229058373E-3</v>
      </c>
      <c r="AP105" s="95">
        <f t="shared" si="839"/>
        <v>1.6766019271411705E-5</v>
      </c>
      <c r="AQ105" s="199"/>
      <c r="AR105" s="199"/>
      <c r="AS105" s="83">
        <f t="shared" si="760"/>
        <v>0.32579997299384916</v>
      </c>
      <c r="AT105" s="83">
        <f>IF(AN105&lt;&gt;"",AN105/'Henrys law constants'!$B$7*1000000,"")</f>
        <v>3257.9997299384918</v>
      </c>
      <c r="AU105" s="268">
        <f>'WC samples'!K76</f>
        <v>10.9222</v>
      </c>
      <c r="AV105" s="269">
        <f>'WC samples'!M76</f>
        <v>2.5453999999999999</v>
      </c>
      <c r="AW105" s="269">
        <f>'WC samples'!O76</f>
        <v>69.598600000000005</v>
      </c>
      <c r="AX105" s="269">
        <f>'WC samples'!N76</f>
        <v>11.7285</v>
      </c>
      <c r="AY105" s="226">
        <f>AO105*'Elements and ions'!$G$3*1000</f>
        <v>262.95393439126178</v>
      </c>
      <c r="AZ105" s="269">
        <f>'WC samples'!Q76</f>
        <v>12.8399</v>
      </c>
      <c r="BA105" s="269">
        <f>'WC samples'!T76</f>
        <v>20.231400000000001</v>
      </c>
      <c r="BB105" s="270">
        <f>'WC samples'!V76</f>
        <v>12.5412</v>
      </c>
      <c r="BC105" s="222">
        <f>IF($E105&lt;&gt;"",10^-$E105*'Elements and ions'!B109*1000,"")</f>
        <v>0</v>
      </c>
      <c r="BE105" s="6"/>
      <c r="BF105" s="6"/>
      <c r="BG105" s="270">
        <f>'WC samples'!L76</f>
        <v>0</v>
      </c>
      <c r="BH105" s="3"/>
      <c r="BJ105" s="92">
        <f>IF($AN105&lt;&gt;"",$AN105*'Elements and ions'!$G$2*1000,"")</f>
        <v>6.8706083606428088</v>
      </c>
      <c r="BK105" s="229"/>
      <c r="BL105" s="230"/>
      <c r="BM105" s="101">
        <f>IF($E105&lt;&gt;"",(10^-14+$E105)*'Elements and ions'!$G$8,"")</f>
        <v>134.18791260000015</v>
      </c>
      <c r="BO105" s="102">
        <f>IF($AP105&lt;&gt;"",$AP105*'Elements and ions'!$G$4*1000,"")</f>
        <v>1.0061103738562178</v>
      </c>
      <c r="BP105" s="269">
        <f>'WC samples'!P76</f>
        <v>0.11509999999999999</v>
      </c>
      <c r="BQ105" s="270">
        <f>'WC samples'!R76</f>
        <v>7.5600000000000001E-2</v>
      </c>
      <c r="BR105" s="195"/>
      <c r="BS105" s="238">
        <f>IF($AU105&lt;&gt;"",$AU105/'Elements and ions'!$B$12,"")</f>
        <v>0.47508958732795076</v>
      </c>
      <c r="BT105" s="239">
        <f>IF($AV105&lt;&gt;"",$AV105/'Elements and ions'!$B$20,"")</f>
        <v>6.5102574792254383E-2</v>
      </c>
      <c r="BU105" s="239">
        <f>IF($AW105&lt;&gt;"",$AW105/'Elements and ions'!$B$21, "")</f>
        <v>1.7365786715903988</v>
      </c>
      <c r="BV105" s="240">
        <f>IF($AX105&lt;&gt;"",$AX105/'Elements and ions'!$B$13, "")</f>
        <v>0.48255502982925325</v>
      </c>
      <c r="BW105" s="238">
        <f>IF($AY105&lt;&gt;"",$AY105/'Elements and ions'!$G$3,"")</f>
        <v>4.3095305229058374</v>
      </c>
      <c r="BX105" s="239">
        <f>IF($AZ105&lt;&gt;"",$AZ105/'Elements and ions'!$B$18,"")</f>
        <v>0.36216681239951481</v>
      </c>
      <c r="BY105" s="239">
        <f>IF($BA105&lt;&gt;"",$BA105/'Elements and ions'!$G$7,"")</f>
        <v>0.32628711601825017</v>
      </c>
      <c r="BZ105" s="241">
        <f>IF($BB105&lt;&gt;"",$BB105/'Elements and ions'!$G$5,"")</f>
        <v>0.13055236897606351</v>
      </c>
      <c r="CA105" s="91">
        <f t="shared" si="761"/>
        <v>1.288249551693135E-5</v>
      </c>
      <c r="CB105" s="163" t="str">
        <f>IF($BD105&lt;&gt;"",$BD105/'Elements and ions'!$B$14,"")</f>
        <v/>
      </c>
      <c r="CC105" s="89" t="str">
        <f>IF($BE105&lt;&gt;"",$BE105/'Elements and ions'!$B$27, "")</f>
        <v/>
      </c>
      <c r="CD105" s="249" t="str">
        <f>IF($BF105&lt;&gt;"",$BF105/'Elements and ions'!$B$26,"")</f>
        <v/>
      </c>
      <c r="CE105" s="250">
        <f>IF($BG105&lt;&gt;"",$BG105/'Elements and ions'!$G$6,"")</f>
        <v>0</v>
      </c>
      <c r="CF105" s="91" t="str">
        <f>IF($BH105&lt;&gt;"",$BH105/'Elements and ions'!$G$15,"")</f>
        <v/>
      </c>
      <c r="CG105" s="89" t="str">
        <f>IF($BI105&lt;&gt;"",$BI105/'Elements and ions'!$G$16,"")</f>
        <v/>
      </c>
      <c r="CH105" s="90">
        <f>IF($BJ105&lt;&gt;"",$BJ105/'Elements and ions'!$G$2,"")</f>
        <v>0.11077199081790874</v>
      </c>
      <c r="CI105" s="91" t="str">
        <f>IF($BK105&lt;&gt;"",$BK105/'Elements and ions'!$B$15, "")</f>
        <v/>
      </c>
      <c r="CJ105" s="88" t="str">
        <f>IF($BL105&lt;&gt;"", $BL105/'Elements and ions'!$G$17,"")</f>
        <v/>
      </c>
      <c r="CK105" s="89">
        <f t="shared" si="762"/>
        <v>7.762471166286902E-4</v>
      </c>
      <c r="CL105" s="163" t="str">
        <f>IF($BN105&lt;&gt;"", $BN105/'Elements and ions'!$G$19,"")</f>
        <v/>
      </c>
      <c r="CM105" s="89">
        <f>IF($BO105&lt;&gt;"",$BO105/'Elements and ions'!$G$4,"")</f>
        <v>1.6766019271411706E-2</v>
      </c>
      <c r="CN105" s="89">
        <f>IF($BP105&lt;&gt;"",$BP105/'Elements and ions'!$B$10,"")</f>
        <v>6.0584038978602163E-3</v>
      </c>
      <c r="CO105" s="104">
        <f>IF($BQ105&lt;&gt;"",$BQ105/'Elements and ions'!$G$18,"")</f>
        <v>1.6432817815261219E-3</v>
      </c>
      <c r="CP105" s="242"/>
      <c r="CQ105" s="238">
        <f t="shared" si="771"/>
        <v>4.7508958732795075E-4</v>
      </c>
      <c r="CR105" s="239">
        <f t="shared" si="772"/>
        <v>6.5102574792254389E-5</v>
      </c>
      <c r="CS105" s="239">
        <f t="shared" si="773"/>
        <v>1.7365786715903989E-3</v>
      </c>
      <c r="CT105" s="241">
        <f t="shared" si="774"/>
        <v>4.8255502982925323E-4</v>
      </c>
      <c r="CU105" s="238">
        <f t="shared" si="775"/>
        <v>4.3095305229058373E-3</v>
      </c>
      <c r="CV105" s="239">
        <f t="shared" si="776"/>
        <v>3.6216681239951482E-4</v>
      </c>
      <c r="CW105" s="239">
        <f t="shared" si="777"/>
        <v>3.2628711601825016E-4</v>
      </c>
      <c r="CX105" s="241">
        <f t="shared" si="778"/>
        <v>1.3055236897606352E-4</v>
      </c>
      <c r="CY105" s="258">
        <f t="shared" si="763"/>
        <v>1.288249551693135E-8</v>
      </c>
      <c r="CZ105" s="259" t="str">
        <f t="shared" si="779"/>
        <v/>
      </c>
      <c r="DA105" s="260" t="str">
        <f t="shared" si="780"/>
        <v/>
      </c>
      <c r="DB105" s="261" t="str">
        <f t="shared" si="781"/>
        <v/>
      </c>
      <c r="DC105" s="262">
        <f t="shared" si="782"/>
        <v>0</v>
      </c>
      <c r="DD105" s="263" t="str">
        <f t="shared" si="783"/>
        <v/>
      </c>
      <c r="DE105" s="259" t="str">
        <f t="shared" si="784"/>
        <v/>
      </c>
      <c r="DF105" s="260">
        <f t="shared" si="785"/>
        <v>1.1077199081790874E-4</v>
      </c>
      <c r="DG105" s="260" t="str">
        <f t="shared" si="786"/>
        <v/>
      </c>
      <c r="DH105" s="264" t="str">
        <f t="shared" si="787"/>
        <v/>
      </c>
      <c r="DI105" s="258">
        <f t="shared" si="764"/>
        <v>7.7624711662869019E-7</v>
      </c>
      <c r="DJ105" s="260" t="str">
        <f t="shared" si="788"/>
        <v/>
      </c>
      <c r="DK105" s="260">
        <f t="shared" si="789"/>
        <v>1.6766019271411705E-5</v>
      </c>
      <c r="DL105" s="260">
        <f t="shared" si="790"/>
        <v>6.0584038978602165E-6</v>
      </c>
      <c r="DM105" s="265">
        <f t="shared" si="791"/>
        <v>1.6432817815261219E-6</v>
      </c>
      <c r="DN105" s="242"/>
      <c r="DO105" s="238">
        <f t="shared" si="792"/>
        <v>0.47508958732795076</v>
      </c>
      <c r="DP105" s="239">
        <f t="shared" si="793"/>
        <v>6.5102574792254383E-2</v>
      </c>
      <c r="DQ105" s="239">
        <f t="shared" si="794"/>
        <v>3.4731573431807976</v>
      </c>
      <c r="DR105" s="241">
        <f t="shared" si="795"/>
        <v>0.96511005965850649</v>
      </c>
      <c r="DS105" s="238">
        <f t="shared" si="796"/>
        <v>-4.3095305229058374</v>
      </c>
      <c r="DT105" s="239">
        <f t="shared" si="797"/>
        <v>-0.36216681239951481</v>
      </c>
      <c r="DU105" s="239">
        <f t="shared" si="798"/>
        <v>-0.32628711601825017</v>
      </c>
      <c r="DV105" s="241">
        <f t="shared" si="799"/>
        <v>-0.26110473795212702</v>
      </c>
      <c r="DW105" s="91">
        <f t="shared" si="765"/>
        <v>1.288249551693135E-5</v>
      </c>
      <c r="DX105" s="89">
        <f t="shared" si="800"/>
        <v>0</v>
      </c>
      <c r="DY105" s="89">
        <f t="shared" si="801"/>
        <v>0</v>
      </c>
      <c r="DZ105" s="89">
        <f t="shared" si="802"/>
        <v>0</v>
      </c>
      <c r="EA105" s="90">
        <f t="shared" si="803"/>
        <v>0</v>
      </c>
      <c r="EB105" s="91">
        <f t="shared" si="766"/>
        <v>-7.762471166286902E-4</v>
      </c>
      <c r="EC105" s="89">
        <f t="shared" si="804"/>
        <v>0</v>
      </c>
      <c r="ED105" s="89">
        <f t="shared" si="805"/>
        <v>-3.3532038542823411E-2</v>
      </c>
      <c r="EE105" s="89">
        <f t="shared" si="806"/>
        <v>-6.0584038978602163E-3</v>
      </c>
      <c r="EF105" s="90">
        <f t="shared" si="807"/>
        <v>-3.2865635630522439E-3</v>
      </c>
      <c r="EG105" s="242"/>
      <c r="EH105" s="245">
        <f t="shared" si="808"/>
        <v>4.9784724474550259</v>
      </c>
      <c r="EI105" s="246">
        <f t="shared" si="809"/>
        <v>-5.3027424423960943</v>
      </c>
      <c r="EJ105" s="198">
        <f t="shared" si="810"/>
        <v>-3.1540046425949568</v>
      </c>
      <c r="EK105" s="198">
        <f t="shared" si="811"/>
        <v>1.2170861790253697E-2</v>
      </c>
      <c r="EL105" s="101">
        <f>IF(AND(CS105&lt;&gt;"",DK105&lt;&gt;""),LOG(CS105*DK105/Minerals!$C$6),"")</f>
        <v>0.94429643001658925</v>
      </c>
      <c r="EM105" s="94">
        <f>IF(AND(CS105&lt;&gt;"",DK105&lt;&gt;""),LOG(CS105*DK105/Minerals!$C$5),"")</f>
        <v>0.8138169006603716</v>
      </c>
      <c r="EN105" s="94">
        <f>IF(AND(CS105&lt;&gt;"",DL105&lt;&gt;""),LOG(CS105*DL105^2/Minerals!$C$2),"")</f>
        <v>-2.6256641463082393</v>
      </c>
      <c r="EO105" s="94">
        <f>IF(AND(CS105&lt;&gt;"",CX105&lt;&gt;""),LOG($CS105*$CX105/Minerals!$C$3),"")</f>
        <v>-2.0445404154405677</v>
      </c>
      <c r="EP105" s="95">
        <f>IF(AND(CS105&lt;&gt;"",CX105&lt;&gt;""),LOG($CS105*$CX105/Minerals!$C$4),"")</f>
        <v>-2.28452492690647</v>
      </c>
      <c r="EQ105" s="199"/>
      <c r="ER105" s="101">
        <f t="shared" si="840"/>
        <v>0.89190781168751909</v>
      </c>
      <c r="ES105" s="94">
        <f t="shared" si="840"/>
        <v>0.89190781168751909</v>
      </c>
      <c r="ET105" s="94">
        <f t="shared" si="841"/>
        <v>0.63281952537801467</v>
      </c>
      <c r="EU105" s="94">
        <f t="shared" si="841"/>
        <v>0.63281952537801467</v>
      </c>
      <c r="EV105" s="95">
        <f t="shared" si="841"/>
        <v>0.63281952537801467</v>
      </c>
      <c r="EW105" s="101">
        <f t="shared" si="842"/>
        <v>0.89190781168751909</v>
      </c>
      <c r="EX105" s="94">
        <f t="shared" si="758"/>
        <v>0.63281952537801467</v>
      </c>
      <c r="EY105" s="94">
        <f t="shared" si="842"/>
        <v>0.89190781168751909</v>
      </c>
      <c r="EZ105" s="94">
        <f t="shared" si="842"/>
        <v>0.89190781168751909</v>
      </c>
      <c r="FA105" s="94">
        <f t="shared" si="842"/>
        <v>0.89190781168751909</v>
      </c>
      <c r="FB105" s="95">
        <f t="shared" si="759"/>
        <v>0.63281952537801467</v>
      </c>
      <c r="FC105" s="199"/>
      <c r="FD105" s="101">
        <f t="shared" si="812"/>
        <v>4.2373611418919908E-4</v>
      </c>
      <c r="FE105" s="94">
        <f t="shared" si="813"/>
        <v>5.8065495018182655E-5</v>
      </c>
      <c r="FF105" s="94">
        <f t="shared" si="814"/>
        <v>1.0989408907374194E-3</v>
      </c>
      <c r="FG105" s="94">
        <f t="shared" si="815"/>
        <v>3.0537024494532174E-4</v>
      </c>
      <c r="FH105" s="95" t="str">
        <f t="shared" si="816"/>
        <v/>
      </c>
      <c r="FI105" s="101">
        <f t="shared" si="817"/>
        <v>3.843703938085515E-3</v>
      </c>
      <c r="FJ105" s="94">
        <f t="shared" si="818"/>
        <v>1.0609864357813402E-5</v>
      </c>
      <c r="FK105" s="94">
        <f t="shared" si="819"/>
        <v>3.2301940911309552E-4</v>
      </c>
      <c r="FL105" s="94">
        <f t="shared" si="820"/>
        <v>2.9101802762966915E-4</v>
      </c>
      <c r="FM105" s="94">
        <f t="shared" si="821"/>
        <v>5.4035377628596414E-6</v>
      </c>
      <c r="FN105" s="95">
        <f t="shared" si="822"/>
        <v>8.261608817240797E-5</v>
      </c>
      <c r="FO105" s="199"/>
      <c r="FP105" s="101">
        <f>IF(EL105&lt;&gt;"",LOG(FF105*FJ105/Minerals!$C$6),"")</f>
        <v>0.54685617135331288</v>
      </c>
      <c r="FQ105" s="94">
        <f>IF(EL105&lt;&gt;"",LOG(FF105*FJ105/Minerals!$C$5),"")</f>
        <v>0.41637664199709523</v>
      </c>
      <c r="FR105" s="94">
        <f>IF(EN105&lt;&gt;"",LOG(FF105*FM105^2/Minerals!$C$2),"")</f>
        <v>-2.9237443403056962</v>
      </c>
      <c r="FS105" s="94">
        <f>IF(EO105&lt;&gt;"",LOG($FF105*$FN105/Minerals!$C$3),"")</f>
        <v>-2.4419806741038439</v>
      </c>
      <c r="FT105" s="95">
        <f>IF(EP105&lt;&gt;"",LOG($FF105*$FN105/Minerals!$C$4),"")</f>
        <v>-2.6819651855697462</v>
      </c>
      <c r="FU105" s="96"/>
      <c r="FV105" s="101">
        <f>IF(FP105&lt;&gt;"",LOG(FF105*FJ105/(EXP(-1*Minerals!$E$6/'Other Constants'!$B$2*(1/(273.15+'ppm-mgL-1'!$D105)-1/298.15)+LN(Minerals!$C$6)))),"")</f>
        <v>7.6955798912962461E-2</v>
      </c>
      <c r="FW105" s="94">
        <f>IF(FP105&lt;&gt;"",LOG(FF105*FJ105/(EXP(-1*Minerals!$E$5/'Other Constants'!$B$2*(1/(273.15+'ppm-mgL-1'!$D105)-1/298.15)+LN(Minerals!$C$5)))),"")</f>
        <v>-5.3566210847833522E-2</v>
      </c>
      <c r="FX105" s="94">
        <f>IF(FR105&lt;&gt;"",LOG(FF105*FM105^2/(EXP(-1*Minerals!$E$2/'Other Constants'!$B$2*(1/(273.15+'ppm-mgL-1'!$D105)-1/298.15)+LN(Minerals!$C$2)))),"")</f>
        <v>-2.9038776710976859</v>
      </c>
      <c r="FY105" s="94">
        <f>IF(FS105&lt;&gt;"",LOG($FF105*$FN105/(EXP(-1*Minerals!$E$3/'Other Constants'!$B$2*(1/(273.15+'ppm-mgL-1'!$D105)-1/298.15)+LN(Minerals!$C$3)))),"")</f>
        <v>-2.0369101922563626</v>
      </c>
      <c r="FZ105" s="95">
        <f>IF(FT105&lt;&gt;"",LOG($FF105*$FN105/(EXP(-1*Minerals!$E$4/'Other Constants'!$B$2*(1/(273.15+'ppm-mgL-1'!$D105)-1/298.15)+LN(Minerals!$C$4)))),"")</f>
        <v>-2.693569416087183</v>
      </c>
      <c r="GA105" s="96"/>
      <c r="GB105" s="96"/>
      <c r="GC105" s="101">
        <f>10^(-1825000*(79.755*EXP(-0.0046*($D105-20))*($D105+273.15))^-1.5*$EK105^0.5/(1+'Elements and ions'!$D$12*$EK105^0.5/(2*(79.755*EXP(-0.0046*($D105-20))*($D105+273.15))^0.5)))</f>
        <v>0.892189160503846</v>
      </c>
      <c r="GD105" s="94">
        <f>10^(-1825000*(79.755*EXP(-0.0046*($D105-20))*($D105+273.15))^-1.5*$EK105^0.5/(1+'Elements and ions'!$D$20*$EK105^0.5/(2*(79.755*EXP(-0.0046*($D105-20))*($D105+273.15))^0.5)))</f>
        <v>0.88887534916607758</v>
      </c>
      <c r="GE105" s="94">
        <f>10^(-1825000*(79.755*EXP(-0.0046*($D105-20))*($D105+273.15))^-1.5*4*$EK105^0.5/(1+'Elements and ions'!$D$21*$EK105^0.5/(2*(79.755*EXP(-0.0046*($D105-20))*($D105+273.15))^0.5)))</f>
        <v>0.65103449596282736</v>
      </c>
      <c r="GF105" s="94">
        <f>10^(-1825000*(79.755*EXP(-0.0046*($D105-20))*($D105+273.15))^-1.5*4*$EK105^0.5/(1+'Elements and ions'!$D$13*$EK105^0.5/(2*(79.755*EXP(-0.0046*($D105-20))*($D105+273.15))^0.5)))</f>
        <v>0.66689759174397767</v>
      </c>
      <c r="GG105" s="95">
        <f>10^(-1825000*(79.755*EXP(-0.0046*($D105-20))*($D105+273.15))^-1.5*4*$EK105^0.5/(1+'Elements and ions'!$D$27*$EK105^0.5/(2*(79.755*EXP(-0.0046*($D105-20))*($D105+273.15))^0.5)))</f>
        <v>0.65103449596282736</v>
      </c>
      <c r="GH105" s="101">
        <f>10^(-1825000*(79.755*EXP(-0.0046*($D105-20))*($D105+273.15))^-1.5*$EK105^0.5/(1+'Elements and ions'!$G$3*$EK105^0.5/(2*(79.755*EXP(-0.0046*($D105-20))*($D105+273.15))^0.5)))</f>
        <v>0.88006659465739134</v>
      </c>
      <c r="GI105" s="94">
        <f>10^(-1825000*(79.755*EXP(-0.0046*($D105-20))*($D105+273.15))^-1.5*4*$EK105^0.5/(1+'Elements and ions'!$G$4*$EK105^0.5/(2*(79.755*EXP(-0.0046*($D105-20))*($D105+273.15))^0.5)))</f>
        <v>0.59976756805876441</v>
      </c>
      <c r="GJ105" s="94">
        <f>10^(-1825000*(79.755*EXP(-0.0046*($D105-20))*($D105+273.15))^-1.5*$EK105^0.5/(1+'Elements and ions'!$D$18*$EK105^0.5/(2*(79.755*EXP(-0.0046*($D105-20))*($D105+273.15))^0.5)))</f>
        <v>0.88887534916607758</v>
      </c>
      <c r="GK105" s="94">
        <f>10^(-1825000*(79.755*EXP(-0.0046*($D105-20))*($D105+273.15))^-1.5*$EK105^0.5/(1+'Elements and ions'!$I$7*$EK105^0.5/(2*(79.755*EXP(-0.0046*($D105-20))*($D105+273.15))^0.5)))</f>
        <v>0.88887534916607758</v>
      </c>
      <c r="GL105" s="94">
        <f>10^(-1825000*(79.755*EXP(-0.0046*($D105-20))*($D105+273.15))^-1.5*$EK105^0.5/(1+'Elements and ions'!$D$10*$EK105^0.5/(2*(79.755*EXP(-0.0046*($D105-20))*($D105+273.15))^0.5)))</f>
        <v>0.8905573040242829</v>
      </c>
      <c r="GM105" s="95">
        <f>10^(-1825000*(79.755*EXP(-0.0046*($D105-20))*($D105+273.15))^-1.5*4*$EK105^0.5/(1+'Elements and ions'!$I$5*$EK105^0.5/(2*(79.755*EXP(-0.0046*($D105-20))*($D105+273.15))^0.5)))</f>
        <v>0.63361838501017209</v>
      </c>
      <c r="GN105" s="96"/>
      <c r="GO105" s="101">
        <f t="shared" si="823"/>
        <v>4.23869780082243E-4</v>
      </c>
      <c r="GP105" s="94">
        <f t="shared" si="824"/>
        <v>5.7868073900075799E-5</v>
      </c>
      <c r="GQ105" s="94">
        <f t="shared" si="825"/>
        <v>1.1305726201586517E-3</v>
      </c>
      <c r="GR105" s="94">
        <f t="shared" si="826"/>
        <v>3.2181478727707227E-4</v>
      </c>
      <c r="GS105" s="95" t="str">
        <f t="shared" si="827"/>
        <v/>
      </c>
      <c r="GT105" s="101">
        <f t="shared" si="828"/>
        <v>3.7926738518658273E-3</v>
      </c>
      <c r="GU105" s="94">
        <f t="shared" si="829"/>
        <v>1.0055714604440976E-5</v>
      </c>
      <c r="GV105" s="94">
        <f t="shared" si="830"/>
        <v>3.2192115182798407E-4</v>
      </c>
      <c r="GW105" s="94">
        <f t="shared" si="831"/>
        <v>2.9002857417911458E-4</v>
      </c>
      <c r="GX105" s="94">
        <f t="shared" si="832"/>
        <v>5.3953558419686011E-6</v>
      </c>
      <c r="GY105" s="102">
        <f t="shared" si="833"/>
        <v>8.272038118986546E-5</v>
      </c>
      <c r="GZ105" s="199"/>
      <c r="HA105" s="92">
        <f>IF(AND(GQ105&lt;&gt;"",GU105&lt;&gt;""),LOG(GQ105*GU105/Minerals!$C$6),"")</f>
        <v>0.53588340882712948</v>
      </c>
      <c r="HB105" s="94">
        <f>IF(AND(GQ105&lt;&gt;"",GU105&lt;&gt;""),LOG(GQ105*GU105/Minerals!$C$5),"")</f>
        <v>0.40540387947091172</v>
      </c>
      <c r="HC105" s="94">
        <f>IF(AND(GQ105&lt;&gt;"",GX105&lt;&gt;""),LOG(GQ105*GX105^2/Minerals!$C$2),"")</f>
        <v>-2.9127364055961245</v>
      </c>
      <c r="HD105" s="94">
        <f>IF(AND(GQ105&lt;&gt;"",GY105&lt;&gt;""),LOG($GQ105*$GY105/Minerals!$C$3),"")</f>
        <v>-2.4291086443579473</v>
      </c>
      <c r="HE105" s="102">
        <f>IF(AND(GQ105&lt;&gt;"",GY105&lt;&gt;""),LOG($GQ105*$GY105/Minerals!$C$3),"")</f>
        <v>-2.4291086443579473</v>
      </c>
      <c r="HF105" s="199"/>
      <c r="HG105" s="92">
        <f>IF(HA105&lt;&gt;"",LOG(GQ105*GU105/(EXP(-1*Minerals!$E$6/'Other Constants'!$B$2*(1/(273.15+'ppm-mgL-1'!$D105)-1/298.15)+LN(Minerals!$C$6)))),"")</f>
        <v>6.5983036386778951E-2</v>
      </c>
      <c r="HH105" s="94">
        <f>IF(HA105&lt;&gt;"",LOG(GQ105*GU105/(EXP(-1*Minerals!$E$5/'Other Constants'!$B$2*(1/(273.15+'ppm-mgL-1'!$D105)-1/298.15)+LN(Minerals!$C$5)))),"")</f>
        <v>-6.4538973374016997E-2</v>
      </c>
      <c r="HI105" s="94">
        <f>IF(HC105&lt;&gt;"",LOG(GQ105*GX105^2/(EXP(-1*Minerals!$E$2/'Other Constants'!$B$2*(1/(273.15+'ppm-mgL-1'!$D105)-1/298.15)+LN(Minerals!$C$2)))),"")</f>
        <v>-2.8928697363881142</v>
      </c>
      <c r="HJ105" s="94">
        <f>IF(HD105&lt;&gt;"",LOG($FF105*$FN105/(EXP(-1*Minerals!$E$3/'Other Constants'!$B$2*(1/(273.15+'ppm-mgL-1'!$D105)-1/298.15)+LN(Minerals!$C$3)))),"")</f>
        <v>-2.0369101922563626</v>
      </c>
      <c r="HK105" s="95">
        <f>IF(HE105&lt;&gt;"",LOG($FF105*$FN105/(EXP(-1*Minerals!$E$4/'Other Constants'!$B$2*(1/(273.15+'ppm-mgL-1'!$D105)-1/298.15)+LN(Minerals!$C$4)))),"")</f>
        <v>-2.693569416087183</v>
      </c>
      <c r="HL105" s="199"/>
      <c r="HM105" s="199"/>
    </row>
    <row r="106" spans="1:221" x14ac:dyDescent="0.25">
      <c r="A106" s="267" t="str">
        <f>'WC samples'!B77</f>
        <v>ISST Direct</v>
      </c>
      <c r="C106" s="266">
        <f>'WC samples'!A77</f>
        <v>41659</v>
      </c>
      <c r="D106" s="276">
        <v>24</v>
      </c>
      <c r="E106" s="4">
        <f>'WC samples'!F77</f>
        <v>7.65</v>
      </c>
      <c r="AD106" s="83">
        <f>IF(E106&lt;&gt;"",10^(-2*$E106)/(10^(-2*$E106)+10^(-$E106-pKa!$B$2)+(10^(-pKa!$B$2-pKa!$C$2))),"")</f>
        <v>4.2666975945951625E-2</v>
      </c>
      <c r="AE106" s="84">
        <f>IF(E106&lt;&gt;"",10^(-$E106-pKa!$B$2)/(10^(-2*$E106)+10^(-$E106-pKa!$B$2)+10^(-pKa!$B$2-pKa!$C$2)),"")</f>
        <v>0.95519460968988912</v>
      </c>
      <c r="AF106" s="212">
        <f>IF(E106&lt;&gt;"",10^(-pKa!$B$2-pKa!$C$2)/(10^(-2*$E106)+10^(-$E106-pKa!$B$2)+10^(-pKa!$B$2-pKa!$C$2)),"")</f>
        <v>2.1384143641592821E-3</v>
      </c>
      <c r="AG106" s="152"/>
      <c r="AH106" s="222">
        <f>IF($AK106&lt;&gt;"",$AK106/'Elements and ions'!$G$3,IF($E106="","",""))</f>
        <v>4.1627852245380135</v>
      </c>
      <c r="AI106" s="85">
        <f t="shared" si="770"/>
        <v>4.3386229475516572E-3</v>
      </c>
      <c r="AJ106" s="84">
        <f>IF(AI106&lt;&gt;"",AI106*1000*'Elements and ions'!$B$7,"")</f>
        <v>52.109898636158697</v>
      </c>
      <c r="AK106" s="99">
        <f>'WC samples'!H77</f>
        <v>254</v>
      </c>
      <c r="AL106" s="88">
        <f>IF($AK106&lt;&gt;"",$AK106/'Elements and ions'!$G$3*Minerals!$B$6/2,IF($E106="","","Enter Alk(HCO3-)"))</f>
        <v>208.32013424490685</v>
      </c>
      <c r="AM106" s="199"/>
      <c r="AN106" s="101">
        <f t="shared" si="837"/>
        <v>1.8511592094174031E-4</v>
      </c>
      <c r="AO106" s="94">
        <f t="shared" si="838"/>
        <v>4.1442292529782019E-3</v>
      </c>
      <c r="AP106" s="95">
        <f t="shared" si="839"/>
        <v>9.2777736317155481E-6</v>
      </c>
      <c r="AQ106" s="199"/>
      <c r="AR106" s="199"/>
      <c r="AS106" s="83">
        <f t="shared" si="760"/>
        <v>0.54445859100511851</v>
      </c>
      <c r="AT106" s="83">
        <f>IF(AN106&lt;&gt;"",AN106/'Henrys law constants'!$B$7*1000000,"")</f>
        <v>5444.5859100511852</v>
      </c>
      <c r="AU106" s="268">
        <f>'WC samples'!K77</f>
        <v>11.609500000000001</v>
      </c>
      <c r="AV106" s="269">
        <f>'WC samples'!M77</f>
        <v>2.5493000000000001</v>
      </c>
      <c r="AW106" s="269">
        <f>'WC samples'!O77</f>
        <v>79.661100000000005</v>
      </c>
      <c r="AX106" s="269">
        <f>'WC samples'!N77</f>
        <v>11.7742</v>
      </c>
      <c r="AY106" s="226">
        <f>AO106*'Elements and ions'!$G$3*1000</f>
        <v>252.86777325229042</v>
      </c>
      <c r="AZ106" s="269">
        <f>'WC samples'!Q77</f>
        <v>15.3004</v>
      </c>
      <c r="BA106" s="269">
        <f>'WC samples'!T77</f>
        <v>21.632400000000001</v>
      </c>
      <c r="BB106" s="270">
        <f>'WC samples'!V77</f>
        <v>13.1991</v>
      </c>
      <c r="BC106" s="222">
        <f>IF($E106&lt;&gt;"",10^-$E106*'Elements and ions'!B110*1000,"")</f>
        <v>0</v>
      </c>
      <c r="BE106" s="6"/>
      <c r="BF106" s="6"/>
      <c r="BG106" s="270">
        <f>'WC samples'!L77</f>
        <v>0</v>
      </c>
      <c r="BH106" s="3"/>
      <c r="BJ106" s="92">
        <f>IF($AN106&lt;&gt;"",$AN106*'Elements and ions'!$G$2*1000,"")</f>
        <v>11.481774270908833</v>
      </c>
      <c r="BK106" s="229"/>
      <c r="BL106" s="230"/>
      <c r="BM106" s="101">
        <f>IF($E106&lt;&gt;"",(10^-14+$E106)*'Elements and ions'!$G$8,"")</f>
        <v>130.10615100000015</v>
      </c>
      <c r="BO106" s="102">
        <f>IF($AP106&lt;&gt;"",$AP106*'Elements and ions'!$G$4*1000,"")</f>
        <v>0.55674899008825507</v>
      </c>
      <c r="BP106" s="269">
        <f>'WC samples'!P77</f>
        <v>0.12130000000000001</v>
      </c>
      <c r="BQ106" s="270">
        <f>'WC samples'!R77</f>
        <v>0</v>
      </c>
      <c r="BR106" s="195"/>
      <c r="BS106" s="238">
        <f>IF($AU106&lt;&gt;"",$AU106/'Elements and ions'!$B$12,"")</f>
        <v>0.50498549413889549</v>
      </c>
      <c r="BT106" s="239">
        <f>IF($AV106&lt;&gt;"",$AV106/'Elements and ions'!$B$20,"")</f>
        <v>6.5202323374673576E-2</v>
      </c>
      <c r="BU106" s="239">
        <f>IF($AW106&lt;&gt;"",$AW106/'Elements and ions'!$B$21, "")</f>
        <v>1.9876515794201308</v>
      </c>
      <c r="BV106" s="240">
        <f>IF($AX106&lt;&gt;"",$AX106/'Elements and ions'!$B$13, "")</f>
        <v>0.48443530137831725</v>
      </c>
      <c r="BW106" s="238">
        <f>IF($AY106&lt;&gt;"",$AY106/'Elements and ions'!$G$3,"")</f>
        <v>4.1442292529782012</v>
      </c>
      <c r="BX106" s="239">
        <f>IF($AZ106&lt;&gt;"",$AZ106/'Elements and ions'!$B$18,"")</f>
        <v>0.43156855555242146</v>
      </c>
      <c r="BY106" s="239">
        <f>IF($BA106&lt;&gt;"",$BA106/'Elements and ions'!$G$7,"")</f>
        <v>0.34888210447883961</v>
      </c>
      <c r="BZ106" s="241">
        <f>IF($BB106&lt;&gt;"",$BB106/'Elements and ions'!$G$5,"")</f>
        <v>0.13740102807960641</v>
      </c>
      <c r="CA106" s="91">
        <f t="shared" si="761"/>
        <v>2.2387211385683366E-5</v>
      </c>
      <c r="CB106" s="163" t="str">
        <f>IF($BD106&lt;&gt;"",$BD106/'Elements and ions'!$B$14,"")</f>
        <v/>
      </c>
      <c r="CC106" s="89" t="str">
        <f>IF($BE106&lt;&gt;"",$BE106/'Elements and ions'!$B$27, "")</f>
        <v/>
      </c>
      <c r="CD106" s="249" t="str">
        <f>IF($BF106&lt;&gt;"",$BF106/'Elements and ions'!$B$26,"")</f>
        <v/>
      </c>
      <c r="CE106" s="250">
        <f>IF($BG106&lt;&gt;"",$BG106/'Elements and ions'!$G$6,"")</f>
        <v>0</v>
      </c>
      <c r="CF106" s="91" t="str">
        <f>IF($BH106&lt;&gt;"",$BH106/'Elements and ions'!$G$15,"")</f>
        <v/>
      </c>
      <c r="CG106" s="89" t="str">
        <f>IF($BI106&lt;&gt;"",$BI106/'Elements and ions'!$G$16,"")</f>
        <v/>
      </c>
      <c r="CH106" s="90">
        <f>IF($BJ106&lt;&gt;"",$BJ106/'Elements and ions'!$G$2,"")</f>
        <v>0.18511592094174029</v>
      </c>
      <c r="CI106" s="91" t="str">
        <f>IF($BK106&lt;&gt;"",$BK106/'Elements and ions'!$B$15, "")</f>
        <v/>
      </c>
      <c r="CJ106" s="88" t="str">
        <f>IF($BL106&lt;&gt;"", $BL106/'Elements and ions'!$G$17,"")</f>
        <v/>
      </c>
      <c r="CK106" s="89">
        <f t="shared" si="762"/>
        <v>4.4668359215096327E-4</v>
      </c>
      <c r="CL106" s="163" t="str">
        <f>IF($BN106&lt;&gt;"", $BN106/'Elements and ions'!$G$19,"")</f>
        <v/>
      </c>
      <c r="CM106" s="89">
        <f>IF($BO106&lt;&gt;"",$BO106/'Elements and ions'!$G$4,"")</f>
        <v>9.2777736317155475E-3</v>
      </c>
      <c r="CN106" s="89">
        <f>IF($BP106&lt;&gt;"",$BP106/'Elements and ions'!$B$10,"")</f>
        <v>6.3847471139048158E-3</v>
      </c>
      <c r="CO106" s="104">
        <f>IF($BQ106&lt;&gt;"",$BQ106/'Elements and ions'!$G$18,"")</f>
        <v>0</v>
      </c>
      <c r="CP106" s="242"/>
      <c r="CQ106" s="238">
        <f t="shared" si="771"/>
        <v>5.049854941388955E-4</v>
      </c>
      <c r="CR106" s="239">
        <f t="shared" si="772"/>
        <v>6.5202323374673573E-5</v>
      </c>
      <c r="CS106" s="239">
        <f t="shared" si="773"/>
        <v>1.9876515794201308E-3</v>
      </c>
      <c r="CT106" s="241">
        <f t="shared" si="774"/>
        <v>4.8443530137831723E-4</v>
      </c>
      <c r="CU106" s="238">
        <f t="shared" si="775"/>
        <v>4.144229252978201E-3</v>
      </c>
      <c r="CV106" s="239">
        <f t="shared" si="776"/>
        <v>4.3156855555242146E-4</v>
      </c>
      <c r="CW106" s="239">
        <f t="shared" si="777"/>
        <v>3.488821044788396E-4</v>
      </c>
      <c r="CX106" s="241">
        <f t="shared" si="778"/>
        <v>1.3740102807960642E-4</v>
      </c>
      <c r="CY106" s="258">
        <f t="shared" si="763"/>
        <v>2.2387211385683365E-8</v>
      </c>
      <c r="CZ106" s="259" t="str">
        <f t="shared" si="779"/>
        <v/>
      </c>
      <c r="DA106" s="260" t="str">
        <f t="shared" si="780"/>
        <v/>
      </c>
      <c r="DB106" s="261" t="str">
        <f t="shared" si="781"/>
        <v/>
      </c>
      <c r="DC106" s="262">
        <f t="shared" si="782"/>
        <v>0</v>
      </c>
      <c r="DD106" s="263" t="str">
        <f t="shared" si="783"/>
        <v/>
      </c>
      <c r="DE106" s="259" t="str">
        <f t="shared" si="784"/>
        <v/>
      </c>
      <c r="DF106" s="260">
        <f t="shared" si="785"/>
        <v>1.8511592094174029E-4</v>
      </c>
      <c r="DG106" s="260" t="str">
        <f t="shared" si="786"/>
        <v/>
      </c>
      <c r="DH106" s="264" t="str">
        <f t="shared" si="787"/>
        <v/>
      </c>
      <c r="DI106" s="258">
        <f t="shared" si="764"/>
        <v>4.4668359215096327E-7</v>
      </c>
      <c r="DJ106" s="260" t="str">
        <f t="shared" si="788"/>
        <v/>
      </c>
      <c r="DK106" s="260">
        <f t="shared" si="789"/>
        <v>9.2777736317155481E-6</v>
      </c>
      <c r="DL106" s="260">
        <f t="shared" si="790"/>
        <v>6.384747113904816E-6</v>
      </c>
      <c r="DM106" s="265">
        <f t="shared" si="791"/>
        <v>0</v>
      </c>
      <c r="DN106" s="242"/>
      <c r="DO106" s="238">
        <f t="shared" si="792"/>
        <v>0.50498549413889549</v>
      </c>
      <c r="DP106" s="239">
        <f t="shared" si="793"/>
        <v>6.5202323374673576E-2</v>
      </c>
      <c r="DQ106" s="239">
        <f t="shared" si="794"/>
        <v>3.9753031588402616</v>
      </c>
      <c r="DR106" s="241">
        <f t="shared" si="795"/>
        <v>0.9688706027566345</v>
      </c>
      <c r="DS106" s="238">
        <f t="shared" si="796"/>
        <v>-4.1442292529782012</v>
      </c>
      <c r="DT106" s="239">
        <f t="shared" si="797"/>
        <v>-0.43156855555242146</v>
      </c>
      <c r="DU106" s="239">
        <f t="shared" si="798"/>
        <v>-0.34888210447883961</v>
      </c>
      <c r="DV106" s="241">
        <f t="shared" si="799"/>
        <v>-0.27480205615921283</v>
      </c>
      <c r="DW106" s="91">
        <f t="shared" si="765"/>
        <v>2.2387211385683366E-5</v>
      </c>
      <c r="DX106" s="89">
        <f t="shared" si="800"/>
        <v>0</v>
      </c>
      <c r="DY106" s="89">
        <f t="shared" si="801"/>
        <v>0</v>
      </c>
      <c r="DZ106" s="89">
        <f t="shared" si="802"/>
        <v>0</v>
      </c>
      <c r="EA106" s="90">
        <f t="shared" si="803"/>
        <v>0</v>
      </c>
      <c r="EB106" s="91">
        <f t="shared" si="766"/>
        <v>-4.4668359215096327E-4</v>
      </c>
      <c r="EC106" s="89">
        <f t="shared" si="804"/>
        <v>0</v>
      </c>
      <c r="ED106" s="89">
        <f t="shared" si="805"/>
        <v>-1.8555547263431095E-2</v>
      </c>
      <c r="EE106" s="89">
        <f t="shared" si="806"/>
        <v>-6.3847471139048158E-3</v>
      </c>
      <c r="EF106" s="90">
        <f t="shared" si="807"/>
        <v>0</v>
      </c>
      <c r="EG106" s="242"/>
      <c r="EH106" s="245">
        <f t="shared" si="808"/>
        <v>5.5143839663218515</v>
      </c>
      <c r="EI106" s="246">
        <f t="shared" si="809"/>
        <v>-5.2248689471381615</v>
      </c>
      <c r="EJ106" s="198">
        <f t="shared" si="810"/>
        <v>2.6958580966170103</v>
      </c>
      <c r="EK106" s="198">
        <f t="shared" si="811"/>
        <v>1.3188577874330686E-2</v>
      </c>
      <c r="EL106" s="101">
        <f>IF(AND(CS106&lt;&gt;"",DK106&lt;&gt;""),LOG(CS106*DK106/Minerals!$C$6),"")</f>
        <v>0.74595603632188034</v>
      </c>
      <c r="EM106" s="94">
        <f>IF(AND(CS106&lt;&gt;"",DK106&lt;&gt;""),LOG(CS106*DK106/Minerals!$C$5),"")</f>
        <v>0.61547650696566258</v>
      </c>
      <c r="EN106" s="94">
        <f>IF(AND(CS106&lt;&gt;"",DL106&lt;&gt;""),LOG(CS106*DL106^2/Minerals!$C$2),"")</f>
        <v>-2.5214473964803981</v>
      </c>
      <c r="EO106" s="94">
        <f>IF(AND(CS106&lt;&gt;"",CX106&lt;&gt;""),LOG($CS106*$CX106/Minerals!$C$3),"")</f>
        <v>-1.96368939466426</v>
      </c>
      <c r="EP106" s="95">
        <f>IF(AND(CS106&lt;&gt;"",CX106&lt;&gt;""),LOG($CS106*$CX106/Minerals!$C$4),"")</f>
        <v>-2.2036739061301622</v>
      </c>
      <c r="EQ106" s="199"/>
      <c r="ER106" s="101">
        <f t="shared" si="840"/>
        <v>0.88816618484987209</v>
      </c>
      <c r="ES106" s="94">
        <f t="shared" si="840"/>
        <v>0.88816618484987209</v>
      </c>
      <c r="ET106" s="94">
        <f t="shared" si="841"/>
        <v>0.62226723914088056</v>
      </c>
      <c r="EU106" s="94">
        <f t="shared" si="841"/>
        <v>0.62226723914088056</v>
      </c>
      <c r="EV106" s="95">
        <f t="shared" si="841"/>
        <v>0.62226723914088056</v>
      </c>
      <c r="EW106" s="101">
        <f t="shared" si="842"/>
        <v>0.88816618484987209</v>
      </c>
      <c r="EX106" s="94">
        <f t="shared" si="758"/>
        <v>0.62226723914088056</v>
      </c>
      <c r="EY106" s="94">
        <f t="shared" si="842"/>
        <v>0.88816618484987209</v>
      </c>
      <c r="EZ106" s="94">
        <f t="shared" si="842"/>
        <v>0.88816618484987209</v>
      </c>
      <c r="FA106" s="94">
        <f t="shared" si="842"/>
        <v>0.88816618484987209</v>
      </c>
      <c r="FB106" s="95">
        <f t="shared" si="759"/>
        <v>0.62226723914088056</v>
      </c>
      <c r="FC106" s="199"/>
      <c r="FD106" s="101">
        <f t="shared" si="812"/>
        <v>4.4851103973387024E-4</v>
      </c>
      <c r="FE106" s="94">
        <f t="shared" si="813"/>
        <v>5.7910498795031462E-5</v>
      </c>
      <c r="FF106" s="94">
        <f t="shared" si="814"/>
        <v>1.2368504606997755E-3</v>
      </c>
      <c r="FG106" s="94">
        <f t="shared" si="815"/>
        <v>3.0144821753106586E-4</v>
      </c>
      <c r="FH106" s="95" t="str">
        <f t="shared" si="816"/>
        <v/>
      </c>
      <c r="FI106" s="101">
        <f t="shared" si="817"/>
        <v>3.6807642847608841E-3</v>
      </c>
      <c r="FJ106" s="94">
        <f t="shared" si="818"/>
        <v>5.7732545831816949E-6</v>
      </c>
      <c r="FK106" s="94">
        <f t="shared" si="819"/>
        <v>3.8330459748616422E-4</v>
      </c>
      <c r="FL106" s="94">
        <f t="shared" si="820"/>
        <v>3.0986528769736543E-4</v>
      </c>
      <c r="FM106" s="94">
        <f t="shared" si="821"/>
        <v>5.6707164853880725E-6</v>
      </c>
      <c r="FN106" s="95">
        <f t="shared" si="822"/>
        <v>8.5500158398215298E-5</v>
      </c>
      <c r="FO106" s="199"/>
      <c r="FP106" s="101">
        <f>IF(EL106&lt;&gt;"",LOG(FF106*FJ106/Minerals!$C$6),"")</f>
        <v>0.33390991039475015</v>
      </c>
      <c r="FQ106" s="94">
        <f>IF(EL106&lt;&gt;"",LOG(FF106*FJ106/Minerals!$C$5),"")</f>
        <v>0.20343038103853248</v>
      </c>
      <c r="FR106" s="94">
        <f>IF(EN106&lt;&gt;"",LOG(FF106*FM106^2/Minerals!$C$2),"")</f>
        <v>-2.8304819909257457</v>
      </c>
      <c r="FS106" s="94">
        <f>IF(EO106&lt;&gt;"",LOG($FF106*$FN106/Minerals!$C$3),"")</f>
        <v>-2.3757355205913901</v>
      </c>
      <c r="FT106" s="95">
        <f>IF(EP106&lt;&gt;"",LOG($FF106*$FN106/Minerals!$C$4),"")</f>
        <v>-2.6157200320572924</v>
      </c>
      <c r="FU106" s="96"/>
      <c r="FV106" s="101">
        <f>IF(FP106&lt;&gt;"",LOG(FF106*FJ106/(EXP(-1*Minerals!$E$6/'Other Constants'!$B$2*(1/(273.15+'ppm-mgL-1'!$D106)-1/298.15)+LN(Minerals!$C$6)))),"")</f>
        <v>-5.7410173727078573E-2</v>
      </c>
      <c r="FW106" s="94">
        <f>IF(FP106&lt;&gt;"",LOG(FF106*FJ106/(EXP(-1*Minerals!$E$5/'Other Constants'!$B$2*(1/(273.15+'ppm-mgL-1'!$D106)-1/298.15)+LN(Minerals!$C$5)))),"")</f>
        <v>-0.18792507959386695</v>
      </c>
      <c r="FX106" s="94">
        <f>IF(FR106&lt;&gt;"",LOG(FF106*FM106^2/(EXP(-1*Minerals!$E$2/'Other Constants'!$B$2*(1/(273.15+'ppm-mgL-1'!$D106)-1/298.15)+LN(Minerals!$C$2)))),"")</f>
        <v>-2.8139375761483638</v>
      </c>
      <c r="FY106" s="94">
        <f>IF(FS106&lt;&gt;"",LOG($FF106*$FN106/(EXP(-1*Minerals!$E$3/'Other Constants'!$B$2*(1/(273.15+'ppm-mgL-1'!$D106)-1/298.15)+LN(Minerals!$C$3)))),"")</f>
        <v>-2.0384039832516376</v>
      </c>
      <c r="FZ106" s="95">
        <f>IF(FT106&lt;&gt;"",LOG($FF106*$FN106/(EXP(-1*Minerals!$E$4/'Other Constants'!$B$2*(1/(273.15+'ppm-mgL-1'!$D106)-1/298.15)+LN(Minerals!$C$4)))),"")</f>
        <v>-2.6253837155284709</v>
      </c>
      <c r="GA106" s="96"/>
      <c r="GB106" s="96"/>
      <c r="GC106" s="101">
        <f>10^(-1825000*(79.755*EXP(-0.0046*($D106-20))*($D106+273.15))^-1.5*$EK106^0.5/(1+'Elements and ions'!$D$12*$EK106^0.5/(2*(79.755*EXP(-0.0046*($D106-20))*($D106+273.15))^0.5)))</f>
        <v>0.88853512430763892</v>
      </c>
      <c r="GD106" s="94">
        <f>10^(-1825000*(79.755*EXP(-0.0046*($D106-20))*($D106+273.15))^-1.5*$EK106^0.5/(1+'Elements and ions'!$D$20*$EK106^0.5/(2*(79.755*EXP(-0.0046*($D106-20))*($D106+273.15))^0.5)))</f>
        <v>0.88499038956317344</v>
      </c>
      <c r="GE106" s="94">
        <f>10^(-1825000*(79.755*EXP(-0.0046*($D106-20))*($D106+273.15))^-1.5*4*$EK106^0.5/(1+'Elements and ions'!$D$21*$EK106^0.5/(2*(79.755*EXP(-0.0046*($D106-20))*($D106+273.15))^0.5)))</f>
        <v>0.64166345596873153</v>
      </c>
      <c r="GF106" s="94">
        <f>10^(-1825000*(79.755*EXP(-0.0046*($D106-20))*($D106+273.15))^-1.5*4*$EK106^0.5/(1+'Elements and ions'!$D$13*$EK106^0.5/(2*(79.755*EXP(-0.0046*($D106-20))*($D106+273.15))^0.5)))</f>
        <v>0.6583503008144721</v>
      </c>
      <c r="GG106" s="95">
        <f>10^(-1825000*(79.755*EXP(-0.0046*($D106-20))*($D106+273.15))^-1.5*4*$EK106^0.5/(1+'Elements and ions'!$D$27*$EK106^0.5/(2*(79.755*EXP(-0.0046*($D106-20))*($D106+273.15))^0.5)))</f>
        <v>0.64166345596873153</v>
      </c>
      <c r="GH106" s="101">
        <f>10^(-1825000*(79.755*EXP(-0.0046*($D106-20))*($D106+273.15))^-1.5*$EK106^0.5/(1+'Elements and ions'!$G$3*$EK106^0.5/(2*(79.755*EXP(-0.0046*($D106-20))*($D106+273.15))^0.5)))</f>
        <v>0.87553227457886951</v>
      </c>
      <c r="GI106" s="94">
        <f>10^(-1825000*(79.755*EXP(-0.0046*($D106-20))*($D106+273.15))^-1.5*4*$EK106^0.5/(1+'Elements and ions'!$G$4*$EK106^0.5/(2*(79.755*EXP(-0.0046*($D106-20))*($D106+273.15))^0.5)))</f>
        <v>0.58749335770007804</v>
      </c>
      <c r="GJ106" s="94">
        <f>10^(-1825000*(79.755*EXP(-0.0046*($D106-20))*($D106+273.15))^-1.5*$EK106^0.5/(1+'Elements and ions'!$D$18*$EK106^0.5/(2*(79.755*EXP(-0.0046*($D106-20))*($D106+273.15))^0.5)))</f>
        <v>0.88499038956317344</v>
      </c>
      <c r="GK106" s="94">
        <f>10^(-1825000*(79.755*EXP(-0.0046*($D106-20))*($D106+273.15))^-1.5*$EK106^0.5/(1+'Elements and ions'!$I$7*$EK106^0.5/(2*(79.755*EXP(-0.0046*($D106-20))*($D106+273.15))^0.5)))</f>
        <v>0.88499038956317344</v>
      </c>
      <c r="GL106" s="94">
        <f>10^(-1825000*(79.755*EXP(-0.0046*($D106-20))*($D106+273.15))^-1.5*$EK106^0.5/(1+'Elements and ions'!$D$10*$EK106^0.5/(2*(79.755*EXP(-0.0046*($D106-20))*($D106+273.15))^0.5)))</f>
        <v>0.88679046223556635</v>
      </c>
      <c r="GM106" s="95">
        <f>10^(-1825000*(79.755*EXP(-0.0046*($D106-20))*($D106+273.15))^-1.5*4*$EK106^0.5/(1+'Elements and ions'!$I$5*$EK106^0.5/(2*(79.755*EXP(-0.0046*($D106-20))*($D106+273.15))^0.5)))</f>
        <v>0.62330182942416934</v>
      </c>
      <c r="GN106" s="96"/>
      <c r="GO106" s="101">
        <f t="shared" si="823"/>
        <v>4.4869734880825796E-4</v>
      </c>
      <c r="GP106" s="94">
        <f t="shared" si="824"/>
        <v>5.7703429563776375E-5</v>
      </c>
      <c r="GQ106" s="94">
        <f t="shared" si="825"/>
        <v>1.2754033817124288E-3</v>
      </c>
      <c r="GR106" s="94">
        <f t="shared" si="826"/>
        <v>3.1892812638756459E-4</v>
      </c>
      <c r="GS106" s="95" t="str">
        <f t="shared" si="827"/>
        <v/>
      </c>
      <c r="GT106" s="101">
        <f t="shared" si="828"/>
        <v>3.6284064642362938E-3</v>
      </c>
      <c r="GU106" s="94">
        <f t="shared" si="829"/>
        <v>5.4506303828778144E-6</v>
      </c>
      <c r="GV106" s="94">
        <f t="shared" si="830"/>
        <v>3.8193402410155355E-4</v>
      </c>
      <c r="GW106" s="94">
        <f t="shared" si="831"/>
        <v>3.0875730955434803E-4</v>
      </c>
      <c r="GX106" s="94">
        <f t="shared" si="832"/>
        <v>5.6619328443968503E-6</v>
      </c>
      <c r="GY106" s="102">
        <f t="shared" si="833"/>
        <v>8.5642312166780345E-5</v>
      </c>
      <c r="GZ106" s="199"/>
      <c r="HA106" s="92">
        <f>IF(AND(GQ106&lt;&gt;"",GU106&lt;&gt;""),LOG(GQ106*GU106/Minerals!$C$6),"")</f>
        <v>0.32226630313265647</v>
      </c>
      <c r="HB106" s="94">
        <f>IF(AND(GQ106&lt;&gt;"",GU106&lt;&gt;""),LOG(GQ106*GU106/Minerals!$C$5),"")</f>
        <v>0.19178677377643868</v>
      </c>
      <c r="HC106" s="94">
        <f>IF(AND(GQ106&lt;&gt;"",GX106&lt;&gt;""),LOG(GQ106*GX106^2/Minerals!$C$2),"")</f>
        <v>-2.8184980634991468</v>
      </c>
      <c r="HD106" s="94">
        <f>IF(AND(GQ106&lt;&gt;"",GY106&lt;&gt;""),LOG($GQ106*$GY106/Minerals!$C$3),"")</f>
        <v>-2.3616836870462889</v>
      </c>
      <c r="HE106" s="102">
        <f>IF(AND(GQ106&lt;&gt;"",GY106&lt;&gt;""),LOG($GQ106*$GY106/Minerals!$C$3),"")</f>
        <v>-2.3616836870462889</v>
      </c>
      <c r="HF106" s="199"/>
      <c r="HG106" s="92">
        <f>IF(HA106&lt;&gt;"",LOG(GQ106*GU106/(EXP(-1*Minerals!$E$6/'Other Constants'!$B$2*(1/(273.15+'ppm-mgL-1'!$D106)-1/298.15)+LN(Minerals!$C$6)))),"")</f>
        <v>-6.9053780989172295E-2</v>
      </c>
      <c r="HH106" s="94">
        <f>IF(HA106&lt;&gt;"",LOG(GQ106*GU106/(EXP(-1*Minerals!$E$5/'Other Constants'!$B$2*(1/(273.15+'ppm-mgL-1'!$D106)-1/298.15)+LN(Minerals!$C$5)))),"")</f>
        <v>-0.19956868685596074</v>
      </c>
      <c r="HI106" s="94">
        <f>IF(HC106&lt;&gt;"",LOG(GQ106*GX106^2/(EXP(-1*Minerals!$E$2/'Other Constants'!$B$2*(1/(273.15+'ppm-mgL-1'!$D106)-1/298.15)+LN(Minerals!$C$2)))),"")</f>
        <v>-2.8019536487217649</v>
      </c>
      <c r="HJ106" s="94">
        <f>IF(HD106&lt;&gt;"",LOG($FF106*$FN106/(EXP(-1*Minerals!$E$3/'Other Constants'!$B$2*(1/(273.15+'ppm-mgL-1'!$D106)-1/298.15)+LN(Minerals!$C$3)))),"")</f>
        <v>-2.0384039832516376</v>
      </c>
      <c r="HK106" s="95">
        <f>IF(HE106&lt;&gt;"",LOG($FF106*$FN106/(EXP(-1*Minerals!$E$4/'Other Constants'!$B$2*(1/(273.15+'ppm-mgL-1'!$D106)-1/298.15)+LN(Minerals!$C$4)))),"")</f>
        <v>-2.6253837155284709</v>
      </c>
      <c r="HL106" s="199"/>
      <c r="HM106" s="199"/>
    </row>
    <row r="107" spans="1:221" x14ac:dyDescent="0.25">
      <c r="A107" s="267" t="str">
        <f>'WC samples'!B78</f>
        <v>ISST Direct</v>
      </c>
      <c r="C107" s="266">
        <f>'WC samples'!A78</f>
        <v>41685</v>
      </c>
      <c r="D107" s="4">
        <f>'WC samples'!I78</f>
        <v>23.6</v>
      </c>
      <c r="E107" s="4">
        <f>'WC samples'!F78</f>
        <v>7.88</v>
      </c>
      <c r="AD107" s="83">
        <f>IF(E107&lt;&gt;"",10^(-2*$E107)/(10^(-2*$E107)+10^(-$E107-pKa!$B$2)+(10^(-pKa!$B$2-pKa!$C$2))),"")</f>
        <v>2.5533990029601213E-2</v>
      </c>
      <c r="AE107" s="84">
        <f>IF(E107&lt;&gt;"",10^(-$E107-pKa!$B$2)/(10^(-2*$E107)+10^(-$E107-pKa!$B$2)+10^(-pKa!$B$2-pKa!$C$2)),"")</f>
        <v>0.97077522550093731</v>
      </c>
      <c r="AF107" s="212">
        <f>IF(E107&lt;&gt;"",10^(-pKa!$B$2-pKa!$C$2)/(10^(-2*$E107)+10^(-$E107-pKa!$B$2)+10^(-pKa!$B$2-pKa!$C$2)),"")</f>
        <v>3.6907844694615602E-3</v>
      </c>
      <c r="AG107" s="152"/>
      <c r="AH107" s="222">
        <f>IF($AK107&lt;&gt;"",$AK107/'Elements and ions'!$G$3,IF($E107="","",""))</f>
        <v>3.982507124262745</v>
      </c>
      <c r="AI107" s="85">
        <f t="shared" si="770"/>
        <v>4.0714396725611991E-3</v>
      </c>
      <c r="AJ107" s="84">
        <f>IF(AI107&lt;&gt;"",AI107*1000*'Elements and ions'!$B$7,"")</f>
        <v>48.900840475230801</v>
      </c>
      <c r="AK107" s="99">
        <f>'WC samples'!H78</f>
        <v>243</v>
      </c>
      <c r="AL107" s="88">
        <f>IF($AK107&lt;&gt;"",$AK107/'Elements and ions'!$G$3*Minerals!$B$6/2,IF($E107="","","Enter Alk(HCO3-)"))</f>
        <v>199.29839614768647</v>
      </c>
      <c r="AM107" s="199"/>
      <c r="AN107" s="101">
        <f t="shared" si="837"/>
        <v>1.0396010000530048E-4</v>
      </c>
      <c r="AO107" s="94">
        <f t="shared" si="838"/>
        <v>3.9524527662440608E-3</v>
      </c>
      <c r="AP107" s="95">
        <f t="shared" si="839"/>
        <v>1.5026806311838533E-5</v>
      </c>
      <c r="AQ107" s="199"/>
      <c r="AR107" s="199"/>
      <c r="AS107" s="83">
        <f t="shared" si="760"/>
        <v>0.30576500001558965</v>
      </c>
      <c r="AT107" s="83">
        <f>IF(AN107&lt;&gt;"",AN107/'Henrys law constants'!$B$7*1000000,"")</f>
        <v>3057.6500001558966</v>
      </c>
      <c r="AU107" s="268">
        <f>'WC samples'!K78</f>
        <v>11.919</v>
      </c>
      <c r="AV107" s="269">
        <f>'WC samples'!M78</f>
        <v>2.5497000000000001</v>
      </c>
      <c r="AW107" s="269">
        <f>'WC samples'!O78</f>
        <v>76.9559</v>
      </c>
      <c r="AX107" s="269">
        <f>'WC samples'!N78</f>
        <v>11.8987</v>
      </c>
      <c r="AY107" s="226">
        <f>AO107*'Elements and ions'!$G$3*1000</f>
        <v>241.16617804547124</v>
      </c>
      <c r="AZ107" s="269">
        <f>'WC samples'!Q78</f>
        <v>17.212199999999999</v>
      </c>
      <c r="BA107" s="269">
        <f>'WC samples'!T78</f>
        <v>23.414999999999999</v>
      </c>
      <c r="BB107" s="270">
        <f>'WC samples'!V78</f>
        <v>13.4863</v>
      </c>
      <c r="BC107" s="222">
        <f>IF($E107&lt;&gt;"",10^-$E107*'Elements and ions'!B111*1000,"")</f>
        <v>0</v>
      </c>
      <c r="BE107" s="6"/>
      <c r="BF107" s="6"/>
      <c r="BG107" s="270">
        <f>'WC samples'!L78</f>
        <v>0</v>
      </c>
      <c r="BH107" s="3"/>
      <c r="BJ107" s="92">
        <f>IF($AN107&lt;&gt;"",$AN107*'Elements and ions'!$G$2*1000,"")</f>
        <v>6.4481023316067603</v>
      </c>
      <c r="BK107" s="229"/>
      <c r="BL107" s="230"/>
      <c r="BM107" s="101">
        <f>IF($E107&lt;&gt;"",(10^-14+$E107)*'Elements and ions'!$G$8,"")</f>
        <v>134.01783920000017</v>
      </c>
      <c r="BO107" s="102">
        <f>IF($AP107&lt;&gt;"",$AP107*'Elements and ions'!$G$4*1000,"")</f>
        <v>0.90174211728648734</v>
      </c>
      <c r="BP107" s="269">
        <f>'WC samples'!P78</f>
        <v>0.12479999999999999</v>
      </c>
      <c r="BQ107" s="270">
        <f>'WC samples'!R78</f>
        <v>0</v>
      </c>
      <c r="BR107" s="195"/>
      <c r="BS107" s="238">
        <f>IF($AU107&lt;&gt;"",$AU107/'Elements and ions'!$B$12,"")</f>
        <v>0.51844800418980108</v>
      </c>
      <c r="BT107" s="239">
        <f>IF($AV107&lt;&gt;"",$AV107/'Elements and ions'!$B$20,"")</f>
        <v>6.5212553998511447E-2</v>
      </c>
      <c r="BU107" s="239">
        <f>IF($AW107&lt;&gt;"",$AW107/'Elements and ions'!$B$21, "")</f>
        <v>1.9201532012575477</v>
      </c>
      <c r="BV107" s="240">
        <f>IF($AX107&lt;&gt;"",$AX107/'Elements and ions'!$B$13, "")</f>
        <v>0.48955770417609545</v>
      </c>
      <c r="BW107" s="238">
        <f>IF($AY107&lt;&gt;"",$AY107/'Elements and ions'!$G$3,"")</f>
        <v>3.9524527662440607</v>
      </c>
      <c r="BX107" s="239">
        <f>IF($AZ107&lt;&gt;"",$AZ107/'Elements and ions'!$B$18,"")</f>
        <v>0.48549347022818939</v>
      </c>
      <c r="BY107" s="239">
        <f>IF($BA107&lt;&gt;"",$BA107/'Elements and ions'!$G$7,"")</f>
        <v>0.3776314452567458</v>
      </c>
      <c r="BZ107" s="241">
        <f>IF($BB107&lt;&gt;"",$BB107/'Elements and ions'!$G$5,"")</f>
        <v>0.14039074520156647</v>
      </c>
      <c r="CA107" s="91">
        <f t="shared" si="761"/>
        <v>1.3182567385564032E-5</v>
      </c>
      <c r="CB107" s="163" t="str">
        <f>IF($BD107&lt;&gt;"",$BD107/'Elements and ions'!$B$14,"")</f>
        <v/>
      </c>
      <c r="CC107" s="89" t="str">
        <f>IF($BE107&lt;&gt;"",$BE107/'Elements and ions'!$B$27, "")</f>
        <v/>
      </c>
      <c r="CD107" s="249" t="str">
        <f>IF($BF107&lt;&gt;"",$BF107/'Elements and ions'!$B$26,"")</f>
        <v/>
      </c>
      <c r="CE107" s="250">
        <f>IF($BG107&lt;&gt;"",$BG107/'Elements and ions'!$G$6,"")</f>
        <v>0</v>
      </c>
      <c r="CF107" s="91" t="str">
        <f>IF($BH107&lt;&gt;"",$BH107/'Elements and ions'!$G$15,"")</f>
        <v/>
      </c>
      <c r="CG107" s="89" t="str">
        <f>IF($BI107&lt;&gt;"",$BI107/'Elements and ions'!$G$16,"")</f>
        <v/>
      </c>
      <c r="CH107" s="90">
        <f>IF($BJ107&lt;&gt;"",$BJ107/'Elements and ions'!$G$2,"")</f>
        <v>0.10396010000530048</v>
      </c>
      <c r="CI107" s="91" t="str">
        <f>IF($BK107&lt;&gt;"",$BK107/'Elements and ions'!$B$15, "")</f>
        <v/>
      </c>
      <c r="CJ107" s="88" t="str">
        <f>IF($BL107&lt;&gt;"", $BL107/'Elements and ions'!$G$17,"")</f>
        <v/>
      </c>
      <c r="CK107" s="89">
        <f t="shared" si="762"/>
        <v>7.5857757502918234E-4</v>
      </c>
      <c r="CL107" s="163" t="str">
        <f>IF($BN107&lt;&gt;"", $BN107/'Elements and ions'!$G$19,"")</f>
        <v/>
      </c>
      <c r="CM107" s="89">
        <f>IF($BO107&lt;&gt;"",$BO107/'Elements and ions'!$G$4,"")</f>
        <v>1.5026806311838534E-2</v>
      </c>
      <c r="CN107" s="89">
        <f>IF($BP107&lt;&gt;"",$BP107/'Elements and ions'!$B$10,"")</f>
        <v>6.5689731229622503E-3</v>
      </c>
      <c r="CO107" s="104">
        <f>IF($BQ107&lt;&gt;"",$BQ107/'Elements and ions'!$G$18,"")</f>
        <v>0</v>
      </c>
      <c r="CP107" s="242"/>
      <c r="CQ107" s="238">
        <f t="shared" si="771"/>
        <v>5.1844800418980109E-4</v>
      </c>
      <c r="CR107" s="239">
        <f t="shared" si="772"/>
        <v>6.5212553998511452E-5</v>
      </c>
      <c r="CS107" s="239">
        <f t="shared" si="773"/>
        <v>1.9201532012575477E-3</v>
      </c>
      <c r="CT107" s="241">
        <f t="shared" si="774"/>
        <v>4.8955770417609542E-4</v>
      </c>
      <c r="CU107" s="238">
        <f t="shared" si="775"/>
        <v>3.9524527662440608E-3</v>
      </c>
      <c r="CV107" s="239">
        <f t="shared" si="776"/>
        <v>4.8549347022818938E-4</v>
      </c>
      <c r="CW107" s="239">
        <f t="shared" si="777"/>
        <v>3.7763144525674582E-4</v>
      </c>
      <c r="CX107" s="241">
        <f t="shared" si="778"/>
        <v>1.4039074520156647E-4</v>
      </c>
      <c r="CY107" s="258">
        <f t="shared" si="763"/>
        <v>1.3182567385564031E-8</v>
      </c>
      <c r="CZ107" s="259" t="str">
        <f t="shared" si="779"/>
        <v/>
      </c>
      <c r="DA107" s="260" t="str">
        <f t="shared" si="780"/>
        <v/>
      </c>
      <c r="DB107" s="261" t="str">
        <f t="shared" si="781"/>
        <v/>
      </c>
      <c r="DC107" s="262">
        <f t="shared" si="782"/>
        <v>0</v>
      </c>
      <c r="DD107" s="263" t="str">
        <f t="shared" si="783"/>
        <v/>
      </c>
      <c r="DE107" s="259" t="str">
        <f t="shared" si="784"/>
        <v/>
      </c>
      <c r="DF107" s="260">
        <f t="shared" si="785"/>
        <v>1.0396010000530048E-4</v>
      </c>
      <c r="DG107" s="260" t="str">
        <f t="shared" si="786"/>
        <v/>
      </c>
      <c r="DH107" s="264" t="str">
        <f t="shared" si="787"/>
        <v/>
      </c>
      <c r="DI107" s="258">
        <f t="shared" si="764"/>
        <v>7.585775750291823E-7</v>
      </c>
      <c r="DJ107" s="260" t="str">
        <f t="shared" si="788"/>
        <v/>
      </c>
      <c r="DK107" s="260">
        <f t="shared" si="789"/>
        <v>1.5026806311838535E-5</v>
      </c>
      <c r="DL107" s="260">
        <f t="shared" si="790"/>
        <v>6.5689731229622504E-6</v>
      </c>
      <c r="DM107" s="265">
        <f t="shared" si="791"/>
        <v>0</v>
      </c>
      <c r="DN107" s="242"/>
      <c r="DO107" s="238">
        <f t="shared" si="792"/>
        <v>0.51844800418980108</v>
      </c>
      <c r="DP107" s="239">
        <f t="shared" si="793"/>
        <v>6.5212553998511447E-2</v>
      </c>
      <c r="DQ107" s="239">
        <f t="shared" si="794"/>
        <v>3.8403064025150955</v>
      </c>
      <c r="DR107" s="241">
        <f t="shared" si="795"/>
        <v>0.97911540835219091</v>
      </c>
      <c r="DS107" s="238">
        <f t="shared" si="796"/>
        <v>-3.9524527662440607</v>
      </c>
      <c r="DT107" s="239">
        <f t="shared" si="797"/>
        <v>-0.48549347022818939</v>
      </c>
      <c r="DU107" s="239">
        <f t="shared" si="798"/>
        <v>-0.3776314452567458</v>
      </c>
      <c r="DV107" s="241">
        <f t="shared" si="799"/>
        <v>-0.28078149040313294</v>
      </c>
      <c r="DW107" s="91">
        <f t="shared" si="765"/>
        <v>1.3182567385564032E-5</v>
      </c>
      <c r="DX107" s="89">
        <f t="shared" si="800"/>
        <v>0</v>
      </c>
      <c r="DY107" s="89">
        <f t="shared" si="801"/>
        <v>0</v>
      </c>
      <c r="DZ107" s="89">
        <f t="shared" si="802"/>
        <v>0</v>
      </c>
      <c r="EA107" s="90">
        <f t="shared" si="803"/>
        <v>0</v>
      </c>
      <c r="EB107" s="91">
        <f t="shared" si="766"/>
        <v>-7.5857757502918234E-4</v>
      </c>
      <c r="EC107" s="89">
        <f t="shared" si="804"/>
        <v>0</v>
      </c>
      <c r="ED107" s="89">
        <f t="shared" si="805"/>
        <v>-3.0053612623677069E-2</v>
      </c>
      <c r="EE107" s="89">
        <f t="shared" si="806"/>
        <v>-6.5689731229622503E-3</v>
      </c>
      <c r="EF107" s="90">
        <f t="shared" si="807"/>
        <v>0</v>
      </c>
      <c r="EG107" s="242"/>
      <c r="EH107" s="245">
        <f t="shared" si="808"/>
        <v>5.403095551622985</v>
      </c>
      <c r="EI107" s="246">
        <f t="shared" si="809"/>
        <v>-5.1337403354537967</v>
      </c>
      <c r="EJ107" s="198">
        <f t="shared" si="810"/>
        <v>2.5563197439522343</v>
      </c>
      <c r="EK107" s="198">
        <f t="shared" si="811"/>
        <v>1.2903310209060975E-2</v>
      </c>
      <c r="EL107" s="101">
        <f>IF(AND(CS107&lt;&gt;"",DK107&lt;&gt;""),LOG(CS107*DK107/Minerals!$C$6),"")</f>
        <v>0.94037457551279335</v>
      </c>
      <c r="EM107" s="94">
        <f>IF(AND(CS107&lt;&gt;"",DK107&lt;&gt;""),LOG(CS107*DK107/Minerals!$C$5),"")</f>
        <v>0.80989504615657559</v>
      </c>
      <c r="EN107" s="94">
        <f>IF(AND(CS107&lt;&gt;"",DL107&lt;&gt;""),LOG(CS107*DL107^2/Minerals!$C$2),"")</f>
        <v>-2.5117442049659604</v>
      </c>
      <c r="EO107" s="94">
        <f>IF(AND(CS107&lt;&gt;"",CX107&lt;&gt;""),LOG($CS107*$CX107/Minerals!$C$3),"")</f>
        <v>-1.9693452750779465</v>
      </c>
      <c r="EP107" s="95">
        <f>IF(AND(CS107&lt;&gt;"",CX107&lt;&gt;""),LOG($CS107*$CX107/Minerals!$C$4),"")</f>
        <v>-2.209329786543849</v>
      </c>
      <c r="EQ107" s="199"/>
      <c r="ER107" s="101">
        <f t="shared" si="840"/>
        <v>0.88919534551796364</v>
      </c>
      <c r="ES107" s="94">
        <f t="shared" si="840"/>
        <v>0.88919534551796364</v>
      </c>
      <c r="ET107" s="94">
        <f t="shared" si="841"/>
        <v>0.6251564594439003</v>
      </c>
      <c r="EU107" s="94">
        <f t="shared" si="841"/>
        <v>0.6251564594439003</v>
      </c>
      <c r="EV107" s="95">
        <f t="shared" si="841"/>
        <v>0.6251564594439003</v>
      </c>
      <c r="EW107" s="101">
        <f t="shared" si="842"/>
        <v>0.88919534551796364</v>
      </c>
      <c r="EX107" s="94">
        <f t="shared" si="758"/>
        <v>0.6251564594439003</v>
      </c>
      <c r="EY107" s="94">
        <f t="shared" si="842"/>
        <v>0.88919534551796364</v>
      </c>
      <c r="EZ107" s="94">
        <f t="shared" si="842"/>
        <v>0.88919534551796364</v>
      </c>
      <c r="FA107" s="94">
        <f t="shared" si="842"/>
        <v>0.88919534551796364</v>
      </c>
      <c r="FB107" s="95">
        <f t="shared" si="759"/>
        <v>0.6251564594439003</v>
      </c>
      <c r="FC107" s="199"/>
      <c r="FD107" s="101">
        <f t="shared" si="812"/>
        <v>4.6100155221864885E-4</v>
      </c>
      <c r="FE107" s="94">
        <f t="shared" si="813"/>
        <v>5.7986699484815254E-5</v>
      </c>
      <c r="FF107" s="94">
        <f t="shared" si="814"/>
        <v>1.2003961768880394E-3</v>
      </c>
      <c r="FG107" s="94">
        <f t="shared" si="815"/>
        <v>3.0605016103621213E-4</v>
      </c>
      <c r="FH107" s="95" t="str">
        <f t="shared" si="816"/>
        <v/>
      </c>
      <c r="FI107" s="101">
        <f t="shared" si="817"/>
        <v>3.5145026031238188E-3</v>
      </c>
      <c r="FJ107" s="94">
        <f t="shared" si="818"/>
        <v>9.3941050306582329E-6</v>
      </c>
      <c r="FK107" s="94">
        <f t="shared" si="819"/>
        <v>4.3169853400627003E-4</v>
      </c>
      <c r="FL107" s="94">
        <f t="shared" si="820"/>
        <v>3.3578812344352006E-4</v>
      </c>
      <c r="FM107" s="94">
        <f t="shared" si="821"/>
        <v>5.8411003257706349E-6</v>
      </c>
      <c r="FN107" s="95">
        <f t="shared" si="822"/>
        <v>8.7766181208902036E-5</v>
      </c>
      <c r="FO107" s="199"/>
      <c r="FP107" s="101">
        <f>IF(EL107&lt;&gt;"",LOG(FF107*FJ107/Minerals!$C$6),"")</f>
        <v>0.53235202130327108</v>
      </c>
      <c r="FQ107" s="94">
        <f>IF(EL107&lt;&gt;"",LOG(FF107*FJ107/Minerals!$C$5),"")</f>
        <v>0.40187249194705332</v>
      </c>
      <c r="FR107" s="94">
        <f>IF(EN107&lt;&gt;"",LOG(FF107*FM107^2/Minerals!$C$2),"")</f>
        <v>-2.8177611206231021</v>
      </c>
      <c r="FS107" s="94">
        <f>IF(EO107&lt;&gt;"",LOG($FF107*$FN107/Minerals!$C$3),"")</f>
        <v>-2.3773678292874689</v>
      </c>
      <c r="FT107" s="95">
        <f>IF(EP107&lt;&gt;"",LOG($FF107*$FN107/Minerals!$C$4),"")</f>
        <v>-2.6173523407533712</v>
      </c>
      <c r="FU107" s="96"/>
      <c r="FV107" s="101">
        <f>IF(FP107&lt;&gt;"",LOG(FF107*FJ107/(EXP(-1*Minerals!$E$6/'Other Constants'!$B$2*(1/(273.15+'ppm-mgL-1'!$D107)-1/298.15)+LN(Minerals!$C$6)))),"")</f>
        <v>-1.6234560652980925E-2</v>
      </c>
      <c r="FW107" s="94">
        <f>IF(FP107&lt;&gt;"",LOG(FF107*FJ107/(EXP(-1*Minerals!$E$5/'Other Constants'!$B$2*(1/(273.15+'ppm-mgL-1'!$D107)-1/298.15)+LN(Minerals!$C$5)))),"")</f>
        <v>-0.14676368388337874</v>
      </c>
      <c r="FX107" s="94">
        <f>IF(FR107&lt;&gt;"",LOG(FF107*FM107^2/(EXP(-1*Minerals!$E$2/'Other Constants'!$B$2*(1/(273.15+'ppm-mgL-1'!$D107)-1/298.15)+LN(Minerals!$C$2)))),"")</f>
        <v>-2.7945677187982052</v>
      </c>
      <c r="FY107" s="94">
        <f>IF(FS107&lt;&gt;"",LOG($FF107*$FN107/(EXP(-1*Minerals!$E$3/'Other Constants'!$B$2*(1/(273.15+'ppm-mgL-1'!$D107)-1/298.15)+LN(Minerals!$C$3)))),"")</f>
        <v>-1.904467095172196</v>
      </c>
      <c r="FZ107" s="95">
        <f>IF(FT107&lt;&gt;"",LOG($FF107*$FN107/(EXP(-1*Minerals!$E$4/'Other Constants'!$B$2*(1/(273.15+'ppm-mgL-1'!$D107)-1/298.15)+LN(Minerals!$C$4)))),"")</f>
        <v>-2.6308997340502365</v>
      </c>
      <c r="GA107" s="96"/>
      <c r="GB107" s="96"/>
      <c r="GC107" s="101">
        <f>10^(-1825000*(79.755*EXP(-0.0046*($D107-20))*($D107+273.15))^-1.5*$EK107^0.5/(1+'Elements and ions'!$D$12*$EK107^0.5/(2*(79.755*EXP(-0.0046*($D107-20))*($D107+273.15))^0.5)))</f>
        <v>0.88960317378388198</v>
      </c>
      <c r="GD107" s="94">
        <f>10^(-1825000*(79.755*EXP(-0.0046*($D107-20))*($D107+273.15))^-1.5*$EK107^0.5/(1+'Elements and ions'!$D$20*$EK107^0.5/(2*(79.755*EXP(-0.0046*($D107-20))*($D107+273.15))^0.5)))</f>
        <v>0.88612524696406225</v>
      </c>
      <c r="GE107" s="94">
        <f>10^(-1825000*(79.755*EXP(-0.0046*($D107-20))*($D107+273.15))^-1.5*4*$EK107^0.5/(1+'Elements and ions'!$D$21*$EK107^0.5/(2*(79.755*EXP(-0.0046*($D107-20))*($D107+273.15))^0.5)))</f>
        <v>0.64439565644288277</v>
      </c>
      <c r="GF107" s="94">
        <f>10^(-1825000*(79.755*EXP(-0.0046*($D107-20))*($D107+273.15))^-1.5*4*$EK107^0.5/(1+'Elements and ions'!$D$13*$EK107^0.5/(2*(79.755*EXP(-0.0046*($D107-20))*($D107+273.15))^0.5)))</f>
        <v>0.66084705872166272</v>
      </c>
      <c r="GG107" s="95">
        <f>10^(-1825000*(79.755*EXP(-0.0046*($D107-20))*($D107+273.15))^-1.5*4*$EK107^0.5/(1+'Elements and ions'!$D$27*$EK107^0.5/(2*(79.755*EXP(-0.0046*($D107-20))*($D107+273.15))^0.5)))</f>
        <v>0.64439565644288277</v>
      </c>
      <c r="GH107" s="101">
        <f>10^(-1825000*(79.755*EXP(-0.0046*($D107-20))*($D107+273.15))^-1.5*$EK107^0.5/(1+'Elements and ions'!$G$3*$EK107^0.5/(2*(79.755*EXP(-0.0046*($D107-20))*($D107+273.15))^0.5)))</f>
        <v>0.87685515019279248</v>
      </c>
      <c r="GI107" s="94">
        <f>10^(-1825000*(79.755*EXP(-0.0046*($D107-20))*($D107+273.15))^-1.5*4*$EK107^0.5/(1+'Elements and ions'!$G$4*$EK107^0.5/(2*(79.755*EXP(-0.0046*($D107-20))*($D107+273.15))^0.5)))</f>
        <v>0.59105465703697424</v>
      </c>
      <c r="GJ107" s="94">
        <f>10^(-1825000*(79.755*EXP(-0.0046*($D107-20))*($D107+273.15))^-1.5*$EK107^0.5/(1+'Elements and ions'!$D$18*$EK107^0.5/(2*(79.755*EXP(-0.0046*($D107-20))*($D107+273.15))^0.5)))</f>
        <v>0.88612524696406225</v>
      </c>
      <c r="GK107" s="94">
        <f>10^(-1825000*(79.755*EXP(-0.0046*($D107-20))*($D107+273.15))^-1.5*$EK107^0.5/(1+'Elements and ions'!$I$7*$EK107^0.5/(2*(79.755*EXP(-0.0046*($D107-20))*($D107+273.15))^0.5)))</f>
        <v>0.88612524696406225</v>
      </c>
      <c r="GL107" s="94">
        <f>10^(-1825000*(79.755*EXP(-0.0046*($D107-20))*($D107+273.15))^-1.5*$EK107^0.5/(1+'Elements and ions'!$D$10*$EK107^0.5/(2*(79.755*EXP(-0.0046*($D107-20))*($D107+273.15))^0.5)))</f>
        <v>0.88789114389009427</v>
      </c>
      <c r="GM107" s="95">
        <f>10^(-1825000*(79.755*EXP(-0.0046*($D107-20))*($D107+273.15))^-1.5*4*$EK107^0.5/(1+'Elements and ions'!$I$5*$EK107^0.5/(2*(79.755*EXP(-0.0046*($D107-20))*($D107+273.15))^0.5)))</f>
        <v>0.62630415745145529</v>
      </c>
      <c r="GN107" s="96"/>
      <c r="GO107" s="101">
        <f t="shared" si="823"/>
        <v>4.6121298996916639E-4</v>
      </c>
      <c r="GP107" s="94">
        <f t="shared" si="824"/>
        <v>5.7786490517088202E-5</v>
      </c>
      <c r="GQ107" s="94">
        <f t="shared" si="825"/>
        <v>1.2373383825952603E-3</v>
      </c>
      <c r="GR107" s="94">
        <f t="shared" si="826"/>
        <v>3.2352276887930254E-4</v>
      </c>
      <c r="GS107" s="95" t="str">
        <f t="shared" si="827"/>
        <v/>
      </c>
      <c r="GT107" s="101">
        <f t="shared" si="828"/>
        <v>3.4657285639748542E-3</v>
      </c>
      <c r="GU107" s="94">
        <f t="shared" si="829"/>
        <v>8.8816638510047648E-6</v>
      </c>
      <c r="GV107" s="94">
        <f t="shared" si="830"/>
        <v>4.302080212053939E-4</v>
      </c>
      <c r="GW107" s="94">
        <f t="shared" si="831"/>
        <v>3.3462875768952967E-4</v>
      </c>
      <c r="GX107" s="94">
        <f t="shared" si="832"/>
        <v>5.8325330603302375E-6</v>
      </c>
      <c r="GY107" s="102">
        <f t="shared" si="833"/>
        <v>8.7927307387449032E-5</v>
      </c>
      <c r="GZ107" s="199"/>
      <c r="HA107" s="92">
        <f>IF(AND(GQ107&lt;&gt;"",GU107&lt;&gt;""),LOG(GQ107*GU107/Minerals!$C$6),"")</f>
        <v>0.521154823477331</v>
      </c>
      <c r="HB107" s="94">
        <f>IF(AND(GQ107&lt;&gt;"",GU107&lt;&gt;""),LOG(GQ107*GU107/Minerals!$C$5),"")</f>
        <v>0.39067529412111324</v>
      </c>
      <c r="HC107" s="94">
        <f>IF(AND(GQ107&lt;&gt;"",GX107&lt;&gt;""),LOG(GQ107*GX107^2/Minerals!$C$2),"")</f>
        <v>-2.8058721521402425</v>
      </c>
      <c r="HD107" s="94">
        <f>IF(AND(GQ107&lt;&gt;"",GY107&lt;&gt;""),LOG($GQ107*$GY107/Minerals!$C$3),"")</f>
        <v>-2.3634073760999028</v>
      </c>
      <c r="HE107" s="102">
        <f>IF(AND(GQ107&lt;&gt;"",GY107&lt;&gt;""),LOG($GQ107*$GY107/Minerals!$C$3),"")</f>
        <v>-2.3634073760999028</v>
      </c>
      <c r="HF107" s="199"/>
      <c r="HG107" s="92">
        <f>IF(HA107&lt;&gt;"",LOG(GQ107*GU107/(EXP(-1*Minerals!$E$6/'Other Constants'!$B$2*(1/(273.15+'ppm-mgL-1'!$D107)-1/298.15)+LN(Minerals!$C$6)))),"")</f>
        <v>-2.743175847892107E-2</v>
      </c>
      <c r="HH107" s="94">
        <f>IF(HA107&lt;&gt;"",LOG(GQ107*GU107/(EXP(-1*Minerals!$E$5/'Other Constants'!$B$2*(1/(273.15+'ppm-mgL-1'!$D107)-1/298.15)+LN(Minerals!$C$5)))),"")</f>
        <v>-0.15796088170931882</v>
      </c>
      <c r="HI107" s="94">
        <f>IF(HC107&lt;&gt;"",LOG(GQ107*GX107^2/(EXP(-1*Minerals!$E$2/'Other Constants'!$B$2*(1/(273.15+'ppm-mgL-1'!$D107)-1/298.15)+LN(Minerals!$C$2)))),"")</f>
        <v>-2.7826787503153456</v>
      </c>
      <c r="HJ107" s="94">
        <f>IF(HD107&lt;&gt;"",LOG($FF107*$FN107/(EXP(-1*Minerals!$E$3/'Other Constants'!$B$2*(1/(273.15+'ppm-mgL-1'!$D107)-1/298.15)+LN(Minerals!$C$3)))),"")</f>
        <v>-1.904467095172196</v>
      </c>
      <c r="HK107" s="95">
        <f>IF(HE107&lt;&gt;"",LOG($FF107*$FN107/(EXP(-1*Minerals!$E$4/'Other Constants'!$B$2*(1/(273.15+'ppm-mgL-1'!$D107)-1/298.15)+LN(Minerals!$C$4)))),"")</f>
        <v>-2.6308997340502365</v>
      </c>
      <c r="HL107" s="199"/>
      <c r="HM107" s="199"/>
    </row>
    <row r="108" spans="1:221" x14ac:dyDescent="0.25">
      <c r="A108" s="267" t="str">
        <f>'WC samples'!B79</f>
        <v>ISST Direct</v>
      </c>
      <c r="C108" s="266">
        <f>'WC samples'!A79</f>
        <v>41727</v>
      </c>
      <c r="D108" s="4">
        <f>'WC samples'!I79</f>
        <v>23.9</v>
      </c>
      <c r="E108" s="4">
        <f>'WC samples'!F79</f>
        <v>7.35</v>
      </c>
      <c r="AD108" s="83">
        <f>IF(E108&lt;&gt;"",10^(-2*$E108)/(10^(-2*$E108)+10^(-$E108-pKa!$B$2)+(10^(-pKa!$B$2-pKa!$C$2))),"")</f>
        <v>8.1747608235345243E-2</v>
      </c>
      <c r="AE108" s="84">
        <f>IF(E108&lt;&gt;"",10^(-$E108-pKa!$B$2)/(10^(-2*$E108)+10^(-$E108-pKa!$B$2)+10^(-pKa!$B$2-pKa!$C$2)),"")</f>
        <v>0.9172232503510459</v>
      </c>
      <c r="AF108" s="212">
        <f>IF(E108&lt;&gt;"",10^(-pKa!$B$2-pKa!$C$2)/(10^(-2*$E108)+10^(-$E108-pKa!$B$2)+10^(-pKa!$B$2-pKa!$C$2)),"")</f>
        <v>1.0291414136086995E-3</v>
      </c>
      <c r="AG108" s="152"/>
      <c r="AH108" s="222">
        <f>IF($AK108&lt;&gt;"",$AK108/'Elements and ions'!$G$3,IF($E108="","",""))</f>
        <v>4.1627852245380135</v>
      </c>
      <c r="AI108" s="85">
        <f t="shared" si="770"/>
        <v>4.5283026962829546E-3</v>
      </c>
      <c r="AJ108" s="84">
        <f>IF(AI108&lt;&gt;"",AI108*1000*'Elements and ions'!$B$7,"")</f>
        <v>54.388085194245683</v>
      </c>
      <c r="AK108" s="99">
        <f>'WC samples'!H79</f>
        <v>254</v>
      </c>
      <c r="AL108" s="88">
        <f>IF($AK108&lt;&gt;"",$AK108/'Elements and ions'!$G$3*Minerals!$B$6/2,IF($E108="","","Enter Alk(HCO3-)"))</f>
        <v>208.32013424490685</v>
      </c>
      <c r="AM108" s="199"/>
      <c r="AN108" s="101">
        <f t="shared" si="837"/>
        <v>3.7017791478679651E-4</v>
      </c>
      <c r="AO108" s="94">
        <f t="shared" si="838"/>
        <v>4.153464517658057E-3</v>
      </c>
      <c r="AP108" s="95">
        <f t="shared" si="839"/>
        <v>4.6602638381007253E-6</v>
      </c>
      <c r="AQ108" s="199"/>
      <c r="AR108" s="199"/>
      <c r="AS108" s="83">
        <f t="shared" si="760"/>
        <v>1.0887585729023428</v>
      </c>
      <c r="AT108" s="83">
        <f>IF(AN108&lt;&gt;"",AN108/'Henrys law constants'!$B$7*1000000,"")</f>
        <v>10887.585729023427</v>
      </c>
      <c r="AU108" s="268">
        <f>'WC samples'!K79</f>
        <v>12.8032</v>
      </c>
      <c r="AV108" s="269">
        <f>'WC samples'!M79</f>
        <v>2.6715</v>
      </c>
      <c r="AW108" s="269">
        <f>'WC samples'!O79</f>
        <v>77.275400000000005</v>
      </c>
      <c r="AX108" s="269">
        <f>'WC samples'!N79</f>
        <v>12.663500000000001</v>
      </c>
      <c r="AY108" s="226">
        <f>AO108*'Elements and ions'!$G$3*1000</f>
        <v>253.43127991961885</v>
      </c>
      <c r="AZ108" s="269">
        <f>'WC samples'!Q79</f>
        <v>19.8429</v>
      </c>
      <c r="BA108" s="269">
        <f>'WC samples'!T79</f>
        <v>24.202999999999999</v>
      </c>
      <c r="BB108" s="270">
        <f>'WC samples'!V79</f>
        <v>13.9884</v>
      </c>
      <c r="BC108" s="222">
        <f>IF($E108&lt;&gt;"",10^-$E108*'Elements and ions'!B112*1000,"")</f>
        <v>0</v>
      </c>
      <c r="BE108" s="6"/>
      <c r="BF108" s="6"/>
      <c r="BG108" s="270">
        <f>'WC samples'!L79</f>
        <v>0</v>
      </c>
      <c r="BH108" s="3"/>
      <c r="BJ108" s="92">
        <f>IF($AN108&lt;&gt;"",$AN108*'Elements and ions'!$G$2*1000,"")</f>
        <v>22.960203725509796</v>
      </c>
      <c r="BK108" s="229"/>
      <c r="BL108" s="230"/>
      <c r="BM108" s="101">
        <f>IF($E108&lt;&gt;"",(10^-14+$E108)*'Elements and ions'!$G$8,"")</f>
        <v>125.00394900000015</v>
      </c>
      <c r="BO108" s="102">
        <f>IF($AP108&lt;&gt;"",$AP108*'Elements and ions'!$G$4*1000,"")</f>
        <v>0.27965730663420263</v>
      </c>
      <c r="BP108" s="269">
        <f>'WC samples'!P79</f>
        <v>0.1197</v>
      </c>
      <c r="BQ108" s="270">
        <f>'WC samples'!R79</f>
        <v>0</v>
      </c>
      <c r="BR108" s="195"/>
      <c r="BS108" s="238">
        <f>IF($AU108&lt;&gt;"",$AU108/'Elements and ions'!$B$12,"")</f>
        <v>0.55690859025445605</v>
      </c>
      <c r="BT108" s="239">
        <f>IF($AV108&lt;&gt;"",$AV108/'Elements and ions'!$B$20,"")</f>
        <v>6.8327778957141358E-2</v>
      </c>
      <c r="BU108" s="239">
        <f>IF($AW108&lt;&gt;"",$AW108/'Elements and ions'!$B$21, "")</f>
        <v>1.9281251559459054</v>
      </c>
      <c r="BV108" s="240">
        <f>IF($AX108&lt;&gt;"",$AX108/'Elements and ions'!$B$13, "")</f>
        <v>0.52102448055955564</v>
      </c>
      <c r="BW108" s="238">
        <f>IF($AY108&lt;&gt;"",$AY108/'Elements and ions'!$G$3,"")</f>
        <v>4.1534645176580574</v>
      </c>
      <c r="BX108" s="239">
        <f>IF($AZ108&lt;&gt;"",$AZ108/'Elements and ions'!$B$18,"")</f>
        <v>0.55969593546385354</v>
      </c>
      <c r="BY108" s="239">
        <f>IF($BA108&lt;&gt;"",$BA108/'Elements and ions'!$G$7,"")</f>
        <v>0.39034011828097459</v>
      </c>
      <c r="BZ108" s="241">
        <f>IF($BB108&lt;&gt;"",$BB108/'Elements and ions'!$G$5,"")</f>
        <v>0.1456175452257174</v>
      </c>
      <c r="CA108" s="91">
        <f t="shared" si="761"/>
        <v>4.466835921509628E-5</v>
      </c>
      <c r="CB108" s="163" t="str">
        <f>IF($BD108&lt;&gt;"",$BD108/'Elements and ions'!$B$14,"")</f>
        <v/>
      </c>
      <c r="CC108" s="89" t="str">
        <f>IF($BE108&lt;&gt;"",$BE108/'Elements and ions'!$B$27, "")</f>
        <v/>
      </c>
      <c r="CD108" s="249" t="str">
        <f>IF($BF108&lt;&gt;"",$BF108/'Elements and ions'!$B$26,"")</f>
        <v/>
      </c>
      <c r="CE108" s="250">
        <f>IF($BG108&lt;&gt;"",$BG108/'Elements and ions'!$G$6,"")</f>
        <v>0</v>
      </c>
      <c r="CF108" s="91" t="str">
        <f>IF($BH108&lt;&gt;"",$BH108/'Elements and ions'!$G$15,"")</f>
        <v/>
      </c>
      <c r="CG108" s="89" t="str">
        <f>IF($BI108&lt;&gt;"",$BI108/'Elements and ions'!$G$16,"")</f>
        <v/>
      </c>
      <c r="CH108" s="90">
        <f>IF($BJ108&lt;&gt;"",$BJ108/'Elements and ions'!$G$2,"")</f>
        <v>0.37017791478679646</v>
      </c>
      <c r="CI108" s="91" t="str">
        <f>IF($BK108&lt;&gt;"",$BK108/'Elements and ions'!$B$15, "")</f>
        <v/>
      </c>
      <c r="CJ108" s="88" t="str">
        <f>IF($BL108&lt;&gt;"", $BL108/'Elements and ions'!$G$17,"")</f>
        <v/>
      </c>
      <c r="CK108" s="89">
        <f t="shared" si="762"/>
        <v>2.2387211385683345E-4</v>
      </c>
      <c r="CL108" s="163" t="str">
        <f>IF($BN108&lt;&gt;"", $BN108/'Elements and ions'!$G$19,"")</f>
        <v/>
      </c>
      <c r="CM108" s="89">
        <f>IF($BO108&lt;&gt;"",$BO108/'Elements and ions'!$G$4,"")</f>
        <v>4.6602638381007255E-3</v>
      </c>
      <c r="CN108" s="89">
        <f>IF($BP108&lt;&gt;"",$BP108/'Elements and ions'!$B$10,"")</f>
        <v>6.3005295097642734E-3</v>
      </c>
      <c r="CO108" s="104">
        <f>IF($BQ108&lt;&gt;"",$BQ108/'Elements and ions'!$G$18,"")</f>
        <v>0</v>
      </c>
      <c r="CP108" s="242"/>
      <c r="CQ108" s="238">
        <f t="shared" si="771"/>
        <v>5.5690859025445604E-4</v>
      </c>
      <c r="CR108" s="239">
        <f t="shared" si="772"/>
        <v>6.8327778957141355E-5</v>
      </c>
      <c r="CS108" s="239">
        <f t="shared" si="773"/>
        <v>1.9281251559459054E-3</v>
      </c>
      <c r="CT108" s="241">
        <f t="shared" si="774"/>
        <v>5.2102448055955561E-4</v>
      </c>
      <c r="CU108" s="238">
        <f t="shared" si="775"/>
        <v>4.153464517658057E-3</v>
      </c>
      <c r="CV108" s="239">
        <f t="shared" si="776"/>
        <v>5.5969593546385354E-4</v>
      </c>
      <c r="CW108" s="239">
        <f t="shared" si="777"/>
        <v>3.9034011828097457E-4</v>
      </c>
      <c r="CX108" s="241">
        <f t="shared" si="778"/>
        <v>1.456175452257174E-4</v>
      </c>
      <c r="CY108" s="258">
        <f t="shared" si="763"/>
        <v>4.466835921509628E-8</v>
      </c>
      <c r="CZ108" s="259" t="str">
        <f t="shared" si="779"/>
        <v/>
      </c>
      <c r="DA108" s="260" t="str">
        <f t="shared" si="780"/>
        <v/>
      </c>
      <c r="DB108" s="261" t="str">
        <f t="shared" si="781"/>
        <v/>
      </c>
      <c r="DC108" s="262">
        <f t="shared" si="782"/>
        <v>0</v>
      </c>
      <c r="DD108" s="263" t="str">
        <f t="shared" si="783"/>
        <v/>
      </c>
      <c r="DE108" s="259" t="str">
        <f t="shared" si="784"/>
        <v/>
      </c>
      <c r="DF108" s="260">
        <f t="shared" si="785"/>
        <v>3.7017791478679646E-4</v>
      </c>
      <c r="DG108" s="260" t="str">
        <f t="shared" si="786"/>
        <v/>
      </c>
      <c r="DH108" s="264" t="str">
        <f t="shared" si="787"/>
        <v/>
      </c>
      <c r="DI108" s="258">
        <f t="shared" si="764"/>
        <v>2.2387211385683346E-7</v>
      </c>
      <c r="DJ108" s="260" t="str">
        <f t="shared" si="788"/>
        <v/>
      </c>
      <c r="DK108" s="260">
        <f t="shared" si="789"/>
        <v>4.6602638381007253E-6</v>
      </c>
      <c r="DL108" s="260">
        <f t="shared" si="790"/>
        <v>6.300529509764273E-6</v>
      </c>
      <c r="DM108" s="265">
        <f t="shared" si="791"/>
        <v>0</v>
      </c>
      <c r="DN108" s="242"/>
      <c r="DO108" s="238">
        <f t="shared" si="792"/>
        <v>0.55690859025445605</v>
      </c>
      <c r="DP108" s="239">
        <f t="shared" si="793"/>
        <v>6.8327778957141358E-2</v>
      </c>
      <c r="DQ108" s="239">
        <f t="shared" si="794"/>
        <v>3.8562503118918108</v>
      </c>
      <c r="DR108" s="241">
        <f t="shared" si="795"/>
        <v>1.0420489611191113</v>
      </c>
      <c r="DS108" s="238">
        <f t="shared" si="796"/>
        <v>-4.1534645176580574</v>
      </c>
      <c r="DT108" s="239">
        <f t="shared" si="797"/>
        <v>-0.55969593546385354</v>
      </c>
      <c r="DU108" s="239">
        <f t="shared" si="798"/>
        <v>-0.39034011828097459</v>
      </c>
      <c r="DV108" s="241">
        <f t="shared" si="799"/>
        <v>-0.29123509045143481</v>
      </c>
      <c r="DW108" s="91">
        <f t="shared" si="765"/>
        <v>4.466835921509628E-5</v>
      </c>
      <c r="DX108" s="89">
        <f t="shared" si="800"/>
        <v>0</v>
      </c>
      <c r="DY108" s="89">
        <f t="shared" si="801"/>
        <v>0</v>
      </c>
      <c r="DZ108" s="89">
        <f t="shared" si="802"/>
        <v>0</v>
      </c>
      <c r="EA108" s="90">
        <f t="shared" si="803"/>
        <v>0</v>
      </c>
      <c r="EB108" s="91">
        <f t="shared" si="766"/>
        <v>-2.2387211385683345E-4</v>
      </c>
      <c r="EC108" s="89">
        <f t="shared" si="804"/>
        <v>0</v>
      </c>
      <c r="ED108" s="89">
        <f t="shared" si="805"/>
        <v>-9.3205276762014511E-3</v>
      </c>
      <c r="EE108" s="89">
        <f t="shared" si="806"/>
        <v>-6.3005295097642734E-3</v>
      </c>
      <c r="EF108" s="90">
        <f t="shared" si="807"/>
        <v>0</v>
      </c>
      <c r="EG108" s="242"/>
      <c r="EH108" s="245">
        <f t="shared" si="808"/>
        <v>5.5235803105817345</v>
      </c>
      <c r="EI108" s="246">
        <f t="shared" si="809"/>
        <v>-5.4105805911541429</v>
      </c>
      <c r="EJ108" s="198">
        <f t="shared" si="810"/>
        <v>1.0334557945790979</v>
      </c>
      <c r="EK108" s="198">
        <f t="shared" si="811"/>
        <v>1.324658746198684E-2</v>
      </c>
      <c r="EL108" s="101">
        <f>IF(AND(CS108&lt;&gt;"",DK108&lt;&gt;""),LOG(CS108*DK108/Minerals!$C$6),"")</f>
        <v>0.43371773177626682</v>
      </c>
      <c r="EM108" s="94">
        <f>IF(AND(CS108&lt;&gt;"",DK108&lt;&gt;""),LOG(CS108*DK108/Minerals!$C$5),"")</f>
        <v>0.30323820242004912</v>
      </c>
      <c r="EN108" s="94">
        <f>IF(AND(CS108&lt;&gt;"",DL108&lt;&gt;""),LOG(CS108*DL108^2/Minerals!$C$2),"")</f>
        <v>-2.5461857346931409</v>
      </c>
      <c r="EO108" s="94">
        <f>IF(AND(CS108&lt;&gt;"",CX108&lt;&gt;""),LOG($CS108*$CX108/Minerals!$C$3),"")</f>
        <v>-1.9516707086472946</v>
      </c>
      <c r="EP108" s="95">
        <f>IF(AND(CS108&lt;&gt;"",CX108&lt;&gt;""),LOG($CS108*$CX108/Minerals!$C$4),"")</f>
        <v>-2.1916552201131969</v>
      </c>
      <c r="EQ108" s="199"/>
      <c r="ER108" s="101">
        <f t="shared" si="840"/>
        <v>0.8879586941333355</v>
      </c>
      <c r="ES108" s="94">
        <f t="shared" si="840"/>
        <v>0.8879586941333355</v>
      </c>
      <c r="ET108" s="94">
        <f t="shared" si="841"/>
        <v>0.62168595406382887</v>
      </c>
      <c r="EU108" s="94">
        <f t="shared" si="841"/>
        <v>0.62168595406382887</v>
      </c>
      <c r="EV108" s="95">
        <f t="shared" si="841"/>
        <v>0.62168595406382887</v>
      </c>
      <c r="EW108" s="101">
        <f t="shared" si="842"/>
        <v>0.8879586941333355</v>
      </c>
      <c r="EX108" s="94">
        <f t="shared" si="758"/>
        <v>0.62168595406382887</v>
      </c>
      <c r="EY108" s="94">
        <f t="shared" si="842"/>
        <v>0.8879586941333355</v>
      </c>
      <c r="EZ108" s="94">
        <f t="shared" si="842"/>
        <v>0.8879586941333355</v>
      </c>
      <c r="FA108" s="94">
        <f t="shared" si="842"/>
        <v>0.8879586941333355</v>
      </c>
      <c r="FB108" s="95">
        <f t="shared" si="759"/>
        <v>0.62168595406382887</v>
      </c>
      <c r="FC108" s="199"/>
      <c r="FD108" s="101">
        <f t="shared" si="812"/>
        <v>4.9451182455398357E-4</v>
      </c>
      <c r="FE108" s="94">
        <f t="shared" si="813"/>
        <v>6.0672245375814439E-5</v>
      </c>
      <c r="FF108" s="94">
        <f t="shared" si="814"/>
        <v>1.198688327128699E-3</v>
      </c>
      <c r="FG108" s="94">
        <f t="shared" si="815"/>
        <v>3.2391360128727821E-4</v>
      </c>
      <c r="FH108" s="95" t="str">
        <f t="shared" si="816"/>
        <v/>
      </c>
      <c r="FI108" s="101">
        <f t="shared" si="817"/>
        <v>3.6881049292287926E-3</v>
      </c>
      <c r="FJ108" s="94">
        <f t="shared" si="818"/>
        <v>2.8972205703788103E-6</v>
      </c>
      <c r="FK108" s="94">
        <f t="shared" si="819"/>
        <v>4.96986871966219E-4</v>
      </c>
      <c r="FL108" s="94">
        <f t="shared" si="820"/>
        <v>3.4660590169662589E-4</v>
      </c>
      <c r="FM108" s="94">
        <f t="shared" si="821"/>
        <v>5.5946099558388281E-6</v>
      </c>
      <c r="FN108" s="95">
        <f t="shared" si="822"/>
        <v>9.0528382532082871E-5</v>
      </c>
      <c r="FO108" s="199"/>
      <c r="FP108" s="101">
        <f>IF(EL108&lt;&gt;"",LOG(FF108*FJ108/Minerals!$C$6),"")</f>
        <v>2.0859842444757432E-2</v>
      </c>
      <c r="FQ108" s="94">
        <f>IF(EL108&lt;&gt;"",LOG(FF108*FJ108/Minerals!$C$5),"")</f>
        <v>-0.10961968691146026</v>
      </c>
      <c r="FR108" s="94">
        <f>IF(EN108&lt;&gt;"",LOG(FF108*FM108^2/Minerals!$C$2),"")</f>
        <v>-2.8558291516917729</v>
      </c>
      <c r="FS108" s="94">
        <f>IF(EO108&lt;&gt;"",LOG($FF108*$FN108/Minerals!$C$3),"")</f>
        <v>-2.3645285979788042</v>
      </c>
      <c r="FT108" s="95">
        <f>IF(EP108&lt;&gt;"",LOG($FF108*$FN108/Minerals!$C$4),"")</f>
        <v>-2.6045131094447065</v>
      </c>
      <c r="FU108" s="96"/>
      <c r="FV108" s="101">
        <f>IF(FP108&lt;&gt;"",LOG(FF108*FJ108/(EXP(-1*Minerals!$E$6/'Other Constants'!$B$2*(1/(273.15+'ppm-mgL-1'!$D108)-1/298.15)+LN(Minerals!$C$6)))),"")</f>
        <v>-0.40973715905829705</v>
      </c>
      <c r="FW108" s="94">
        <f>IF(FP108&lt;&gt;"",LOG(FF108*FJ108/(EXP(-1*Minerals!$E$5/'Other Constants'!$B$2*(1/(273.15+'ppm-mgL-1'!$D108)-1/298.15)+LN(Minerals!$C$5)))),"")</f>
        <v>-0.54025561567635016</v>
      </c>
      <c r="FX108" s="94">
        <f>IF(FR108&lt;&gt;"",LOG(FF108*FM108^2/(EXP(-1*Minerals!$E$2/'Other Constants'!$B$2*(1/(273.15+'ppm-mgL-1'!$D108)-1/298.15)+LN(Minerals!$C$2)))),"")</f>
        <v>-2.8376241689070278</v>
      </c>
      <c r="FY108" s="94">
        <f>IF(FS108&lt;&gt;"",LOG($FF108*$FN108/(EXP(-1*Minerals!$E$3/'Other Constants'!$B$2*(1/(273.15+'ppm-mgL-1'!$D108)-1/298.15)+LN(Minerals!$C$3)))),"")</f>
        <v>-1.9933389903283774</v>
      </c>
      <c r="FZ108" s="95">
        <f>IF(FT108&lt;&gt;"",LOG($FF108*$FN108/(EXP(-1*Minerals!$E$4/'Other Constants'!$B$2*(1/(273.15+'ppm-mgL-1'!$D108)-1/298.15)+LN(Minerals!$C$4)))),"")</f>
        <v>-2.6151467398025816</v>
      </c>
      <c r="GA108" s="96"/>
      <c r="GB108" s="96"/>
      <c r="GC108" s="101">
        <f>10^(-1825000*(79.755*EXP(-0.0046*($D108-20))*($D108+273.15))^-1.5*$EK108^0.5/(1+'Elements and ions'!$D$12*$EK108^0.5/(2*(79.755*EXP(-0.0046*($D108-20))*($D108+273.15))^0.5)))</f>
        <v>0.88835332947289469</v>
      </c>
      <c r="GD108" s="94">
        <f>10^(-1825000*(79.755*EXP(-0.0046*($D108-20))*($D108+273.15))^-1.5*$EK108^0.5/(1+'Elements and ions'!$D$20*$EK108^0.5/(2*(79.755*EXP(-0.0046*($D108-20))*($D108+273.15))^0.5)))</f>
        <v>0.88479640084118572</v>
      </c>
      <c r="GE108" s="94">
        <f>10^(-1825000*(79.755*EXP(-0.0046*($D108-20))*($D108+273.15))^-1.5*4*$EK108^0.5/(1+'Elements and ions'!$D$21*$EK108^0.5/(2*(79.755*EXP(-0.0046*($D108-20))*($D108+273.15))^0.5)))</f>
        <v>0.64120317266042548</v>
      </c>
      <c r="GF108" s="94">
        <f>10^(-1825000*(79.755*EXP(-0.0046*($D108-20))*($D108+273.15))^-1.5*4*$EK108^0.5/(1+'Elements and ions'!$D$13*$EK108^0.5/(2*(79.755*EXP(-0.0046*($D108-20))*($D108+273.15))^0.5)))</f>
        <v>0.65793311055584747</v>
      </c>
      <c r="GG108" s="95">
        <f>10^(-1825000*(79.755*EXP(-0.0046*($D108-20))*($D108+273.15))^-1.5*4*$EK108^0.5/(1+'Elements and ions'!$D$27*$EK108^0.5/(2*(79.755*EXP(-0.0046*($D108-20))*($D108+273.15))^0.5)))</f>
        <v>0.64120317266042548</v>
      </c>
      <c r="GH108" s="101">
        <f>10^(-1825000*(79.755*EXP(-0.0046*($D108-20))*($D108+273.15))^-1.5*$EK108^0.5/(1+'Elements and ions'!$G$3*$EK108^0.5/(2*(79.755*EXP(-0.0046*($D108-20))*($D108+273.15))^0.5)))</f>
        <v>0.87530382038092291</v>
      </c>
      <c r="GI108" s="94">
        <f>10^(-1825000*(79.755*EXP(-0.0046*($D108-20))*($D108+273.15))^-1.5*4*$EK108^0.5/(1+'Elements and ions'!$G$4*$EK108^0.5/(2*(79.755*EXP(-0.0046*($D108-20))*($D108+273.15))^0.5)))</f>
        <v>0.58687994539005761</v>
      </c>
      <c r="GJ108" s="94">
        <f>10^(-1825000*(79.755*EXP(-0.0046*($D108-20))*($D108+273.15))^-1.5*$EK108^0.5/(1+'Elements and ions'!$D$18*$EK108^0.5/(2*(79.755*EXP(-0.0046*($D108-20))*($D108+273.15))^0.5)))</f>
        <v>0.88479640084118572</v>
      </c>
      <c r="GK108" s="94">
        <f>10^(-1825000*(79.755*EXP(-0.0046*($D108-20))*($D108+273.15))^-1.5*$EK108^0.5/(1+'Elements and ions'!$I$7*$EK108^0.5/(2*(79.755*EXP(-0.0046*($D108-20))*($D108+273.15))^0.5)))</f>
        <v>0.88479640084118572</v>
      </c>
      <c r="GL108" s="94">
        <f>10^(-1825000*(79.755*EXP(-0.0046*($D108-20))*($D108+273.15))^-1.5*$EK108^0.5/(1+'Elements and ions'!$D$10*$EK108^0.5/(2*(79.755*EXP(-0.0046*($D108-20))*($D108+273.15))^0.5)))</f>
        <v>0.88660271505709232</v>
      </c>
      <c r="GM108" s="95">
        <f>10^(-1825000*(79.755*EXP(-0.0046*($D108-20))*($D108+273.15))^-1.5*4*$EK108^0.5/(1+'Elements and ions'!$I$5*$EK108^0.5/(2*(79.755*EXP(-0.0046*($D108-20))*($D108+273.15))^0.5)))</f>
        <v>0.62279187420083926</v>
      </c>
      <c r="GN108" s="96"/>
      <c r="GO108" s="101">
        <f t="shared" si="823"/>
        <v>4.947316003646021E-4</v>
      </c>
      <c r="GP108" s="94">
        <f t="shared" si="824"/>
        <v>6.0456172898750776E-5</v>
      </c>
      <c r="GQ108" s="94">
        <f t="shared" si="825"/>
        <v>1.2363199672788922E-3</v>
      </c>
      <c r="GR108" s="94">
        <f t="shared" si="826"/>
        <v>3.4279925717029311E-4</v>
      </c>
      <c r="GS108" s="95" t="str">
        <f t="shared" si="827"/>
        <v/>
      </c>
      <c r="GT108" s="101">
        <f t="shared" si="828"/>
        <v>3.6355433601227044E-3</v>
      </c>
      <c r="GU108" s="94">
        <f t="shared" si="829"/>
        <v>2.7350153868078138E-6</v>
      </c>
      <c r="GV108" s="94">
        <f t="shared" si="830"/>
        <v>4.952169492638582E-4</v>
      </c>
      <c r="GW108" s="94">
        <f t="shared" si="831"/>
        <v>3.4537153175892901E-4</v>
      </c>
      <c r="GX108" s="94">
        <f t="shared" si="832"/>
        <v>5.5860665696543354E-6</v>
      </c>
      <c r="GY108" s="102">
        <f t="shared" si="833"/>
        <v>9.0689423907650015E-5</v>
      </c>
      <c r="GZ108" s="199"/>
      <c r="HA108" s="92">
        <f>IF(AND(GQ108&lt;&gt;"",GU108&lt;&gt;""),LOG(GQ108*GU108/Minerals!$C$6),"")</f>
        <v>9.2626635863114933E-3</v>
      </c>
      <c r="HB108" s="94">
        <f>IF(AND(GQ108&lt;&gt;"",GU108&lt;&gt;""),LOG(GQ108*GU108/Minerals!$C$5),"")</f>
        <v>-0.12121686576990627</v>
      </c>
      <c r="HC108" s="94">
        <f>IF(AND(GQ108&lt;&gt;"",GX108&lt;&gt;""),LOG(GQ108*GX108^2/Minerals!$C$2),"")</f>
        <v>-2.8437319583013299</v>
      </c>
      <c r="HD108" s="94">
        <f>IF(AND(GQ108&lt;&gt;"",GY108&lt;&gt;""),LOG($GQ108*$GY108/Minerals!$C$3),"")</f>
        <v>-2.3503321085494329</v>
      </c>
      <c r="HE108" s="102">
        <f>IF(AND(GQ108&lt;&gt;"",GY108&lt;&gt;""),LOG($GQ108*$GY108/Minerals!$C$3),"")</f>
        <v>-2.3503321085494329</v>
      </c>
      <c r="HF108" s="199"/>
      <c r="HG108" s="92">
        <f>IF(HA108&lt;&gt;"",LOG(GQ108*GU108/(EXP(-1*Minerals!$E$6/'Other Constants'!$B$2*(1/(273.15+'ppm-mgL-1'!$D108)-1/298.15)+LN(Minerals!$C$6)))),"")</f>
        <v>-0.42133433791674302</v>
      </c>
      <c r="HH108" s="94">
        <f>IF(HA108&lt;&gt;"",LOG(GQ108*GU108/(EXP(-1*Minerals!$E$5/'Other Constants'!$B$2*(1/(273.15+'ppm-mgL-1'!$D108)-1/298.15)+LN(Minerals!$C$5)))),"")</f>
        <v>-0.55185279453479619</v>
      </c>
      <c r="HI108" s="94">
        <f>IF(HC108&lt;&gt;"",LOG(GQ108*GX108^2/(EXP(-1*Minerals!$E$2/'Other Constants'!$B$2*(1/(273.15+'ppm-mgL-1'!$D108)-1/298.15)+LN(Minerals!$C$2)))),"")</f>
        <v>-2.8255269755165848</v>
      </c>
      <c r="HJ108" s="94">
        <f>IF(HD108&lt;&gt;"",LOG($FF108*$FN108/(EXP(-1*Minerals!$E$3/'Other Constants'!$B$2*(1/(273.15+'ppm-mgL-1'!$D108)-1/298.15)+LN(Minerals!$C$3)))),"")</f>
        <v>-1.9933389903283774</v>
      </c>
      <c r="HK108" s="95">
        <f>IF(HE108&lt;&gt;"",LOG($FF108*$FN108/(EXP(-1*Minerals!$E$4/'Other Constants'!$B$2*(1/(273.15+'ppm-mgL-1'!$D108)-1/298.15)+LN(Minerals!$C$4)))),"")</f>
        <v>-2.6151467398025816</v>
      </c>
      <c r="HL108" s="199"/>
      <c r="HM108" s="199"/>
    </row>
    <row r="109" spans="1:221" x14ac:dyDescent="0.25">
      <c r="A109" s="267" t="str">
        <f>'WC samples'!B80</f>
        <v>ISST Indirect</v>
      </c>
      <c r="C109" s="266">
        <f>'WC samples'!A80</f>
        <v>41448</v>
      </c>
      <c r="D109" s="4">
        <f>'WC samples'!I80</f>
        <v>21.3</v>
      </c>
      <c r="E109" s="4">
        <f>'WC samples'!F80</f>
        <v>8.02</v>
      </c>
      <c r="AD109" s="83">
        <f>IF(E109&lt;&gt;"",10^(-2*$E109)/(10^(-2*$E109)+10^(-$E109-pKa!$B$2)+(10^(-pKa!$B$2-pKa!$C$2))),"")</f>
        <v>1.8602516149308922E-2</v>
      </c>
      <c r="AE109" s="84">
        <f>IF(E109&lt;&gt;"",10^(-$E109-pKa!$B$2)/(10^(-2*$E109)+10^(-$E109-pKa!$B$2)+10^(-pKa!$B$2-pKa!$C$2)),"")</f>
        <v>0.97627392545741731</v>
      </c>
      <c r="AF109" s="212">
        <f>IF(E109&lt;&gt;"",10^(-pKa!$B$2-pKa!$C$2)/(10^(-2*$E109)+10^(-$E109-pKa!$B$2)+10^(-pKa!$B$2-pKa!$C$2)),"")</f>
        <v>5.1235583932738322E-3</v>
      </c>
      <c r="AG109" s="152"/>
      <c r="AH109" s="222">
        <f>IF($AK109&lt;&gt;"",$AK109/'Elements and ions'!$G$3,IF($E109="","",""))</f>
        <v>3.5527896888793324</v>
      </c>
      <c r="AI109" s="85">
        <f t="shared" si="770"/>
        <v>3.6013308375252191E-3</v>
      </c>
      <c r="AJ109" s="84">
        <f>IF(AI109&lt;&gt;"",AI109*1000*'Elements and ions'!$B$7,"")</f>
        <v>43.254504290264151</v>
      </c>
      <c r="AK109" s="99">
        <f>'WC samples'!H80</f>
        <v>216.78</v>
      </c>
      <c r="AL109" s="88">
        <f>IF($AK109&lt;&gt;"",$AK109/'Elements and ions'!$G$3*Minerals!$B$6/2,IF($E109="","","Enter Alk(HCO3-)"))</f>
        <v>177.79385315594843</v>
      </c>
      <c r="AM109" s="199"/>
      <c r="AN109" s="101">
        <f t="shared" si="837"/>
        <v>6.6993815064067116E-5</v>
      </c>
      <c r="AO109" s="94">
        <f t="shared" si="838"/>
        <v>3.5158853936215939E-3</v>
      </c>
      <c r="AP109" s="95">
        <f t="shared" si="839"/>
        <v>1.8451628839558215E-5</v>
      </c>
      <c r="AQ109" s="199"/>
      <c r="AR109" s="199"/>
      <c r="AS109" s="83">
        <f t="shared" si="760"/>
        <v>0.19704063254137386</v>
      </c>
      <c r="AT109" s="83">
        <f>IF(AN109&lt;&gt;"",AN109/'Henrys law constants'!$B$7*1000000,"")</f>
        <v>1970.4063254137386</v>
      </c>
      <c r="AU109" s="268">
        <f>'WC samples'!K80</f>
        <v>13.399900000000001</v>
      </c>
      <c r="AV109" s="269">
        <f>'WC samples'!M80</f>
        <v>2.5573999999999999</v>
      </c>
      <c r="AW109" s="269">
        <f>'WC samples'!O80</f>
        <v>63.046300000000002</v>
      </c>
      <c r="AX109" s="269">
        <f>'WC samples'!N80</f>
        <v>13.325699999999999</v>
      </c>
      <c r="AY109" s="226">
        <f>AO109*'Elements and ions'!$G$3*1000</f>
        <v>214.52821652094582</v>
      </c>
      <c r="AZ109" s="269">
        <f>'WC samples'!Q80</f>
        <v>21.4023</v>
      </c>
      <c r="BA109" s="269">
        <f>'WC samples'!T80</f>
        <v>22.693300000000001</v>
      </c>
      <c r="BB109" s="270">
        <f>'WC samples'!V80</f>
        <v>13.4232</v>
      </c>
      <c r="BC109" s="222">
        <f>IF($E109&lt;&gt;"",10^-$E109*'Elements and ions'!B113*1000,"")</f>
        <v>0</v>
      </c>
      <c r="BE109" s="6"/>
      <c r="BF109" s="6"/>
      <c r="BG109" s="270">
        <f>'WC samples'!L80</f>
        <v>0</v>
      </c>
      <c r="BH109" s="3"/>
      <c r="BJ109" s="92">
        <f>IF($AN109&lt;&gt;"",$AN109*'Elements and ions'!$G$2*1000,"")</f>
        <v>4.1552766407094488</v>
      </c>
      <c r="BK109" s="229"/>
      <c r="BL109" s="230"/>
      <c r="BM109" s="101">
        <f>IF($E109&lt;&gt;"",(10^-14+$E109)*'Elements and ions'!$G$8,"")</f>
        <v>136.39886680000018</v>
      </c>
      <c r="BO109" s="102">
        <f>IF($AP109&lt;&gt;"",$AP109*'Elements and ions'!$G$4*1000,"")</f>
        <v>1.107261949870165</v>
      </c>
      <c r="BP109" s="269">
        <f>'WC samples'!P80</f>
        <v>9.8500000000000004E-2</v>
      </c>
      <c r="BQ109" s="270">
        <f>'WC samples'!R80</f>
        <v>0</v>
      </c>
      <c r="BR109" s="195"/>
      <c r="BS109" s="238">
        <f>IF($AU109&lt;&gt;"",$AU109/'Elements and ions'!$B$12,"")</f>
        <v>0.5828636136708546</v>
      </c>
      <c r="BT109" s="239">
        <f>IF($AV109&lt;&gt;"",$AV109/'Elements and ions'!$B$20,"")</f>
        <v>6.5409493507390337E-2</v>
      </c>
      <c r="BU109" s="239">
        <f>IF($AW109&lt;&gt;"",$AW109/'Elements and ions'!$B$21, "")</f>
        <v>1.5730899745496281</v>
      </c>
      <c r="BV109" s="240">
        <f>IF($AX109&lt;&gt;"",$AX109/'Elements and ions'!$B$13, "")</f>
        <v>0.5482699033120757</v>
      </c>
      <c r="BW109" s="238">
        <f>IF($AY109&lt;&gt;"",$AY109/'Elements and ions'!$G$3,"")</f>
        <v>3.5158853936215944</v>
      </c>
      <c r="BX109" s="239">
        <f>IF($AZ109&lt;&gt;"",$AZ109/'Elements and ions'!$B$18,"")</f>
        <v>0.60368092968155018</v>
      </c>
      <c r="BY109" s="239">
        <f>IF($BA109&lt;&gt;"",$BA109/'Elements and ions'!$G$7,"")</f>
        <v>0.36599204256437801</v>
      </c>
      <c r="BZ109" s="241">
        <f>IF($BB109&lt;&gt;"",$BB109/'Elements and ions'!$G$5,"")</f>
        <v>0.13973388186453417</v>
      </c>
      <c r="CA109" s="91">
        <f t="shared" si="761"/>
        <v>9.5499258602143451E-6</v>
      </c>
      <c r="CB109" s="163" t="str">
        <f>IF($BD109&lt;&gt;"",$BD109/'Elements and ions'!$B$14,"")</f>
        <v/>
      </c>
      <c r="CC109" s="89" t="str">
        <f>IF($BE109&lt;&gt;"",$BE109/'Elements and ions'!$B$27, "")</f>
        <v/>
      </c>
      <c r="CD109" s="249" t="str">
        <f>IF($BF109&lt;&gt;"",$BF109/'Elements and ions'!$B$26,"")</f>
        <v/>
      </c>
      <c r="CE109" s="250">
        <f>IF($BG109&lt;&gt;"",$BG109/'Elements and ions'!$G$6,"")</f>
        <v>0</v>
      </c>
      <c r="CF109" s="91" t="str">
        <f>IF($BH109&lt;&gt;"",$BH109/'Elements and ions'!$G$15,"")</f>
        <v/>
      </c>
      <c r="CG109" s="89" t="str">
        <f>IF($BI109&lt;&gt;"",$BI109/'Elements and ions'!$G$16,"")</f>
        <v/>
      </c>
      <c r="CH109" s="90">
        <f>IF($BJ109&lt;&gt;"",$BJ109/'Elements and ions'!$G$2,"")</f>
        <v>6.6993815064067125E-2</v>
      </c>
      <c r="CI109" s="91" t="str">
        <f>IF($BK109&lt;&gt;"",$BK109/'Elements and ions'!$B$15, "")</f>
        <v/>
      </c>
      <c r="CJ109" s="88" t="str">
        <f>IF($BL109&lt;&gt;"", $BL109/'Elements and ions'!$G$17,"")</f>
        <v/>
      </c>
      <c r="CK109" s="89">
        <f t="shared" si="762"/>
        <v>1.0471285480508979E-3</v>
      </c>
      <c r="CL109" s="163" t="str">
        <f>IF($BN109&lt;&gt;"", $BN109/'Elements and ions'!$G$19,"")</f>
        <v/>
      </c>
      <c r="CM109" s="89">
        <f>IF($BO109&lt;&gt;"",$BO109/'Elements and ions'!$G$4,"")</f>
        <v>1.8451628839558216E-2</v>
      </c>
      <c r="CN109" s="89">
        <f>IF($BP109&lt;&gt;"",$BP109/'Elements and ions'!$B$10,"")</f>
        <v>5.184646254902097E-3</v>
      </c>
      <c r="CO109" s="104">
        <f>IF($BQ109&lt;&gt;"",$BQ109/'Elements and ions'!$G$18,"")</f>
        <v>0</v>
      </c>
      <c r="CP109" s="242"/>
      <c r="CQ109" s="238">
        <f t="shared" si="771"/>
        <v>5.8286361367085456E-4</v>
      </c>
      <c r="CR109" s="239">
        <f t="shared" si="772"/>
        <v>6.5409493507390332E-5</v>
      </c>
      <c r="CS109" s="239">
        <f t="shared" si="773"/>
        <v>1.573089974549628E-3</v>
      </c>
      <c r="CT109" s="241">
        <f t="shared" si="774"/>
        <v>5.4826990331207574E-4</v>
      </c>
      <c r="CU109" s="238">
        <f t="shared" si="775"/>
        <v>3.5158853936215944E-3</v>
      </c>
      <c r="CV109" s="239">
        <f t="shared" si="776"/>
        <v>6.0368092968155016E-4</v>
      </c>
      <c r="CW109" s="239">
        <f t="shared" si="777"/>
        <v>3.6599204256437801E-4</v>
      </c>
      <c r="CX109" s="241">
        <f t="shared" si="778"/>
        <v>1.3973388186453418E-4</v>
      </c>
      <c r="CY109" s="258">
        <f t="shared" si="763"/>
        <v>9.5499258602143453E-9</v>
      </c>
      <c r="CZ109" s="259" t="str">
        <f t="shared" si="779"/>
        <v/>
      </c>
      <c r="DA109" s="260" t="str">
        <f t="shared" si="780"/>
        <v/>
      </c>
      <c r="DB109" s="261" t="str">
        <f t="shared" si="781"/>
        <v/>
      </c>
      <c r="DC109" s="262">
        <f t="shared" si="782"/>
        <v>0</v>
      </c>
      <c r="DD109" s="263" t="str">
        <f t="shared" si="783"/>
        <v/>
      </c>
      <c r="DE109" s="259" t="str">
        <f t="shared" si="784"/>
        <v/>
      </c>
      <c r="DF109" s="260">
        <f t="shared" si="785"/>
        <v>6.6993815064067129E-5</v>
      </c>
      <c r="DG109" s="260" t="str">
        <f t="shared" si="786"/>
        <v/>
      </c>
      <c r="DH109" s="264" t="str">
        <f t="shared" si="787"/>
        <v/>
      </c>
      <c r="DI109" s="258">
        <f t="shared" si="764"/>
        <v>1.0471285480508979E-6</v>
      </c>
      <c r="DJ109" s="260" t="str">
        <f t="shared" si="788"/>
        <v/>
      </c>
      <c r="DK109" s="260">
        <f t="shared" si="789"/>
        <v>1.8451628839558215E-5</v>
      </c>
      <c r="DL109" s="260">
        <f t="shared" si="790"/>
        <v>5.1846462549020975E-6</v>
      </c>
      <c r="DM109" s="265">
        <f t="shared" si="791"/>
        <v>0</v>
      </c>
      <c r="DN109" s="242"/>
      <c r="DO109" s="238">
        <f t="shared" si="792"/>
        <v>0.5828636136708546</v>
      </c>
      <c r="DP109" s="239">
        <f t="shared" si="793"/>
        <v>6.5409493507390337E-2</v>
      </c>
      <c r="DQ109" s="239">
        <f t="shared" si="794"/>
        <v>3.1461799490992561</v>
      </c>
      <c r="DR109" s="241">
        <f t="shared" si="795"/>
        <v>1.0965398066241514</v>
      </c>
      <c r="DS109" s="238">
        <f t="shared" si="796"/>
        <v>-3.5158853936215944</v>
      </c>
      <c r="DT109" s="239">
        <f t="shared" si="797"/>
        <v>-0.60368092968155018</v>
      </c>
      <c r="DU109" s="239">
        <f t="shared" si="798"/>
        <v>-0.36599204256437801</v>
      </c>
      <c r="DV109" s="241">
        <f t="shared" si="799"/>
        <v>-0.27946776372906834</v>
      </c>
      <c r="DW109" s="91">
        <f t="shared" si="765"/>
        <v>9.5499258602143451E-6</v>
      </c>
      <c r="DX109" s="89">
        <f t="shared" si="800"/>
        <v>0</v>
      </c>
      <c r="DY109" s="89">
        <f t="shared" si="801"/>
        <v>0</v>
      </c>
      <c r="DZ109" s="89">
        <f t="shared" si="802"/>
        <v>0</v>
      </c>
      <c r="EA109" s="90">
        <f t="shared" si="803"/>
        <v>0</v>
      </c>
      <c r="EB109" s="91">
        <f t="shared" si="766"/>
        <v>-1.0471285480508979E-3</v>
      </c>
      <c r="EC109" s="89">
        <f t="shared" si="804"/>
        <v>0</v>
      </c>
      <c r="ED109" s="89">
        <f t="shared" si="805"/>
        <v>-3.6903257679116432E-2</v>
      </c>
      <c r="EE109" s="89">
        <f t="shared" si="806"/>
        <v>-5.184646254902097E-3</v>
      </c>
      <c r="EF109" s="90">
        <f t="shared" si="807"/>
        <v>0</v>
      </c>
      <c r="EG109" s="242"/>
      <c r="EH109" s="245">
        <f t="shared" si="808"/>
        <v>4.8910024128275129</v>
      </c>
      <c r="EI109" s="246">
        <f t="shared" si="809"/>
        <v>-4.8081611620786617</v>
      </c>
      <c r="EJ109" s="198">
        <f t="shared" si="810"/>
        <v>0.85410716201528292</v>
      </c>
      <c r="EK109" s="198">
        <f t="shared" si="811"/>
        <v>1.1613883098555287E-2</v>
      </c>
      <c r="EL109" s="101">
        <f>IF(AND(CS109&lt;&gt;"",DK109&lt;&gt;""),LOG(CS109*DK109/Minerals!$C$6),"")</f>
        <v>0.94296027954257366</v>
      </c>
      <c r="EM109" s="94">
        <f>IF(AND(CS109&lt;&gt;"",DK109&lt;&gt;""),LOG(CS109*DK109/Minerals!$C$5),"")</f>
        <v>0.81248075018635602</v>
      </c>
      <c r="EN109" s="94">
        <f>IF(AND(CS109&lt;&gt;"",DL109&lt;&gt;""),LOG(CS109*DL109^2/Minerals!$C$2),"")</f>
        <v>-2.8038832320823963</v>
      </c>
      <c r="EO109" s="94">
        <f>IF(AND(CS109&lt;&gt;"",CX109&lt;&gt;""),LOG($CS109*$CX109/Minerals!$C$3),"")</f>
        <v>-2.0579643476974177</v>
      </c>
      <c r="EP109" s="95">
        <f>IF(AND(CS109&lt;&gt;"",CX109&lt;&gt;""),LOG($CS109*$CX109/Minerals!$C$4),"")</f>
        <v>-2.2979488591633199</v>
      </c>
      <c r="EQ109" s="199"/>
      <c r="ER109" s="101">
        <f t="shared" si="840"/>
        <v>0.89404248519421392</v>
      </c>
      <c r="ES109" s="94">
        <f t="shared" si="840"/>
        <v>0.89404248519421392</v>
      </c>
      <c r="ET109" s="94">
        <f t="shared" si="841"/>
        <v>0.63889961792329808</v>
      </c>
      <c r="EU109" s="94">
        <f t="shared" si="841"/>
        <v>0.63889961792329808</v>
      </c>
      <c r="EV109" s="95">
        <f t="shared" si="841"/>
        <v>0.63889961792329808</v>
      </c>
      <c r="EW109" s="101">
        <f t="shared" si="842"/>
        <v>0.89404248519421392</v>
      </c>
      <c r="EX109" s="94">
        <f t="shared" si="758"/>
        <v>0.63889961792329808</v>
      </c>
      <c r="EY109" s="94">
        <f t="shared" si="842"/>
        <v>0.89404248519421392</v>
      </c>
      <c r="EZ109" s="94">
        <f t="shared" si="842"/>
        <v>0.89404248519421392</v>
      </c>
      <c r="FA109" s="94">
        <f t="shared" si="842"/>
        <v>0.89404248519421392</v>
      </c>
      <c r="FB109" s="95">
        <f t="shared" si="759"/>
        <v>0.63889961792329808</v>
      </c>
      <c r="FC109" s="199"/>
      <c r="FD109" s="101">
        <f t="shared" si="812"/>
        <v>5.2110483369557101E-4</v>
      </c>
      <c r="FE109" s="94">
        <f t="shared" si="813"/>
        <v>5.8478866130642053E-5</v>
      </c>
      <c r="FF109" s="94">
        <f t="shared" si="814"/>
        <v>1.0050465836987281E-3</v>
      </c>
      <c r="FG109" s="94">
        <f t="shared" si="815"/>
        <v>3.5028943174492876E-4</v>
      </c>
      <c r="FH109" s="95" t="str">
        <f t="shared" si="816"/>
        <v/>
      </c>
      <c r="FI109" s="101">
        <f t="shared" si="817"/>
        <v>3.1433509149714871E-3</v>
      </c>
      <c r="FJ109" s="94">
        <f t="shared" si="818"/>
        <v>1.1788738615656252E-5</v>
      </c>
      <c r="FK109" s="94">
        <f t="shared" si="819"/>
        <v>5.397163986368466E-4</v>
      </c>
      <c r="FL109" s="94">
        <f t="shared" si="820"/>
        <v>3.2721243529556306E-4</v>
      </c>
      <c r="FM109" s="94">
        <f t="shared" si="821"/>
        <v>4.6352940225855454E-6</v>
      </c>
      <c r="FN109" s="95">
        <f t="shared" si="822"/>
        <v>8.9275923734190161E-5</v>
      </c>
      <c r="FO109" s="199"/>
      <c r="FP109" s="101">
        <f>IF(EL109&lt;&gt;"",LOG(FF109*FJ109/Minerals!$C$6),"")</f>
        <v>0.55382553637078258</v>
      </c>
      <c r="FQ109" s="94">
        <f>IF(EL109&lt;&gt;"",LOG(FF109*FJ109/Minerals!$C$5),"")</f>
        <v>0.42334600701456482</v>
      </c>
      <c r="FR109" s="94">
        <f>IF(EN109&lt;&gt;"",LOG(FF109*FM109^2/Minerals!$C$2),"")</f>
        <v>-3.0957342894612396</v>
      </c>
      <c r="FS109" s="94">
        <f>IF(EO109&lt;&gt;"",LOG($FF109*$FN109/Minerals!$C$3),"")</f>
        <v>-2.4470990908692087</v>
      </c>
      <c r="FT109" s="95">
        <f>IF(EP109&lt;&gt;"",LOG($FF109*$FN109/Minerals!$C$4),"")</f>
        <v>-2.687083602335111</v>
      </c>
      <c r="FU109" s="96"/>
      <c r="FV109" s="101">
        <f>IF(FP109&lt;&gt;"",LOG(FF109*FJ109/(EXP(-1*Minerals!$E$6/'Other Constants'!$B$2*(1/(273.15+'ppm-mgL-1'!$D109)-1/298.15)+LN(Minerals!$C$6)))),"")</f>
        <v>-0.90733535032701274</v>
      </c>
      <c r="FW109" s="94">
        <f>IF(FP109&lt;&gt;"",LOG(FF109*FJ109/(EXP(-1*Minerals!$E$5/'Other Constants'!$B$2*(1/(273.15+'ppm-mgL-1'!$D109)-1/298.15)+LN(Minerals!$C$5)))),"")</f>
        <v>-1.0379469730146307</v>
      </c>
      <c r="FX109" s="94">
        <f>IF(FR109&lt;&gt;"",LOG(FF109*FM109^2/(EXP(-1*Minerals!$E$2/'Other Constants'!$B$2*(1/(273.15+'ppm-mgL-1'!$D109)-1/298.15)+LN(Minerals!$C$2)))),"")</f>
        <v>-3.0339586414766391</v>
      </c>
      <c r="FY109" s="94">
        <f>IF(FS109&lt;&gt;"",LOG($FF109*$FN109/(EXP(-1*Minerals!$E$3/'Other Constants'!$B$2*(1/(273.15+'ppm-mgL-1'!$D109)-1/298.15)+LN(Minerals!$C$3)))),"")</f>
        <v>-1.1875275324182704</v>
      </c>
      <c r="FZ109" s="95">
        <f>IF(FT109&lt;&gt;"",LOG($FF109*$FN109/(EXP(-1*Minerals!$E$4/'Other Constants'!$B$2*(1/(273.15+'ppm-mgL-1'!$D109)-1/298.15)+LN(Minerals!$C$4)))),"")</f>
        <v>-2.7231670973624662</v>
      </c>
      <c r="GA109" s="96"/>
      <c r="GB109" s="96"/>
      <c r="GC109" s="101">
        <f>10^(-1825000*(79.755*EXP(-0.0046*($D109-20))*($D109+273.15))^-1.5*$EK109^0.5/(1+'Elements and ions'!$D$12*$EK109^0.5/(2*(79.755*EXP(-0.0046*($D109-20))*($D109+273.15))^0.5)))</f>
        <v>0.89469288968902838</v>
      </c>
      <c r="GD109" s="94">
        <f>10^(-1825000*(79.755*EXP(-0.0046*($D109-20))*($D109+273.15))^-1.5*$EK109^0.5/(1+'Elements and ions'!$D$20*$EK109^0.5/(2*(79.755*EXP(-0.0046*($D109-20))*($D109+273.15))^0.5)))</f>
        <v>0.89152335567512808</v>
      </c>
      <c r="GE109" s="94">
        <f>10^(-1825000*(79.755*EXP(-0.0046*($D109-20))*($D109+273.15))^-1.5*4*$EK109^0.5/(1+'Elements and ions'!$D$21*$EK109^0.5/(2*(79.755*EXP(-0.0046*($D109-20))*($D109+273.15))^0.5)))</f>
        <v>0.65758109529011144</v>
      </c>
      <c r="GF109" s="94">
        <f>10^(-1825000*(79.755*EXP(-0.0046*($D109-20))*($D109+273.15))^-1.5*4*$EK109^0.5/(1+'Elements and ions'!$D$13*$EK109^0.5/(2*(79.755*EXP(-0.0046*($D109-20))*($D109+273.15))^0.5)))</f>
        <v>0.6729216862500863</v>
      </c>
      <c r="GG109" s="95">
        <f>10^(-1825000*(79.755*EXP(-0.0046*($D109-20))*($D109+273.15))^-1.5*4*$EK109^0.5/(1+'Elements and ions'!$D$27*$EK109^0.5/(2*(79.755*EXP(-0.0046*($D109-20))*($D109+273.15))^0.5)))</f>
        <v>0.65758109529011144</v>
      </c>
      <c r="GH109" s="101">
        <f>10^(-1825000*(79.755*EXP(-0.0046*($D109-20))*($D109+273.15))^-1.5*$EK109^0.5/(1+'Elements and ions'!$G$3*$EK109^0.5/(2*(79.755*EXP(-0.0046*($D109-20))*($D109+273.15))^0.5)))</f>
        <v>0.88311711460519893</v>
      </c>
      <c r="GI109" s="94">
        <f>10^(-1825000*(79.755*EXP(-0.0046*($D109-20))*($D109+273.15))^-1.5*4*$EK109^0.5/(1+'Elements and ions'!$G$4*$EK109^0.5/(2*(79.755*EXP(-0.0046*($D109-20))*($D109+273.15))^0.5)))</f>
        <v>0.60813225674855065</v>
      </c>
      <c r="GJ109" s="94">
        <f>10^(-1825000*(79.755*EXP(-0.0046*($D109-20))*($D109+273.15))^-1.5*$EK109^0.5/(1+'Elements and ions'!$D$18*$EK109^0.5/(2*(79.755*EXP(-0.0046*($D109-20))*($D109+273.15))^0.5)))</f>
        <v>0.89152335567512808</v>
      </c>
      <c r="GK109" s="94">
        <f>10^(-1825000*(79.755*EXP(-0.0046*($D109-20))*($D109+273.15))^-1.5*$EK109^0.5/(1+'Elements and ions'!$I$7*$EK109^0.5/(2*(79.755*EXP(-0.0046*($D109-20))*($D109+273.15))^0.5)))</f>
        <v>0.89152335567512808</v>
      </c>
      <c r="GL109" s="94">
        <f>10^(-1825000*(79.755*EXP(-0.0046*($D109-20))*($D109+273.15))^-1.5*$EK109^0.5/(1+'Elements and ions'!$D$10*$EK109^0.5/(2*(79.755*EXP(-0.0046*($D109-20))*($D109+273.15))^0.5)))</f>
        <v>0.89313159178637258</v>
      </c>
      <c r="GM109" s="95">
        <f>10^(-1825000*(79.755*EXP(-0.0046*($D109-20))*($D109+273.15))^-1.5*4*$EK109^0.5/(1+'Elements and ions'!$I$5*$EK109^0.5/(2*(79.755*EXP(-0.0046*($D109-20))*($D109+273.15))^0.5)))</f>
        <v>0.64076081294981801</v>
      </c>
      <c r="GN109" s="96"/>
      <c r="GO109" s="101">
        <f t="shared" si="823"/>
        <v>5.2148393080976639E-4</v>
      </c>
      <c r="GP109" s="94">
        <f t="shared" si="824"/>
        <v>5.831409114471913E-5</v>
      </c>
      <c r="GQ109" s="94">
        <f t="shared" si="825"/>
        <v>1.0344342284542378E-3</v>
      </c>
      <c r="GR109" s="94">
        <f t="shared" si="826"/>
        <v>3.689427078569338E-4</v>
      </c>
      <c r="GS109" s="95" t="str">
        <f t="shared" si="827"/>
        <v/>
      </c>
      <c r="GT109" s="101">
        <f t="shared" si="828"/>
        <v>3.1049385640976664E-3</v>
      </c>
      <c r="GU109" s="94">
        <f t="shared" si="829"/>
        <v>1.1221030686887178E-5</v>
      </c>
      <c r="GV109" s="94">
        <f t="shared" si="830"/>
        <v>5.381956481867766E-4</v>
      </c>
      <c r="GW109" s="94">
        <f t="shared" si="831"/>
        <v>3.2629045393738857E-4</v>
      </c>
      <c r="GX109" s="94">
        <f t="shared" si="832"/>
        <v>4.6305713624899656E-6</v>
      </c>
      <c r="GY109" s="102">
        <f t="shared" si="833"/>
        <v>8.9535995740152755E-5</v>
      </c>
      <c r="GZ109" s="199"/>
      <c r="HA109" s="92">
        <f>IF(AND(GQ109&lt;&gt;"",GU109&lt;&gt;""),LOG(GQ109*GU109/Minerals!$C$6),"")</f>
        <v>0.54490763879327497</v>
      </c>
      <c r="HB109" s="94">
        <f>IF(AND(GQ109&lt;&gt;"",GU109&lt;&gt;""),LOG(GQ109*GU109/Minerals!$C$5),"")</f>
        <v>0.41442810943705727</v>
      </c>
      <c r="HC109" s="94">
        <f>IF(AND(GQ109&lt;&gt;"",GX109&lt;&gt;""),LOG(GQ109*GX109^2/Minerals!$C$2),"")</f>
        <v>-3.0841030099017348</v>
      </c>
      <c r="HD109" s="94">
        <f>IF(AND(GQ109&lt;&gt;"",GY109&lt;&gt;""),LOG($GQ109*$GY109/Minerals!$C$3),"")</f>
        <v>-2.4333190847464206</v>
      </c>
      <c r="HE109" s="102">
        <f>IF(AND(GQ109&lt;&gt;"",GY109&lt;&gt;""),LOG($GQ109*$GY109/Minerals!$C$3),"")</f>
        <v>-2.4333190847464206</v>
      </c>
      <c r="HF109" s="199"/>
      <c r="HG109" s="92">
        <f>IF(HA109&lt;&gt;"",LOG(GQ109*GU109/(EXP(-1*Minerals!$E$6/'Other Constants'!$B$2*(1/(273.15+'ppm-mgL-1'!$D109)-1/298.15)+LN(Minerals!$C$6)))),"")</f>
        <v>-0.91625324790452034</v>
      </c>
      <c r="HH109" s="94">
        <f>IF(HA109&lt;&gt;"",LOG(GQ109*GU109/(EXP(-1*Minerals!$E$5/'Other Constants'!$B$2*(1/(273.15+'ppm-mgL-1'!$D109)-1/298.15)+LN(Minerals!$C$5)))),"")</f>
        <v>-1.0468648705921384</v>
      </c>
      <c r="HI109" s="94">
        <f>IF(HC109&lt;&gt;"",LOG(GQ109*GX109^2/(EXP(-1*Minerals!$E$2/'Other Constants'!$B$2*(1/(273.15+'ppm-mgL-1'!$D109)-1/298.15)+LN(Minerals!$C$2)))),"")</f>
        <v>-3.0223273619171338</v>
      </c>
      <c r="HJ109" s="94">
        <f>IF(HD109&lt;&gt;"",LOG($FF109*$FN109/(EXP(-1*Minerals!$E$3/'Other Constants'!$B$2*(1/(273.15+'ppm-mgL-1'!$D109)-1/298.15)+LN(Minerals!$C$3)))),"")</f>
        <v>-1.1875275324182704</v>
      </c>
      <c r="HK109" s="95">
        <f>IF(HE109&lt;&gt;"",LOG($FF109*$FN109/(EXP(-1*Minerals!$E$4/'Other Constants'!$B$2*(1/(273.15+'ppm-mgL-1'!$D109)-1/298.15)+LN(Minerals!$C$4)))),"")</f>
        <v>-2.7231670973624662</v>
      </c>
      <c r="HL109" s="199"/>
      <c r="HM109" s="199"/>
    </row>
    <row r="110" spans="1:221" x14ac:dyDescent="0.25">
      <c r="A110" s="267" t="str">
        <f>'WC samples'!B81</f>
        <v>ISST Indirect</v>
      </c>
      <c r="C110" s="266">
        <f>'WC samples'!A81</f>
        <v>41474</v>
      </c>
      <c r="D110" s="4">
        <f>'WC samples'!I81</f>
        <v>22.4</v>
      </c>
      <c r="E110" s="4">
        <f>'WC samples'!F81</f>
        <v>7.82</v>
      </c>
      <c r="AD110" s="83">
        <f>IF(E110&lt;&gt;"",10^(-2*$E110)/(10^(-2*$E110)+10^(-$E110-pKa!$B$2)+(10^(-pKa!$B$2-pKa!$C$2))),"")</f>
        <v>2.9220320071751932E-2</v>
      </c>
      <c r="AE110" s="84">
        <f>IF(E110&lt;&gt;"",10^(-$E110-pKa!$B$2)/(10^(-2*$E110)+10^(-$E110-pKa!$B$2)+10^(-pKa!$B$2-pKa!$C$2)),"")</f>
        <v>0.96757573554394805</v>
      </c>
      <c r="AF110" s="212">
        <f>IF(E110&lt;&gt;"",10^(-pKa!$B$2-pKa!$C$2)/(10^(-2*$E110)+10^(-$E110-pKa!$B$2)+10^(-pKa!$B$2-pKa!$C$2)),"")</f>
        <v>3.2039443843001124E-3</v>
      </c>
      <c r="AG110" s="152"/>
      <c r="AH110" s="88">
        <f>IF($AI110&lt;&gt;"",$AI110*1000*(AE110+2*AF110)+10^(-14+$E110)-10^(-$E110),IF($E110="","","Enter Alk(HCO3-)"))</f>
        <v>5.5695436131621889</v>
      </c>
      <c r="AI110" s="99">
        <f>'WC samples'!E81/1000/12.0107</f>
        <v>5.7183127401504493E-3</v>
      </c>
      <c r="AJ110" s="84">
        <f>IF(AI110&lt;&gt;"",AI110*1000*'Elements and ions'!$B$7,"")</f>
        <v>68.680938828125008</v>
      </c>
      <c r="AK110" s="89">
        <f>IF($AI110&lt;&gt;"",$AH110*'Elements and ions'!$G$3,IF($E110="","","Enter DIC"))</f>
        <v>339.83595151733914</v>
      </c>
      <c r="AL110" s="88">
        <f>IF($AK110&lt;&gt;"",$AK110/'Elements and ions'!$G$3*Minerals!$B$6/2,IF($E110="","","Enter Alk(HCO3-)"))</f>
        <v>278.71917732810135</v>
      </c>
      <c r="AM110" s="199"/>
      <c r="AN110" s="101">
        <f t="shared" si="837"/>
        <v>1.6709092853757295E-4</v>
      </c>
      <c r="AO110" s="94">
        <f t="shared" si="838"/>
        <v>5.5329006556214004E-3</v>
      </c>
      <c r="AP110" s="95">
        <f t="shared" si="839"/>
        <v>1.8321155991476819E-5</v>
      </c>
      <c r="AQ110" s="199"/>
      <c r="AR110" s="199"/>
      <c r="AS110" s="83">
        <f t="shared" si="760"/>
        <v>0.49144390746344979</v>
      </c>
      <c r="AT110" s="83">
        <f>IF(AN110&lt;&gt;"",AN110/'Henrys law constants'!$B$7*1000000,"")</f>
        <v>4914.439074634498</v>
      </c>
      <c r="AU110" s="268">
        <f>'WC samples'!K81</f>
        <v>12.3878</v>
      </c>
      <c r="AV110" s="269">
        <f>'WC samples'!M81</f>
        <v>2.5979000000000001</v>
      </c>
      <c r="AW110" s="269">
        <f>'WC samples'!O81</f>
        <v>65.6584</v>
      </c>
      <c r="AX110" s="269">
        <f>'WC samples'!N81</f>
        <v>12.943300000000001</v>
      </c>
      <c r="AY110" s="226">
        <f>AO110*'Elements and ions'!$G$3*1000</f>
        <v>337.60011403994605</v>
      </c>
      <c r="AZ110" s="269">
        <f>'WC samples'!Q81</f>
        <v>22.645</v>
      </c>
      <c r="BA110" s="269">
        <f>'WC samples'!T81</f>
        <v>22.750800000000002</v>
      </c>
      <c r="BB110" s="270">
        <f>'WC samples'!V81</f>
        <v>14.5007</v>
      </c>
      <c r="BC110" s="222">
        <f>IF($E110&lt;&gt;"",10^-$E110*'Elements and ions'!B114*1000,"")</f>
        <v>0</v>
      </c>
      <c r="BE110" s="6"/>
      <c r="BF110" s="6"/>
      <c r="BG110" s="270">
        <f>'WC samples'!L81</f>
        <v>0</v>
      </c>
      <c r="BH110" s="3"/>
      <c r="BJ110" s="92">
        <f>IF($AN110&lt;&gt;"",$AN110*'Elements and ions'!$G$2*1000,"")</f>
        <v>10.363778082538683</v>
      </c>
      <c r="BK110" s="229"/>
      <c r="BL110" s="230"/>
      <c r="BM110" s="101">
        <f>IF($E110&lt;&gt;"",(10^-14+$E110)*'Elements and ions'!$G$8,"")</f>
        <v>132.99739880000016</v>
      </c>
      <c r="BO110" s="102">
        <f>IF($AP110&lt;&gt;"",$AP110*'Elements and ions'!$G$4*1000,"")</f>
        <v>1.0994324177769332</v>
      </c>
      <c r="BP110" s="269">
        <f>'WC samples'!P81</f>
        <v>0.11310000000000001</v>
      </c>
      <c r="BQ110" s="270">
        <f>'WC samples'!R81</f>
        <v>0</v>
      </c>
      <c r="BR110" s="195"/>
      <c r="BS110" s="238">
        <f>IF($AU110&lt;&gt;"",$AU110/'Elements and ions'!$B$12,"")</f>
        <v>0.53883968338807098</v>
      </c>
      <c r="BT110" s="239">
        <f>IF($AV110&lt;&gt;"",$AV110/'Elements and ions'!$B$20,"")</f>
        <v>6.6445344170974183E-2</v>
      </c>
      <c r="BU110" s="239">
        <f>IF($AW110&lt;&gt;"",$AW110/'Elements and ions'!$B$21, "")</f>
        <v>1.6382653825041169</v>
      </c>
      <c r="BV110" s="240">
        <f>IF($AX110&lt;&gt;"",$AX110/'Elements and ions'!$B$13, "")</f>
        <v>0.53253651512034561</v>
      </c>
      <c r="BW110" s="238">
        <f>IF($AY110&lt;&gt;"",$AY110/'Elements and ions'!$G$3,"")</f>
        <v>5.5329006556214004</v>
      </c>
      <c r="BX110" s="239">
        <f>IF($AZ110&lt;&gt;"",$AZ110/'Elements and ions'!$B$18,"")</f>
        <v>0.63873297041153065</v>
      </c>
      <c r="BY110" s="239">
        <f>IF($BA110&lt;&gt;"",$BA110/'Elements and ions'!$G$7,"")</f>
        <v>0.36691938862896323</v>
      </c>
      <c r="BZ110" s="241">
        <f>IF($BB110&lt;&gt;"",$BB110/'Elements and ions'!$G$5,"")</f>
        <v>0.15095052601116354</v>
      </c>
      <c r="CA110" s="91">
        <f t="shared" si="761"/>
        <v>1.5135612484362029E-5</v>
      </c>
      <c r="CB110" s="163" t="str">
        <f>IF($BD110&lt;&gt;"",$BD110/'Elements and ions'!$B$14,"")</f>
        <v/>
      </c>
      <c r="CC110" s="89" t="str">
        <f>IF($BE110&lt;&gt;"",$BE110/'Elements and ions'!$B$27, "")</f>
        <v/>
      </c>
      <c r="CD110" s="249" t="str">
        <f>IF($BF110&lt;&gt;"",$BF110/'Elements and ions'!$B$26,"")</f>
        <v/>
      </c>
      <c r="CE110" s="250">
        <f>IF($BG110&lt;&gt;"",$BG110/'Elements and ions'!$G$6,"")</f>
        <v>0</v>
      </c>
      <c r="CF110" s="91" t="str">
        <f>IF($BH110&lt;&gt;"",$BH110/'Elements and ions'!$G$15,"")</f>
        <v/>
      </c>
      <c r="CG110" s="89" t="str">
        <f>IF($BI110&lt;&gt;"",$BI110/'Elements and ions'!$G$16,"")</f>
        <v/>
      </c>
      <c r="CH110" s="90">
        <f>IF($BJ110&lt;&gt;"",$BJ110/'Elements and ions'!$G$2,"")</f>
        <v>0.16709092853757296</v>
      </c>
      <c r="CI110" s="91" t="str">
        <f>IF($BK110&lt;&gt;"",$BK110/'Elements and ions'!$B$15, "")</f>
        <v/>
      </c>
      <c r="CJ110" s="88" t="str">
        <f>IF($BL110&lt;&gt;"", $BL110/'Elements and ions'!$G$17,"")</f>
        <v/>
      </c>
      <c r="CK110" s="89">
        <f t="shared" si="762"/>
        <v>6.6069344800759506E-4</v>
      </c>
      <c r="CL110" s="163" t="str">
        <f>IF($BN110&lt;&gt;"", $BN110/'Elements and ions'!$G$19,"")</f>
        <v/>
      </c>
      <c r="CM110" s="89">
        <f>IF($BO110&lt;&gt;"",$BO110/'Elements and ions'!$G$4,"")</f>
        <v>1.8321155991476819E-2</v>
      </c>
      <c r="CN110" s="89">
        <f>IF($BP110&lt;&gt;"",$BP110/'Elements and ions'!$B$10,"")</f>
        <v>5.9531318926845395E-3</v>
      </c>
      <c r="CO110" s="104">
        <f>IF($BQ110&lt;&gt;"",$BQ110/'Elements and ions'!$G$18,"")</f>
        <v>0</v>
      </c>
      <c r="CP110" s="242"/>
      <c r="CQ110" s="238">
        <f t="shared" si="771"/>
        <v>5.3883968338807101E-4</v>
      </c>
      <c r="CR110" s="239">
        <f t="shared" si="772"/>
        <v>6.6445344170974182E-5</v>
      </c>
      <c r="CS110" s="239">
        <f t="shared" si="773"/>
        <v>1.638265382504117E-3</v>
      </c>
      <c r="CT110" s="241">
        <f t="shared" si="774"/>
        <v>5.3253651512034559E-4</v>
      </c>
      <c r="CU110" s="238">
        <f t="shared" si="775"/>
        <v>5.5329006556214004E-3</v>
      </c>
      <c r="CV110" s="239">
        <f t="shared" si="776"/>
        <v>6.3873297041153068E-4</v>
      </c>
      <c r="CW110" s="239">
        <f t="shared" si="777"/>
        <v>3.6691938862896321E-4</v>
      </c>
      <c r="CX110" s="241">
        <f t="shared" si="778"/>
        <v>1.5095052601116354E-4</v>
      </c>
      <c r="CY110" s="258">
        <f t="shared" si="763"/>
        <v>1.5135612484362029E-8</v>
      </c>
      <c r="CZ110" s="259" t="str">
        <f t="shared" si="779"/>
        <v/>
      </c>
      <c r="DA110" s="260" t="str">
        <f t="shared" si="780"/>
        <v/>
      </c>
      <c r="DB110" s="261" t="str">
        <f t="shared" si="781"/>
        <v/>
      </c>
      <c r="DC110" s="262">
        <f t="shared" si="782"/>
        <v>0</v>
      </c>
      <c r="DD110" s="263" t="str">
        <f t="shared" si="783"/>
        <v/>
      </c>
      <c r="DE110" s="259" t="str">
        <f t="shared" si="784"/>
        <v/>
      </c>
      <c r="DF110" s="260">
        <f t="shared" si="785"/>
        <v>1.6709092853757295E-4</v>
      </c>
      <c r="DG110" s="260" t="str">
        <f t="shared" si="786"/>
        <v/>
      </c>
      <c r="DH110" s="264" t="str">
        <f t="shared" si="787"/>
        <v/>
      </c>
      <c r="DI110" s="258">
        <f t="shared" si="764"/>
        <v>6.6069344800759506E-7</v>
      </c>
      <c r="DJ110" s="260" t="str">
        <f t="shared" si="788"/>
        <v/>
      </c>
      <c r="DK110" s="260">
        <f t="shared" si="789"/>
        <v>1.8321155991476819E-5</v>
      </c>
      <c r="DL110" s="260">
        <f t="shared" si="790"/>
        <v>5.9531318926845397E-6</v>
      </c>
      <c r="DM110" s="265">
        <f t="shared" si="791"/>
        <v>0</v>
      </c>
      <c r="DN110" s="242"/>
      <c r="DO110" s="238">
        <f t="shared" si="792"/>
        <v>0.53883968338807098</v>
      </c>
      <c r="DP110" s="239">
        <f t="shared" si="793"/>
        <v>6.6445344170974183E-2</v>
      </c>
      <c r="DQ110" s="239">
        <f t="shared" si="794"/>
        <v>3.2765307650082338</v>
      </c>
      <c r="DR110" s="241">
        <f t="shared" si="795"/>
        <v>1.0650730302406912</v>
      </c>
      <c r="DS110" s="238">
        <f t="shared" si="796"/>
        <v>-5.5329006556214004</v>
      </c>
      <c r="DT110" s="239">
        <f t="shared" si="797"/>
        <v>-0.63873297041153065</v>
      </c>
      <c r="DU110" s="239">
        <f t="shared" si="798"/>
        <v>-0.36691938862896323</v>
      </c>
      <c r="DV110" s="241">
        <f t="shared" si="799"/>
        <v>-0.30190105202232709</v>
      </c>
      <c r="DW110" s="91">
        <f t="shared" si="765"/>
        <v>1.5135612484362029E-5</v>
      </c>
      <c r="DX110" s="89">
        <f t="shared" si="800"/>
        <v>0</v>
      </c>
      <c r="DY110" s="89">
        <f t="shared" si="801"/>
        <v>0</v>
      </c>
      <c r="DZ110" s="89">
        <f t="shared" si="802"/>
        <v>0</v>
      </c>
      <c r="EA110" s="90">
        <f t="shared" si="803"/>
        <v>0</v>
      </c>
      <c r="EB110" s="91">
        <f t="shared" si="766"/>
        <v>-6.6069344800759506E-4</v>
      </c>
      <c r="EC110" s="89">
        <f t="shared" si="804"/>
        <v>0</v>
      </c>
      <c r="ED110" s="89">
        <f t="shared" si="805"/>
        <v>-3.6642311982953639E-2</v>
      </c>
      <c r="EE110" s="89">
        <f t="shared" si="806"/>
        <v>-5.9531318926845395E-3</v>
      </c>
      <c r="EF110" s="90">
        <f t="shared" si="807"/>
        <v>0</v>
      </c>
      <c r="EG110" s="242"/>
      <c r="EH110" s="245">
        <f t="shared" si="808"/>
        <v>4.9469039584204548</v>
      </c>
      <c r="EI110" s="246">
        <f t="shared" si="809"/>
        <v>-6.8837102040078664</v>
      </c>
      <c r="EJ110" s="198">
        <f t="shared" si="810"/>
        <v>-16.371138632331729</v>
      </c>
      <c r="EK110" s="198">
        <f t="shared" si="811"/>
        <v>1.2861905281599317E-2</v>
      </c>
      <c r="EL110" s="101">
        <f>IF(AND(CS110&lt;&gt;"",DK110&lt;&gt;""),LOG(CS110*DK110/Minerals!$C$6),"")</f>
        <v>0.95750913311931618</v>
      </c>
      <c r="EM110" s="94">
        <f>IF(AND(CS110&lt;&gt;"",DK110&lt;&gt;""),LOG(CS110*DK110/Minerals!$C$5),"")</f>
        <v>0.82702960376309842</v>
      </c>
      <c r="EN110" s="94">
        <f>IF(AND(CS110&lt;&gt;"",DL110&lt;&gt;""),LOG(CS110*DL110^2/Minerals!$C$2),"")</f>
        <v>-2.6661997920355769</v>
      </c>
      <c r="EO110" s="94">
        <f>IF(AND(CS110&lt;&gt;"",CX110&lt;&gt;""),LOG($CS110*$CX110/Minerals!$C$3),"")</f>
        <v>-2.0068007498767169</v>
      </c>
      <c r="EP110" s="95">
        <f>IF(AND(CS110&lt;&gt;"",CX110&lt;&gt;""),LOG($CS110*$CX110/Minerals!$C$4),"")</f>
        <v>-2.2467852613426196</v>
      </c>
      <c r="EQ110" s="199"/>
      <c r="ER110" s="101">
        <f t="shared" si="840"/>
        <v>0.88934595707275388</v>
      </c>
      <c r="ES110" s="94">
        <f t="shared" si="840"/>
        <v>0.88934595707275388</v>
      </c>
      <c r="ET110" s="94">
        <f t="shared" si="841"/>
        <v>0.62558012208057323</v>
      </c>
      <c r="EU110" s="94">
        <f t="shared" si="841"/>
        <v>0.62558012208057323</v>
      </c>
      <c r="EV110" s="95">
        <f t="shared" si="841"/>
        <v>0.62558012208057323</v>
      </c>
      <c r="EW110" s="101">
        <f t="shared" si="842"/>
        <v>0.88934595707275388</v>
      </c>
      <c r="EX110" s="94">
        <f t="shared" si="758"/>
        <v>0.62558012208057323</v>
      </c>
      <c r="EY110" s="94">
        <f t="shared" si="842"/>
        <v>0.88934595707275388</v>
      </c>
      <c r="EZ110" s="94">
        <f t="shared" si="842"/>
        <v>0.88934595707275388</v>
      </c>
      <c r="FA110" s="94">
        <f t="shared" si="842"/>
        <v>0.88934595707275388</v>
      </c>
      <c r="FB110" s="95">
        <f t="shared" si="759"/>
        <v>0.62558012208057323</v>
      </c>
      <c r="FC110" s="199"/>
      <c r="FD110" s="101">
        <f t="shared" si="812"/>
        <v>4.7921489393154369E-4</v>
      </c>
      <c r="FE110" s="94">
        <f t="shared" si="813"/>
        <v>5.909289820476356E-5</v>
      </c>
      <c r="FF110" s="94">
        <f t="shared" si="814"/>
        <v>1.0248662579873025E-3</v>
      </c>
      <c r="FG110" s="94">
        <f t="shared" si="815"/>
        <v>3.331442581413488E-4</v>
      </c>
      <c r="FH110" s="95" t="str">
        <f t="shared" si="816"/>
        <v/>
      </c>
      <c r="FI110" s="101">
        <f t="shared" si="817"/>
        <v>4.9206628289620814E-3</v>
      </c>
      <c r="FJ110" s="94">
        <f t="shared" si="818"/>
        <v>1.1461351001805294E-5</v>
      </c>
      <c r="FK110" s="94">
        <f t="shared" si="819"/>
        <v>5.6805458488456571E-4</v>
      </c>
      <c r="FL110" s="94">
        <f t="shared" si="820"/>
        <v>3.2631827484877501E-4</v>
      </c>
      <c r="FM110" s="94">
        <f t="shared" si="821"/>
        <v>5.2943937806798663E-6</v>
      </c>
      <c r="FN110" s="95">
        <f t="shared" si="822"/>
        <v>9.4431648490190425E-5</v>
      </c>
      <c r="FO110" s="199"/>
      <c r="FP110" s="101">
        <f>IF(EL110&lt;&gt;"",LOG(FF110*FJ110/Minerals!$C$6),"")</f>
        <v>0.55007501409287118</v>
      </c>
      <c r="FQ110" s="94">
        <f>IF(EL110&lt;&gt;"",LOG(FF110*FJ110/Minerals!$C$5),"")</f>
        <v>0.41959548473665337</v>
      </c>
      <c r="FR110" s="94">
        <f>IF(EN110&lt;&gt;"",LOG(FF110*FM110^2/Minerals!$C$2),"")</f>
        <v>-2.9717753813054104</v>
      </c>
      <c r="FS110" s="94">
        <f>IF(EO110&lt;&gt;"",LOG($FF110*$FN110/Minerals!$C$3),"")</f>
        <v>-2.4142348689031623</v>
      </c>
      <c r="FT110" s="95">
        <f>IF(EP110&lt;&gt;"",LOG($FF110*$FN110/Minerals!$C$4),"")</f>
        <v>-2.6542193803690646</v>
      </c>
      <c r="FU110" s="96"/>
      <c r="FV110" s="101">
        <f>IF(FP110&lt;&gt;"",LOG(FF110*FJ110/(EXP(-1*Minerals!$E$6/'Other Constants'!$B$2*(1/(273.15+'ppm-mgL-1'!$D110)-1/298.15)+LN(Minerals!$C$6)))),"")</f>
        <v>-0.4728652118982935</v>
      </c>
      <c r="FW110" s="94">
        <f>IF(FP110&lt;&gt;"",LOG(FF110*FJ110/(EXP(-1*Minerals!$E$5/'Other Constants'!$B$2*(1/(273.15+'ppm-mgL-1'!$D110)-1/298.15)+LN(Minerals!$C$5)))),"")</f>
        <v>-0.60343721812239259</v>
      </c>
      <c r="FX110" s="94">
        <f>IF(FR110&lt;&gt;"",LOG(FF110*FM110^2/(EXP(-1*Minerals!$E$2/'Other Constants'!$B$2*(1/(273.15+'ppm-mgL-1'!$D110)-1/298.15)+LN(Minerals!$C$2)))),"")</f>
        <v>-2.9285270327591175</v>
      </c>
      <c r="FY110" s="94">
        <f>IF(FS110&lt;&gt;"",LOG($FF110*$FN110/(EXP(-1*Minerals!$E$3/'Other Constants'!$B$2*(1/(273.15+'ppm-mgL-1'!$D110)-1/298.15)+LN(Minerals!$C$3)))),"")</f>
        <v>-1.5324247777736615</v>
      </c>
      <c r="FZ110" s="95">
        <f>IF(FT110&lt;&gt;"",LOG($FF110*$FN110/(EXP(-1*Minerals!$E$4/'Other Constants'!$B$2*(1/(273.15+'ppm-mgL-1'!$D110)-1/298.15)+LN(Minerals!$C$4)))),"")</f>
        <v>-2.6794809781122484</v>
      </c>
      <c r="GA110" s="96"/>
      <c r="GB110" s="96"/>
      <c r="GC110" s="101">
        <f>10^(-1825000*(79.755*EXP(-0.0046*($D110-20))*($D110+273.15))^-1.5*$EK110^0.5/(1+'Elements and ions'!$D$12*$EK110^0.5/(2*(79.755*EXP(-0.0046*($D110-20))*($D110+273.15))^0.5)))</f>
        <v>0.88996745366263419</v>
      </c>
      <c r="GD110" s="94">
        <f>10^(-1825000*(79.755*EXP(-0.0046*($D110-20))*($D110+273.15))^-1.5*$EK110^0.5/(1+'Elements and ions'!$D$20*$EK110^0.5/(2*(79.755*EXP(-0.0046*($D110-20))*($D110+273.15))^0.5)))</f>
        <v>0.88650753616698397</v>
      </c>
      <c r="GE110" s="94">
        <f>10^(-1825000*(79.755*EXP(-0.0046*($D110-20))*($D110+273.15))^-1.5*4*$EK110^0.5/(1+'Elements and ions'!$D$21*$EK110^0.5/(2*(79.755*EXP(-0.0046*($D110-20))*($D110+273.15))^0.5)))</f>
        <v>0.64535244547275672</v>
      </c>
      <c r="GF110" s="94">
        <f>10^(-1825000*(79.755*EXP(-0.0046*($D110-20))*($D110+273.15))^-1.5*4*$EK110^0.5/(1+'Elements and ions'!$D$13*$EK110^0.5/(2*(79.755*EXP(-0.0046*($D110-20))*($D110+273.15))^0.5)))</f>
        <v>0.66174197392010303</v>
      </c>
      <c r="GG110" s="95">
        <f>10^(-1825000*(79.755*EXP(-0.0046*($D110-20))*($D110+273.15))^-1.5*4*$EK110^0.5/(1+'Elements and ions'!$D$27*$EK110^0.5/(2*(79.755*EXP(-0.0046*($D110-20))*($D110+273.15))^0.5)))</f>
        <v>0.64535244547275672</v>
      </c>
      <c r="GH110" s="101">
        <f>10^(-1825000*(79.755*EXP(-0.0046*($D110-20))*($D110+273.15))^-1.5*$EK110^0.5/(1+'Elements and ions'!$G$3*$EK110^0.5/(2*(79.755*EXP(-0.0046*($D110-20))*($D110+273.15))^0.5)))</f>
        <v>0.87728737351125585</v>
      </c>
      <c r="GI110" s="94">
        <f>10^(-1825000*(79.755*EXP(-0.0046*($D110-20))*($D110+273.15))^-1.5*4*$EK110^0.5/(1+'Elements and ions'!$G$4*$EK110^0.5/(2*(79.755*EXP(-0.0046*($D110-20))*($D110+273.15))^0.5)))</f>
        <v>0.59222158888752607</v>
      </c>
      <c r="GJ110" s="94">
        <f>10^(-1825000*(79.755*EXP(-0.0046*($D110-20))*($D110+273.15))^-1.5*$EK110^0.5/(1+'Elements and ions'!$D$18*$EK110^0.5/(2*(79.755*EXP(-0.0046*($D110-20))*($D110+273.15))^0.5)))</f>
        <v>0.88650753616698397</v>
      </c>
      <c r="GK110" s="94">
        <f>10^(-1825000*(79.755*EXP(-0.0046*($D110-20))*($D110+273.15))^-1.5*$EK110^0.5/(1+'Elements and ions'!$I$7*$EK110^0.5/(2*(79.755*EXP(-0.0046*($D110-20))*($D110+273.15))^0.5)))</f>
        <v>0.88650753616698397</v>
      </c>
      <c r="GL110" s="94">
        <f>10^(-1825000*(79.755*EXP(-0.0046*($D110-20))*($D110+273.15))^-1.5*$EK110^0.5/(1+'Elements and ions'!$D$10*$EK110^0.5/(2*(79.755*EXP(-0.0046*($D110-20))*($D110+273.15))^0.5)))</f>
        <v>0.88826423949157152</v>
      </c>
      <c r="GM110" s="95">
        <f>10^(-1825000*(79.755*EXP(-0.0046*($D110-20))*($D110+273.15))^-1.5*4*$EK110^0.5/(1+'Elements and ions'!$I$5*$EK110^0.5/(2*(79.755*EXP(-0.0046*($D110-20))*($D110+273.15))^0.5)))</f>
        <v>0.62733063839850967</v>
      </c>
      <c r="GN110" s="96"/>
      <c r="GO110" s="101">
        <f t="shared" si="823"/>
        <v>4.7954978095726155E-4</v>
      </c>
      <c r="GP110" s="94">
        <f t="shared" si="824"/>
        <v>5.8904298350777593E-5</v>
      </c>
      <c r="GQ110" s="94">
        <f t="shared" si="825"/>
        <v>1.0572585709323931E-3</v>
      </c>
      <c r="GR110" s="94">
        <f t="shared" si="826"/>
        <v>3.524017647002703E-4</v>
      </c>
      <c r="GS110" s="95" t="str">
        <f t="shared" si="827"/>
        <v/>
      </c>
      <c r="GT110" s="101">
        <f t="shared" si="828"/>
        <v>4.8539438840688037E-3</v>
      </c>
      <c r="GU110" s="94">
        <f t="shared" si="829"/>
        <v>1.0850184111528619E-5</v>
      </c>
      <c r="GV110" s="94">
        <f t="shared" si="830"/>
        <v>5.6624159186814509E-4</v>
      </c>
      <c r="GW110" s="94">
        <f t="shared" si="831"/>
        <v>3.2527680318535828E-4</v>
      </c>
      <c r="GX110" s="94">
        <f t="shared" si="832"/>
        <v>5.2879541732484522E-6</v>
      </c>
      <c r="GY110" s="102">
        <f t="shared" si="833"/>
        <v>9.4695889849174056E-5</v>
      </c>
      <c r="GZ110" s="199"/>
      <c r="HA110" s="92">
        <f>IF(AND(GQ110&lt;&gt;"",GU110&lt;&gt;""),LOG(GQ110*GU110/Minerals!$C$6),"")</f>
        <v>0.53979032835506058</v>
      </c>
      <c r="HB110" s="94">
        <f>IF(AND(GQ110&lt;&gt;"",GU110&lt;&gt;""),LOG(GQ110*GU110/Minerals!$C$5),"")</f>
        <v>0.40931079899884287</v>
      </c>
      <c r="HC110" s="94">
        <f>IF(AND(GQ110&lt;&gt;"",GX110&lt;&gt;""),LOG(GQ110*GX110^2/Minerals!$C$2),"")</f>
        <v>-2.9593184754257273</v>
      </c>
      <c r="HD110" s="94">
        <f>IF(AND(GQ110&lt;&gt;"",GY110&lt;&gt;""),LOG($GQ110*$GY110/Minerals!$C$3),"")</f>
        <v>-2.3995072910842583</v>
      </c>
      <c r="HE110" s="102">
        <f>IF(AND(GQ110&lt;&gt;"",GY110&lt;&gt;""),LOG($GQ110*$GY110/Minerals!$C$3),"")</f>
        <v>-2.3995072910842583</v>
      </c>
      <c r="HF110" s="199"/>
      <c r="HG110" s="92">
        <f>IF(HA110&lt;&gt;"",LOG(GQ110*GU110/(EXP(-1*Minerals!$E$6/'Other Constants'!$B$2*(1/(273.15+'ppm-mgL-1'!$D110)-1/298.15)+LN(Minerals!$C$6)))),"")</f>
        <v>-0.483149897636104</v>
      </c>
      <c r="HH110" s="94">
        <f>IF(HA110&lt;&gt;"",LOG(GQ110*GU110/(EXP(-1*Minerals!$E$5/'Other Constants'!$B$2*(1/(273.15+'ppm-mgL-1'!$D110)-1/298.15)+LN(Minerals!$C$5)))),"")</f>
        <v>-0.61372190386020309</v>
      </c>
      <c r="HI110" s="94">
        <f>IF(HC110&lt;&gt;"",LOG(GQ110*GX110^2/(EXP(-1*Minerals!$E$2/'Other Constants'!$B$2*(1/(273.15+'ppm-mgL-1'!$D110)-1/298.15)+LN(Minerals!$C$2)))),"")</f>
        <v>-2.9160701268794345</v>
      </c>
      <c r="HJ110" s="94">
        <f>IF(HD110&lt;&gt;"",LOG($FF110*$FN110/(EXP(-1*Minerals!$E$3/'Other Constants'!$B$2*(1/(273.15+'ppm-mgL-1'!$D110)-1/298.15)+LN(Minerals!$C$3)))),"")</f>
        <v>-1.5324247777736615</v>
      </c>
      <c r="HK110" s="95">
        <f>IF(HE110&lt;&gt;"",LOG($FF110*$FN110/(EXP(-1*Minerals!$E$4/'Other Constants'!$B$2*(1/(273.15+'ppm-mgL-1'!$D110)-1/298.15)+LN(Minerals!$C$4)))),"")</f>
        <v>-2.6794809781122484</v>
      </c>
      <c r="HL110" s="199"/>
      <c r="HM110" s="199"/>
    </row>
    <row r="111" spans="1:221" x14ac:dyDescent="0.25">
      <c r="A111" s="267" t="str">
        <f>'WC samples'!B82</f>
        <v>ISST Indirect</v>
      </c>
      <c r="C111" s="266">
        <f>'WC samples'!A82</f>
        <v>41502</v>
      </c>
      <c r="D111" s="4">
        <f>'WC samples'!I82</f>
        <v>21.7</v>
      </c>
      <c r="E111" s="4">
        <f>'WC samples'!F82</f>
        <v>7.73</v>
      </c>
      <c r="AD111" s="83">
        <f>IF(E111&lt;&gt;"",10^(-2*$E111)/(10^(-2*$E111)+10^(-$E111-pKa!$B$2)+(10^(-pKa!$B$2-pKa!$C$2))),"")</f>
        <v>3.5729864400575614E-2</v>
      </c>
      <c r="AE111" s="84">
        <f>IF(E111&lt;&gt;"",10^(-$E111-pKa!$B$2)/(10^(-2*$E111)+10^(-$E111-pKa!$B$2)+10^(-pKa!$B$2-pKa!$C$2)),"")</f>
        <v>0.96168173573738636</v>
      </c>
      <c r="AF111" s="212">
        <f>IF(E111&lt;&gt;"",10^(-pKa!$B$2-pKa!$C$2)/(10^(-2*$E111)+10^(-$E111-pKa!$B$2)+10^(-pKa!$B$2-pKa!$C$2)),"")</f>
        <v>2.5883998620380303E-3</v>
      </c>
      <c r="AG111" s="152"/>
      <c r="AH111" s="222">
        <f>IF($AK111&lt;&gt;"",$AK111/'Elements and ions'!$G$3,IF($E111="","",""))</f>
        <v>4.4413968340543368</v>
      </c>
      <c r="AI111" s="85">
        <f t="shared" si="770"/>
        <v>4.5936361450474453E-3</v>
      </c>
      <c r="AJ111" s="84">
        <f>IF(AI111&lt;&gt;"",AI111*1000*'Elements and ions'!$B$7,"")</f>
        <v>55.172785647321348</v>
      </c>
      <c r="AK111" s="99">
        <f>'WC samples'!H82</f>
        <v>271</v>
      </c>
      <c r="AL111" s="88">
        <f>IF($AK111&lt;&gt;"",$AK111/'Elements and ions'!$G$3*Minerals!$B$6/2,IF($E111="","","Enter Alk(HCO3-)"))</f>
        <v>222.2628203951565</v>
      </c>
      <c r="AM111" s="199"/>
      <c r="AN111" s="101">
        <f t="shared" si="837"/>
        <v>1.6412999656812812E-4</v>
      </c>
      <c r="AO111" s="94">
        <f t="shared" si="838"/>
        <v>4.4176159813152233E-3</v>
      </c>
      <c r="AP111" s="95">
        <f t="shared" si="839"/>
        <v>1.1890167164093717E-5</v>
      </c>
      <c r="AQ111" s="199"/>
      <c r="AR111" s="199"/>
      <c r="AS111" s="83">
        <f t="shared" si="760"/>
        <v>0.4827352840239062</v>
      </c>
      <c r="AT111" s="83">
        <f>IF(AN111&lt;&gt;"",AN111/'Henrys law constants'!$B$7*1000000,"")</f>
        <v>4827.3528402390621</v>
      </c>
      <c r="AU111" s="268">
        <f>'WC samples'!K82</f>
        <v>14.917326183331722</v>
      </c>
      <c r="AV111" s="269">
        <f>'WC samples'!M82</f>
        <v>2.5042350595295715</v>
      </c>
      <c r="AW111" s="269">
        <f>'WC samples'!O82</f>
        <v>79.519339502468313</v>
      </c>
      <c r="AX111" s="269">
        <f>'WC samples'!N82</f>
        <v>14.698934585228926</v>
      </c>
      <c r="AY111" s="226">
        <f>AO111*'Elements and ions'!$G$3*1000</f>
        <v>269.54896751335394</v>
      </c>
      <c r="AZ111" s="269">
        <f>'WC samples'!Q82</f>
        <v>23.611432426676995</v>
      </c>
      <c r="BA111" s="269">
        <f>'WC samples'!T82</f>
        <v>21.542270370728875</v>
      </c>
      <c r="BB111" s="270">
        <f>'WC samples'!V82</f>
        <v>14.988641215758399</v>
      </c>
      <c r="BC111" s="222">
        <f>IF($E111&lt;&gt;"",10^-$E111*'Elements and ions'!B115*1000,"")</f>
        <v>0</v>
      </c>
      <c r="BE111" s="6"/>
      <c r="BF111" s="6"/>
      <c r="BG111" s="270">
        <f>'WC samples'!L82</f>
        <v>0</v>
      </c>
      <c r="BH111" s="3"/>
      <c r="BJ111" s="92">
        <f>IF($AN111&lt;&gt;"",$AN111*'Elements and ions'!$G$2*1000,"")</f>
        <v>10.180126928538902</v>
      </c>
      <c r="BK111" s="229"/>
      <c r="BL111" s="230"/>
      <c r="BM111" s="101">
        <f>IF($E111&lt;&gt;"",(10^-14+$E111)*'Elements and ions'!$G$8,"")</f>
        <v>131.46673820000018</v>
      </c>
      <c r="BO111" s="102">
        <f>IF($AP111&lt;&gt;"",$AP111*'Elements and ions'!$G$4*1000,"")</f>
        <v>0.71351585233338344</v>
      </c>
      <c r="BP111" s="269">
        <f>'WC samples'!P82</f>
        <v>9.2863459490852784E-2</v>
      </c>
      <c r="BQ111" s="270">
        <f>'WC samples'!R82</f>
        <v>0</v>
      </c>
      <c r="BR111" s="195"/>
      <c r="BS111" s="238">
        <f>IF($AU111&lt;&gt;"",$AU111/'Elements and ions'!$B$12,"")</f>
        <v>0.64886802480045258</v>
      </c>
      <c r="BT111" s="239">
        <f>IF($AV111&lt;&gt;"",$AV111/'Elements and ions'!$B$20,"")</f>
        <v>6.4049717239101731E-2</v>
      </c>
      <c r="BU111" s="239">
        <f>IF($AW111&lt;&gt;"",$AW111/'Elements and ions'!$B$21, "")</f>
        <v>1.984114464356213</v>
      </c>
      <c r="BV111" s="240">
        <f>IF($AX111&lt;&gt;"",$AX111/'Elements and ions'!$B$13, "")</f>
        <v>0.60476998910631252</v>
      </c>
      <c r="BW111" s="238">
        <f>IF($AY111&lt;&gt;"",$AY111/'Elements and ions'!$G$3,"")</f>
        <v>4.4176159813152234</v>
      </c>
      <c r="BX111" s="239">
        <f>IF($AZ111&lt;&gt;"",$AZ111/'Elements and ions'!$B$18,"")</f>
        <v>0.66599250914385222</v>
      </c>
      <c r="BY111" s="239">
        <f>IF($BA111&lt;&gt;"",$BA111/'Elements and ions'!$G$7,"")</f>
        <v>0.34742851566132477</v>
      </c>
      <c r="BZ111" s="241">
        <f>IF($BB111&lt;&gt;"",$BB111/'Elements and ions'!$G$5,"")</f>
        <v>0.15602993481082542</v>
      </c>
      <c r="CA111" s="91">
        <f t="shared" si="761"/>
        <v>1.8620871366628593E-5</v>
      </c>
      <c r="CB111" s="163" t="str">
        <f>IF($BD111&lt;&gt;"",$BD111/'Elements and ions'!$B$14,"")</f>
        <v/>
      </c>
      <c r="CC111" s="89" t="str">
        <f>IF($BE111&lt;&gt;"",$BE111/'Elements and ions'!$B$27, "")</f>
        <v/>
      </c>
      <c r="CD111" s="249" t="str">
        <f>IF($BF111&lt;&gt;"",$BF111/'Elements and ions'!$B$26,"")</f>
        <v/>
      </c>
      <c r="CE111" s="250">
        <f>IF($BG111&lt;&gt;"",$BG111/'Elements and ions'!$G$6,"")</f>
        <v>0</v>
      </c>
      <c r="CF111" s="91" t="str">
        <f>IF($BH111&lt;&gt;"",$BH111/'Elements and ions'!$G$15,"")</f>
        <v/>
      </c>
      <c r="CG111" s="89" t="str">
        <f>IF($BI111&lt;&gt;"",$BI111/'Elements and ions'!$G$16,"")</f>
        <v/>
      </c>
      <c r="CH111" s="90">
        <f>IF($BJ111&lt;&gt;"",$BJ111/'Elements and ions'!$G$2,"")</f>
        <v>0.16412999656812816</v>
      </c>
      <c r="CI111" s="91" t="str">
        <f>IF($BK111&lt;&gt;"",$BK111/'Elements and ions'!$B$15, "")</f>
        <v/>
      </c>
      <c r="CJ111" s="88" t="str">
        <f>IF($BL111&lt;&gt;"", $BL111/'Elements and ions'!$G$17,"")</f>
        <v/>
      </c>
      <c r="CK111" s="89">
        <f t="shared" si="762"/>
        <v>5.3703179637025239E-4</v>
      </c>
      <c r="CL111" s="163" t="str">
        <f>IF($BN111&lt;&gt;"", $BN111/'Elements and ions'!$G$19,"")</f>
        <v/>
      </c>
      <c r="CM111" s="89">
        <f>IF($BO111&lt;&gt;"",$BO111/'Elements and ions'!$G$4,"")</f>
        <v>1.1890167164093718E-2</v>
      </c>
      <c r="CN111" s="89">
        <f>IF($BP111&lt;&gt;"",$BP111/'Elements and ions'!$B$10,"")</f>
        <v>4.8879612940761668E-3</v>
      </c>
      <c r="CO111" s="104">
        <f>IF($BQ111&lt;&gt;"",$BQ111/'Elements and ions'!$G$18,"")</f>
        <v>0</v>
      </c>
      <c r="CP111" s="242"/>
      <c r="CQ111" s="238">
        <f t="shared" si="771"/>
        <v>6.4886802480045263E-4</v>
      </c>
      <c r="CR111" s="239">
        <f t="shared" si="772"/>
        <v>6.4049717239101725E-5</v>
      </c>
      <c r="CS111" s="239">
        <f t="shared" si="773"/>
        <v>1.9841144643562131E-3</v>
      </c>
      <c r="CT111" s="241">
        <f t="shared" si="774"/>
        <v>6.0476998910631249E-4</v>
      </c>
      <c r="CU111" s="238">
        <f t="shared" si="775"/>
        <v>4.4176159813152233E-3</v>
      </c>
      <c r="CV111" s="239">
        <f t="shared" si="776"/>
        <v>6.659925091438522E-4</v>
      </c>
      <c r="CW111" s="239">
        <f t="shared" si="777"/>
        <v>3.4742851566132478E-4</v>
      </c>
      <c r="CX111" s="241">
        <f t="shared" si="778"/>
        <v>1.5602993481082542E-4</v>
      </c>
      <c r="CY111" s="258">
        <f t="shared" si="763"/>
        <v>1.8620871366628593E-8</v>
      </c>
      <c r="CZ111" s="259" t="str">
        <f t="shared" si="779"/>
        <v/>
      </c>
      <c r="DA111" s="260" t="str">
        <f t="shared" si="780"/>
        <v/>
      </c>
      <c r="DB111" s="261" t="str">
        <f t="shared" si="781"/>
        <v/>
      </c>
      <c r="DC111" s="262">
        <f t="shared" si="782"/>
        <v>0</v>
      </c>
      <c r="DD111" s="263" t="str">
        <f t="shared" si="783"/>
        <v/>
      </c>
      <c r="DE111" s="259" t="str">
        <f t="shared" si="784"/>
        <v/>
      </c>
      <c r="DF111" s="260">
        <f t="shared" si="785"/>
        <v>1.6412999656812815E-4</v>
      </c>
      <c r="DG111" s="260" t="str">
        <f t="shared" si="786"/>
        <v/>
      </c>
      <c r="DH111" s="264" t="str">
        <f t="shared" si="787"/>
        <v/>
      </c>
      <c r="DI111" s="258">
        <f t="shared" si="764"/>
        <v>5.3703179637025244E-7</v>
      </c>
      <c r="DJ111" s="260" t="str">
        <f t="shared" si="788"/>
        <v/>
      </c>
      <c r="DK111" s="260">
        <f t="shared" si="789"/>
        <v>1.1890167164093717E-5</v>
      </c>
      <c r="DL111" s="260">
        <f t="shared" si="790"/>
        <v>4.8879612940761669E-6</v>
      </c>
      <c r="DM111" s="265">
        <f t="shared" si="791"/>
        <v>0</v>
      </c>
      <c r="DN111" s="242"/>
      <c r="DO111" s="238">
        <f t="shared" si="792"/>
        <v>0.64886802480045258</v>
      </c>
      <c r="DP111" s="239">
        <f t="shared" si="793"/>
        <v>6.4049717239101731E-2</v>
      </c>
      <c r="DQ111" s="239">
        <f t="shared" si="794"/>
        <v>3.9682289287124259</v>
      </c>
      <c r="DR111" s="241">
        <f t="shared" si="795"/>
        <v>1.209539978212625</v>
      </c>
      <c r="DS111" s="238">
        <f t="shared" si="796"/>
        <v>-4.4176159813152234</v>
      </c>
      <c r="DT111" s="239">
        <f t="shared" si="797"/>
        <v>-0.66599250914385222</v>
      </c>
      <c r="DU111" s="239">
        <f t="shared" si="798"/>
        <v>-0.34742851566132477</v>
      </c>
      <c r="DV111" s="241">
        <f t="shared" si="799"/>
        <v>-0.31205986962165083</v>
      </c>
      <c r="DW111" s="91">
        <f t="shared" si="765"/>
        <v>1.8620871366628593E-5</v>
      </c>
      <c r="DX111" s="89">
        <f t="shared" si="800"/>
        <v>0</v>
      </c>
      <c r="DY111" s="89">
        <f t="shared" si="801"/>
        <v>0</v>
      </c>
      <c r="DZ111" s="89">
        <f t="shared" si="802"/>
        <v>0</v>
      </c>
      <c r="EA111" s="90">
        <f t="shared" si="803"/>
        <v>0</v>
      </c>
      <c r="EB111" s="91">
        <f t="shared" si="766"/>
        <v>-5.3703179637025239E-4</v>
      </c>
      <c r="EC111" s="89">
        <f t="shared" si="804"/>
        <v>0</v>
      </c>
      <c r="ED111" s="89">
        <f t="shared" si="805"/>
        <v>-2.3780334328187436E-2</v>
      </c>
      <c r="EE111" s="89">
        <f t="shared" si="806"/>
        <v>-4.8879612940761668E-3</v>
      </c>
      <c r="EF111" s="90">
        <f t="shared" si="807"/>
        <v>0</v>
      </c>
      <c r="EG111" s="242"/>
      <c r="EH111" s="245">
        <f t="shared" si="808"/>
        <v>5.8907052698359719</v>
      </c>
      <c r="EI111" s="246">
        <f t="shared" si="809"/>
        <v>-5.7723022031606863</v>
      </c>
      <c r="EJ111" s="198">
        <f t="shared" si="810"/>
        <v>1.0152018418013018</v>
      </c>
      <c r="EK111" s="198">
        <f t="shared" si="811"/>
        <v>1.4054078907820419E-2</v>
      </c>
      <c r="EL111" s="101">
        <f>IF(AND(CS111&lt;&gt;"",DK111&lt;&gt;""),LOG(CS111*DK111/Minerals!$C$6),"")</f>
        <v>0.85292668980362463</v>
      </c>
      <c r="EM111" s="94">
        <f>IF(AND(CS111&lt;&gt;"",DK111&lt;&gt;""),LOG(CS111*DK111/Minerals!$C$5),"")</f>
        <v>0.72244716044740698</v>
      </c>
      <c r="EN111" s="94">
        <f>IF(AND(CS111&lt;&gt;"",DL111&lt;&gt;""),LOG(CS111*DL111^2/Minerals!$C$2),"")</f>
        <v>-2.7542528159213755</v>
      </c>
      <c r="EO111" s="94">
        <f>IF(AND(CS111&lt;&gt;"",CX111&lt;&gt;""),LOG($CS111*$CX111/Minerals!$C$3),"")</f>
        <v>-1.9092449848554136</v>
      </c>
      <c r="EP111" s="95">
        <f>IF(AND(CS111&lt;&gt;"",CX111&lt;&gt;""),LOG($CS111*$CX111/Minerals!$C$4),"")</f>
        <v>-2.1492294963213161</v>
      </c>
      <c r="EQ111" s="199"/>
      <c r="ER111" s="101">
        <f t="shared" si="840"/>
        <v>0.8851305407064054</v>
      </c>
      <c r="ES111" s="94">
        <f t="shared" si="840"/>
        <v>0.8851305407064054</v>
      </c>
      <c r="ET111" s="94">
        <f t="shared" si="841"/>
        <v>0.61380342003041699</v>
      </c>
      <c r="EU111" s="94">
        <f t="shared" si="841"/>
        <v>0.61380342003041699</v>
      </c>
      <c r="EV111" s="95">
        <f t="shared" si="841"/>
        <v>0.61380342003041699</v>
      </c>
      <c r="EW111" s="101">
        <f t="shared" si="842"/>
        <v>0.8851305407064054</v>
      </c>
      <c r="EX111" s="94">
        <f t="shared" si="758"/>
        <v>0.61380342003041699</v>
      </c>
      <c r="EY111" s="94">
        <f t="shared" si="842"/>
        <v>0.8851305407064054</v>
      </c>
      <c r="EZ111" s="94">
        <f t="shared" si="842"/>
        <v>0.8851305407064054</v>
      </c>
      <c r="FA111" s="94">
        <f t="shared" si="842"/>
        <v>0.8851305407064054</v>
      </c>
      <c r="FB111" s="95">
        <f t="shared" si="759"/>
        <v>0.61380342003041699</v>
      </c>
      <c r="FC111" s="199"/>
      <c r="FD111" s="101">
        <f t="shared" si="812"/>
        <v>5.7433290563872188E-4</v>
      </c>
      <c r="FE111" s="94">
        <f t="shared" si="813"/>
        <v>5.6692360851938484E-5</v>
      </c>
      <c r="FF111" s="94">
        <f t="shared" si="814"/>
        <v>1.2178562439536624E-3</v>
      </c>
      <c r="FG111" s="94">
        <f t="shared" si="815"/>
        <v>3.7120988764521265E-4</v>
      </c>
      <c r="FH111" s="95" t="str">
        <f t="shared" si="816"/>
        <v/>
      </c>
      <c r="FI111" s="101">
        <f t="shared" si="817"/>
        <v>3.910166822174801E-3</v>
      </c>
      <c r="FJ111" s="94">
        <f t="shared" si="818"/>
        <v>7.2982252700540884E-6</v>
      </c>
      <c r="FK111" s="94">
        <f t="shared" si="819"/>
        <v>5.8949030972491349E-4</v>
      </c>
      <c r="FL111" s="94">
        <f t="shared" si="820"/>
        <v>3.0751958992413224E-4</v>
      </c>
      <c r="FM111" s="94">
        <f t="shared" si="821"/>
        <v>4.3264838231776189E-6</v>
      </c>
      <c r="FN111" s="95">
        <f t="shared" si="822"/>
        <v>9.577170761400766E-5</v>
      </c>
      <c r="FO111" s="199"/>
      <c r="FP111" s="101">
        <f>IF(EL111&lt;&gt;"",LOG(FF111*FJ111/Minerals!$C$6),"")</f>
        <v>0.42898529767004523</v>
      </c>
      <c r="FQ111" s="94">
        <f>IF(EL111&lt;&gt;"",LOG(FF111*FJ111/Minerals!$C$5),"")</f>
        <v>0.29850576831382752</v>
      </c>
      <c r="FR111" s="94">
        <f>IF(EN111&lt;&gt;"",LOG(FF111*FM111^2/Minerals!$C$2),"")</f>
        <v>-3.07220886002156</v>
      </c>
      <c r="FS111" s="94">
        <f>IF(EO111&lt;&gt;"",LOG($FF111*$FN111/Minerals!$C$3),"")</f>
        <v>-2.3331863769889929</v>
      </c>
      <c r="FT111" s="95">
        <f>IF(EP111&lt;&gt;"",LOG($FF111*$FN111/Minerals!$C$4),"")</f>
        <v>-2.5731708884548956</v>
      </c>
      <c r="FU111" s="96"/>
      <c r="FV111" s="101">
        <f>IF(FP111&lt;&gt;"",LOG(FF111*FJ111/(EXP(-1*Minerals!$E$6/'Other Constants'!$B$2*(1/(273.15+'ppm-mgL-1'!$D111)-1/298.15)+LN(Minerals!$C$6)))),"")</f>
        <v>-0.8724443034473045</v>
      </c>
      <c r="FW111" s="94">
        <f>IF(FP111&lt;&gt;"",LOG(FF111*FJ111/(EXP(-1*Minerals!$E$5/'Other Constants'!$B$2*(1/(273.15+'ppm-mgL-1'!$D111)-1/298.15)+LN(Minerals!$C$5)))),"")</f>
        <v>-1.0030414859471</v>
      </c>
      <c r="FX111" s="94">
        <f>IF(FR111&lt;&gt;"",LOG(FF111*FM111^2/(EXP(-1*Minerals!$E$2/'Other Constants'!$B$2*(1/(273.15+'ppm-mgL-1'!$D111)-1/298.15)+LN(Minerals!$C$2)))),"")</f>
        <v>-3.0171864065413962</v>
      </c>
      <c r="FY111" s="94">
        <f>IF(FS111&lt;&gt;"",LOG($FF111*$FN111/(EXP(-1*Minerals!$E$3/'Other Constants'!$B$2*(1/(273.15+'ppm-mgL-1'!$D111)-1/298.15)+LN(Minerals!$C$3)))),"")</f>
        <v>-1.2113087481686435</v>
      </c>
      <c r="FZ111" s="95">
        <f>IF(FT111&lt;&gt;"",LOG($FF111*$FN111/(EXP(-1*Minerals!$E$4/'Other Constants'!$B$2*(1/(273.15+'ppm-mgL-1'!$D111)-1/298.15)+LN(Minerals!$C$4)))),"")</f>
        <v>-2.6053098055090609</v>
      </c>
      <c r="GA111" s="96"/>
      <c r="GB111" s="96"/>
      <c r="GC111" s="101">
        <f>10^(-1825000*(79.755*EXP(-0.0046*($D111-20))*($D111+273.15))^-1.5*$EK111^0.5/(1+'Elements and ions'!$D$12*$EK111^0.5/(2*(79.755*EXP(-0.0046*($D111-20))*($D111+273.15))^0.5)))</f>
        <v>0.88603763776644329</v>
      </c>
      <c r="GD111" s="94">
        <f>10^(-1825000*(79.755*EXP(-0.0046*($D111-20))*($D111+273.15))^-1.5*$EK111^0.5/(1+'Elements and ions'!$D$20*$EK111^0.5/(2*(79.755*EXP(-0.0046*($D111-20))*($D111+273.15))^0.5)))</f>
        <v>0.88231908800652326</v>
      </c>
      <c r="GE111" s="94">
        <f>10^(-1825000*(79.755*EXP(-0.0046*($D111-20))*($D111+273.15))^-1.5*4*$EK111^0.5/(1+'Elements and ions'!$D$21*$EK111^0.5/(2*(79.755*EXP(-0.0046*($D111-20))*($D111+273.15))^0.5)))</f>
        <v>0.63539069196917042</v>
      </c>
      <c r="GF111" s="94">
        <f>10^(-1825000*(79.755*EXP(-0.0046*($D111-20))*($D111+273.15))^-1.5*4*$EK111^0.5/(1+'Elements and ions'!$D$13*$EK111^0.5/(2*(79.755*EXP(-0.0046*($D111-20))*($D111+273.15))^0.5)))</f>
        <v>0.65268807077266433</v>
      </c>
      <c r="GG111" s="95">
        <f>10^(-1825000*(79.755*EXP(-0.0046*($D111-20))*($D111+273.15))^-1.5*4*$EK111^0.5/(1+'Elements and ions'!$D$27*$EK111^0.5/(2*(79.755*EXP(-0.0046*($D111-20))*($D111+273.15))^0.5)))</f>
        <v>0.63539069196917042</v>
      </c>
      <c r="GH111" s="101">
        <f>10^(-1825000*(79.755*EXP(-0.0046*($D111-20))*($D111+273.15))^-1.5*$EK111^0.5/(1+'Elements and ions'!$G$3*$EK111^0.5/(2*(79.755*EXP(-0.0046*($D111-20))*($D111+273.15))^0.5)))</f>
        <v>0.87236804894233277</v>
      </c>
      <c r="GI111" s="94">
        <f>10^(-1825000*(79.755*EXP(-0.0046*($D111-20))*($D111+273.15))^-1.5*4*$EK111^0.5/(1+'Elements and ions'!$G$4*$EK111^0.5/(2*(79.755*EXP(-0.0046*($D111-20))*($D111+273.15))^0.5)))</f>
        <v>0.5790396958729358</v>
      </c>
      <c r="GJ111" s="94">
        <f>10^(-1825000*(79.755*EXP(-0.0046*($D111-20))*($D111+273.15))^-1.5*$EK111^0.5/(1+'Elements and ions'!$D$18*$EK111^0.5/(2*(79.755*EXP(-0.0046*($D111-20))*($D111+273.15))^0.5)))</f>
        <v>0.88231908800652326</v>
      </c>
      <c r="GK111" s="94">
        <f>10^(-1825000*(79.755*EXP(-0.0046*($D111-20))*($D111+273.15))^-1.5*$EK111^0.5/(1+'Elements and ions'!$I$7*$EK111^0.5/(2*(79.755*EXP(-0.0046*($D111-20))*($D111+273.15))^0.5)))</f>
        <v>0.88231908800652326</v>
      </c>
      <c r="GL111" s="94">
        <f>10^(-1825000*(79.755*EXP(-0.0046*($D111-20))*($D111+273.15))^-1.5*$EK111^0.5/(1+'Elements and ions'!$D$10*$EK111^0.5/(2*(79.755*EXP(-0.0046*($D111-20))*($D111+273.15))^0.5)))</f>
        <v>0.88420816959299398</v>
      </c>
      <c r="GM111" s="95">
        <f>10^(-1825000*(79.755*EXP(-0.0046*($D111-20))*($D111+273.15))^-1.5*4*$EK111^0.5/(1+'Elements and ions'!$I$5*$EK111^0.5/(2*(79.755*EXP(-0.0046*($D111-20))*($D111+273.15))^0.5)))</f>
        <v>0.61632343592655092</v>
      </c>
      <c r="GN111" s="96"/>
      <c r="GO111" s="101">
        <f t="shared" si="823"/>
        <v>5.7492149191637097E-4</v>
      </c>
      <c r="GP111" s="94">
        <f t="shared" si="824"/>
        <v>5.6512288101479926E-5</v>
      </c>
      <c r="GQ111" s="94">
        <f t="shared" si="825"/>
        <v>1.2606878624533341E-3</v>
      </c>
      <c r="GR111" s="94">
        <f t="shared" si="826"/>
        <v>3.947261574510043E-4</v>
      </c>
      <c r="GS111" s="95" t="str">
        <f t="shared" si="827"/>
        <v/>
      </c>
      <c r="GT111" s="101">
        <f t="shared" si="828"/>
        <v>3.8537870345964299E-3</v>
      </c>
      <c r="GU111" s="94">
        <f t="shared" si="829"/>
        <v>6.8848787785751936E-6</v>
      </c>
      <c r="GV111" s="94">
        <f t="shared" si="830"/>
        <v>5.8761790328697974E-4</v>
      </c>
      <c r="GW111" s="94">
        <f t="shared" si="831"/>
        <v>3.0654281108576017E-4</v>
      </c>
      <c r="GX111" s="94">
        <f t="shared" si="832"/>
        <v>4.3219753088764895E-6</v>
      </c>
      <c r="GY111" s="102">
        <f t="shared" si="833"/>
        <v>9.6164905530003679E-5</v>
      </c>
      <c r="GZ111" s="199"/>
      <c r="HA111" s="92">
        <f>IF(AND(GQ111&lt;&gt;"",GU111&lt;&gt;""),LOG(GQ111*GU111/Minerals!$C$6),"")</f>
        <v>0.41867587589101557</v>
      </c>
      <c r="HB111" s="94">
        <f>IF(AND(GQ111&lt;&gt;"",GU111&lt;&gt;""),LOG(GQ111*GU111/Minerals!$C$5),"")</f>
        <v>0.28819634653479786</v>
      </c>
      <c r="HC111" s="94">
        <f>IF(AND(GQ111&lt;&gt;"",GX111&lt;&gt;""),LOG(GQ111*GX111^2/Minerals!$C$2),"")</f>
        <v>-3.0581029210381621</v>
      </c>
      <c r="HD111" s="94">
        <f>IF(AND(GQ111&lt;&gt;"",GY111&lt;&gt;""),LOG($GQ111*$GY111/Minerals!$C$3),"")</f>
        <v>-2.3163954541762548</v>
      </c>
      <c r="HE111" s="102">
        <f>IF(AND(GQ111&lt;&gt;"",GY111&lt;&gt;""),LOG($GQ111*$GY111/Minerals!$C$3),"")</f>
        <v>-2.3163954541762548</v>
      </c>
      <c r="HF111" s="199"/>
      <c r="HG111" s="92">
        <f>IF(HA111&lt;&gt;"",LOG(GQ111*GU111/(EXP(-1*Minerals!$E$6/'Other Constants'!$B$2*(1/(273.15+'ppm-mgL-1'!$D111)-1/298.15)+LN(Minerals!$C$6)))),"")</f>
        <v>-0.88275372522633411</v>
      </c>
      <c r="HH111" s="94">
        <f>IF(HA111&lt;&gt;"",LOG(GQ111*GU111/(EXP(-1*Minerals!$E$5/'Other Constants'!$B$2*(1/(273.15+'ppm-mgL-1'!$D111)-1/298.15)+LN(Minerals!$C$5)))),"")</f>
        <v>-1.0133509077261296</v>
      </c>
      <c r="HI111" s="94">
        <f>IF(HC111&lt;&gt;"",LOG(GQ111*GX111^2/(EXP(-1*Minerals!$E$2/'Other Constants'!$B$2*(1/(273.15+'ppm-mgL-1'!$D111)-1/298.15)+LN(Minerals!$C$2)))),"")</f>
        <v>-3.0030804675579983</v>
      </c>
      <c r="HJ111" s="94">
        <f>IF(HD111&lt;&gt;"",LOG($FF111*$FN111/(EXP(-1*Minerals!$E$3/'Other Constants'!$B$2*(1/(273.15+'ppm-mgL-1'!$D111)-1/298.15)+LN(Minerals!$C$3)))),"")</f>
        <v>-1.2113087481686435</v>
      </c>
      <c r="HK111" s="95">
        <f>IF(HE111&lt;&gt;"",LOG($FF111*$FN111/(EXP(-1*Minerals!$E$4/'Other Constants'!$B$2*(1/(273.15+'ppm-mgL-1'!$D111)-1/298.15)+LN(Minerals!$C$4)))),"")</f>
        <v>-2.6053098055090609</v>
      </c>
      <c r="HL111" s="199"/>
      <c r="HM111" s="199"/>
    </row>
    <row r="112" spans="1:221" x14ac:dyDescent="0.25">
      <c r="A112" s="267" t="str">
        <f>'WC samples'!B83</f>
        <v>ISST Indirect</v>
      </c>
      <c r="C112" s="266">
        <f>'WC samples'!A83</f>
        <v>41546</v>
      </c>
      <c r="D112" s="4">
        <f>'WC samples'!I83</f>
        <v>21.9</v>
      </c>
      <c r="E112" s="4">
        <f>'WC samples'!F83</f>
        <v>7.88</v>
      </c>
      <c r="AD112" s="83">
        <f>IF(E112&lt;&gt;"",10^(-2*$E112)/(10^(-2*$E112)+10^(-$E112-pKa!$B$2)+(10^(-pKa!$B$2-pKa!$C$2))),"")</f>
        <v>2.5533990029601213E-2</v>
      </c>
      <c r="AE112" s="84">
        <f>IF(E112&lt;&gt;"",10^(-$E112-pKa!$B$2)/(10^(-2*$E112)+10^(-$E112-pKa!$B$2)+10^(-pKa!$B$2-pKa!$C$2)),"")</f>
        <v>0.97077522550093731</v>
      </c>
      <c r="AF112" s="212">
        <f>IF(E112&lt;&gt;"",10^(-pKa!$B$2-pKa!$C$2)/(10^(-2*$E112)+10^(-$E112-pKa!$B$2)+10^(-pKa!$B$2-pKa!$C$2)),"")</f>
        <v>3.6907844694615602E-3</v>
      </c>
      <c r="AG112" s="152"/>
      <c r="AH112" s="222">
        <f>IF($AK112&lt;&gt;"",$AK112/'Elements and ions'!$G$3,IF($E112="","",""))</f>
        <v>4.097229551710643</v>
      </c>
      <c r="AI112" s="85">
        <f t="shared" si="770"/>
        <v>4.1887239649159779E-3</v>
      </c>
      <c r="AJ112" s="84">
        <f>IF(AI112&lt;&gt;"",AI112*1000*'Elements and ions'!$B$7,"")</f>
        <v>50.309506925416336</v>
      </c>
      <c r="AK112" s="99">
        <f>'WC samples'!H83</f>
        <v>250</v>
      </c>
      <c r="AL112" s="88">
        <f>IF($AK112&lt;&gt;"",$AK112/'Elements and ions'!$G$3*Minerals!$B$6/2,IF($E112="","","Enter Alk(HCO3-)"))</f>
        <v>205.03950220955397</v>
      </c>
      <c r="AM112" s="199"/>
      <c r="AN112" s="101">
        <f t="shared" si="837"/>
        <v>1.0695483595691624E-4</v>
      </c>
      <c r="AO112" s="94">
        <f t="shared" si="838"/>
        <v>4.0663094516024886E-3</v>
      </c>
      <c r="AP112" s="95">
        <f t="shared" si="839"/>
        <v>1.545967735657334E-5</v>
      </c>
      <c r="AQ112" s="199"/>
      <c r="AR112" s="199"/>
      <c r="AS112" s="83">
        <f t="shared" si="760"/>
        <v>0.31457304693210658</v>
      </c>
      <c r="AT112" s="83">
        <f>IF(AN112&lt;&gt;"",AN112/'Henrys law constants'!$B$7*1000000,"")</f>
        <v>3145.7304693210658</v>
      </c>
      <c r="AU112" s="268">
        <f>'WC samples'!K83</f>
        <v>14.507099999999999</v>
      </c>
      <c r="AV112" s="269">
        <f>'WC samples'!M83</f>
        <v>2.6415000000000002</v>
      </c>
      <c r="AW112" s="269">
        <f>'WC samples'!O83</f>
        <v>73.139399999999995</v>
      </c>
      <c r="AX112" s="269">
        <f>'WC samples'!N83</f>
        <v>14.885899999999999</v>
      </c>
      <c r="AY112" s="226">
        <f>AO112*'Elements and ions'!$G$3*1000</f>
        <v>248.11335319891677</v>
      </c>
      <c r="AZ112" s="269">
        <f>'WC samples'!Q83</f>
        <v>22.540600000000001</v>
      </c>
      <c r="BA112" s="269">
        <f>'WC samples'!T83</f>
        <v>21.987100000000002</v>
      </c>
      <c r="BB112" s="270">
        <f>'WC samples'!V83</f>
        <v>14.7576</v>
      </c>
      <c r="BC112" s="222">
        <f>IF($E112&lt;&gt;"",10^-$E112*'Elements and ions'!B116*1000,"")</f>
        <v>0</v>
      </c>
      <c r="BE112" s="6"/>
      <c r="BF112" s="6"/>
      <c r="BG112" s="270">
        <f>'WC samples'!L83</f>
        <v>-0.13320000000000001</v>
      </c>
      <c r="BH112" s="3"/>
      <c r="BJ112" s="92">
        <f>IF($AN112&lt;&gt;"",$AN112*'Elements and ions'!$G$2*1000,"")</f>
        <v>6.6338501701638188</v>
      </c>
      <c r="BK112" s="229"/>
      <c r="BL112" s="230"/>
      <c r="BM112" s="101">
        <f>IF($E112&lt;&gt;"",(10^-14+$E112)*'Elements and ions'!$G$8,"")</f>
        <v>134.01783920000017</v>
      </c>
      <c r="BO112" s="102">
        <f>IF($AP112&lt;&gt;"",$AP112*'Elements and ions'!$G$4*1000,"")</f>
        <v>0.92771823252287378</v>
      </c>
      <c r="BP112" s="269">
        <f>'WC samples'!P83</f>
        <v>8.0600000000000005E-2</v>
      </c>
      <c r="BQ112" s="270">
        <f>'WC samples'!R83</f>
        <v>0</v>
      </c>
      <c r="BR112" s="195"/>
      <c r="BS112" s="238">
        <f>IF($AU112&lt;&gt;"",$AU112/'Elements and ions'!$B$12,"")</f>
        <v>0.63102416658963523</v>
      </c>
      <c r="BT112" s="239">
        <f>IF($AV112&lt;&gt;"",$AV112/'Elements and ions'!$B$20,"")</f>
        <v>6.7560482169301481E-2</v>
      </c>
      <c r="BU112" s="239">
        <f>IF($AW112&lt;&gt;"",$AW112/'Elements and ions'!$B$21, "")</f>
        <v>1.8249263935326112</v>
      </c>
      <c r="BV112" s="240">
        <f>IF($AX112&lt;&gt;"",$AX112/'Elements and ions'!$B$13, "")</f>
        <v>0.61246245628471507</v>
      </c>
      <c r="BW112" s="238">
        <f>IF($AY112&lt;&gt;"",$AY112/'Elements and ions'!$G$3,"")</f>
        <v>4.0663094516024882</v>
      </c>
      <c r="BX112" s="239">
        <f>IF($AZ112&lt;&gt;"",$AZ112/'Elements and ions'!$B$18,"")</f>
        <v>0.63578822666629053</v>
      </c>
      <c r="BY112" s="239">
        <f>IF($BA112&lt;&gt;"",$BA112/'Elements and ions'!$G$7,"")</f>
        <v>0.35460262011550703</v>
      </c>
      <c r="BZ112" s="241">
        <f>IF($BB112&lt;&gt;"",$BB112/'Elements and ions'!$G$5,"")</f>
        <v>0.1536248238128054</v>
      </c>
      <c r="CA112" s="91">
        <f t="shared" si="761"/>
        <v>1.3182567385564032E-5</v>
      </c>
      <c r="CB112" s="163" t="str">
        <f>IF($BD112&lt;&gt;"",$BD112/'Elements and ions'!$B$14,"")</f>
        <v/>
      </c>
      <c r="CC112" s="89" t="str">
        <f>IF($BE112&lt;&gt;"",$BE112/'Elements and ions'!$B$27, "")</f>
        <v/>
      </c>
      <c r="CD112" s="249" t="str">
        <f>IF($BF112&lt;&gt;"",$BF112/'Elements and ions'!$B$26,"")</f>
        <v/>
      </c>
      <c r="CE112" s="250">
        <f>IF($BG112&lt;&gt;"",$BG112/'Elements and ions'!$G$6,"")</f>
        <v>-7.3842223781852775E-3</v>
      </c>
      <c r="CF112" s="91" t="str">
        <f>IF($BH112&lt;&gt;"",$BH112/'Elements and ions'!$G$15,"")</f>
        <v/>
      </c>
      <c r="CG112" s="89" t="str">
        <f>IF($BI112&lt;&gt;"",$BI112/'Elements and ions'!$G$16,"")</f>
        <v/>
      </c>
      <c r="CH112" s="90">
        <f>IF($BJ112&lt;&gt;"",$BJ112/'Elements and ions'!$G$2,"")</f>
        <v>0.10695483595691624</v>
      </c>
      <c r="CI112" s="91" t="str">
        <f>IF($BK112&lt;&gt;"",$BK112/'Elements and ions'!$B$15, "")</f>
        <v/>
      </c>
      <c r="CJ112" s="88" t="str">
        <f>IF($BL112&lt;&gt;"", $BL112/'Elements and ions'!$G$17,"")</f>
        <v/>
      </c>
      <c r="CK112" s="89">
        <f t="shared" si="762"/>
        <v>7.5857757502918234E-4</v>
      </c>
      <c r="CL112" s="163" t="str">
        <f>IF($BN112&lt;&gt;"", $BN112/'Elements and ions'!$G$19,"")</f>
        <v/>
      </c>
      <c r="CM112" s="89">
        <f>IF($BO112&lt;&gt;"",$BO112/'Elements and ions'!$G$4,"")</f>
        <v>1.5459677356573338E-2</v>
      </c>
      <c r="CN112" s="89">
        <f>IF($BP112&lt;&gt;"",$BP112/'Elements and ions'!$B$10,"")</f>
        <v>4.2424618085797868E-3</v>
      </c>
      <c r="CO112" s="104">
        <f>IF($BQ112&lt;&gt;"",$BQ112/'Elements and ions'!$G$18,"")</f>
        <v>0</v>
      </c>
      <c r="CP112" s="242"/>
      <c r="CQ112" s="238">
        <f t="shared" si="771"/>
        <v>6.310241665896352E-4</v>
      </c>
      <c r="CR112" s="239">
        <f t="shared" si="772"/>
        <v>6.7560482169301485E-5</v>
      </c>
      <c r="CS112" s="239">
        <f t="shared" si="773"/>
        <v>1.8249263935326112E-3</v>
      </c>
      <c r="CT112" s="241">
        <f t="shared" si="774"/>
        <v>6.1246245628471512E-4</v>
      </c>
      <c r="CU112" s="238">
        <f t="shared" si="775"/>
        <v>4.0663094516024886E-3</v>
      </c>
      <c r="CV112" s="239">
        <f t="shared" si="776"/>
        <v>6.3578822666629053E-4</v>
      </c>
      <c r="CW112" s="239">
        <f t="shared" si="777"/>
        <v>3.5460262011550704E-4</v>
      </c>
      <c r="CX112" s="241">
        <f t="shared" si="778"/>
        <v>1.536248238128054E-4</v>
      </c>
      <c r="CY112" s="258">
        <f t="shared" si="763"/>
        <v>1.3182567385564031E-8</v>
      </c>
      <c r="CZ112" s="259" t="str">
        <f t="shared" si="779"/>
        <v/>
      </c>
      <c r="DA112" s="260" t="str">
        <f t="shared" si="780"/>
        <v/>
      </c>
      <c r="DB112" s="261" t="str">
        <f t="shared" si="781"/>
        <v/>
      </c>
      <c r="DC112" s="262">
        <f t="shared" si="782"/>
        <v>-7.3842223781852775E-6</v>
      </c>
      <c r="DD112" s="263" t="str">
        <f t="shared" si="783"/>
        <v/>
      </c>
      <c r="DE112" s="259" t="str">
        <f t="shared" si="784"/>
        <v/>
      </c>
      <c r="DF112" s="260">
        <f t="shared" si="785"/>
        <v>1.0695483595691624E-4</v>
      </c>
      <c r="DG112" s="260" t="str">
        <f t="shared" si="786"/>
        <v/>
      </c>
      <c r="DH112" s="264" t="str">
        <f t="shared" si="787"/>
        <v/>
      </c>
      <c r="DI112" s="258">
        <f t="shared" si="764"/>
        <v>7.585775750291823E-7</v>
      </c>
      <c r="DJ112" s="260" t="str">
        <f t="shared" si="788"/>
        <v/>
      </c>
      <c r="DK112" s="260">
        <f t="shared" si="789"/>
        <v>1.545967735657334E-5</v>
      </c>
      <c r="DL112" s="260">
        <f t="shared" si="790"/>
        <v>4.2424618085797864E-6</v>
      </c>
      <c r="DM112" s="265">
        <f t="shared" si="791"/>
        <v>0</v>
      </c>
      <c r="DN112" s="242"/>
      <c r="DO112" s="238">
        <f t="shared" si="792"/>
        <v>0.63102416658963523</v>
      </c>
      <c r="DP112" s="239">
        <f t="shared" si="793"/>
        <v>6.7560482169301481E-2</v>
      </c>
      <c r="DQ112" s="239">
        <f t="shared" si="794"/>
        <v>3.6498527870652224</v>
      </c>
      <c r="DR112" s="241">
        <f t="shared" si="795"/>
        <v>1.2249249125694301</v>
      </c>
      <c r="DS112" s="238">
        <f t="shared" si="796"/>
        <v>-4.0663094516024882</v>
      </c>
      <c r="DT112" s="239">
        <f t="shared" si="797"/>
        <v>-0.63578822666629053</v>
      </c>
      <c r="DU112" s="239">
        <f t="shared" si="798"/>
        <v>-0.35460262011550703</v>
      </c>
      <c r="DV112" s="241">
        <f t="shared" si="799"/>
        <v>-0.3072496476256108</v>
      </c>
      <c r="DW112" s="91">
        <f t="shared" si="765"/>
        <v>1.3182567385564032E-5</v>
      </c>
      <c r="DX112" s="89">
        <f t="shared" si="800"/>
        <v>0</v>
      </c>
      <c r="DY112" s="89">
        <f t="shared" si="801"/>
        <v>0</v>
      </c>
      <c r="DZ112" s="89">
        <f t="shared" si="802"/>
        <v>0</v>
      </c>
      <c r="EA112" s="90">
        <f t="shared" si="803"/>
        <v>-7.3842223781852775E-3</v>
      </c>
      <c r="EB112" s="91">
        <f t="shared" si="766"/>
        <v>-7.5857757502918234E-4</v>
      </c>
      <c r="EC112" s="89">
        <f t="shared" si="804"/>
        <v>0</v>
      </c>
      <c r="ED112" s="89">
        <f t="shared" si="805"/>
        <v>-3.0919354713146677E-2</v>
      </c>
      <c r="EE112" s="89">
        <f t="shared" si="806"/>
        <v>-4.2424618085797868E-3</v>
      </c>
      <c r="EF112" s="90">
        <f t="shared" si="807"/>
        <v>0</v>
      </c>
      <c r="EG112" s="242"/>
      <c r="EH112" s="245">
        <f t="shared" si="808"/>
        <v>5.5659913085827899</v>
      </c>
      <c r="EI112" s="246">
        <f t="shared" si="809"/>
        <v>-5.3998703401066521</v>
      </c>
      <c r="EJ112" s="198">
        <f t="shared" si="810"/>
        <v>1.514892069571125</v>
      </c>
      <c r="EK112" s="198">
        <f t="shared" si="811"/>
        <v>1.3243818398996427E-2</v>
      </c>
      <c r="EL112" s="101">
        <f>IF(AND(CS112&lt;&gt;"",DK112&lt;&gt;""),LOG(CS112*DK112/Minerals!$C$6),"")</f>
        <v>0.93061778451563226</v>
      </c>
      <c r="EM112" s="94">
        <f>IF(AND(CS112&lt;&gt;"",DK112&lt;&gt;""),LOG(CS112*DK112/Minerals!$C$5),"")</f>
        <v>0.8001382551594145</v>
      </c>
      <c r="EN112" s="94">
        <f>IF(AND(CS112&lt;&gt;"",DL112&lt;&gt;""),LOG(CS112*DL112^2/Minerals!$C$2),"")</f>
        <v>-2.9135938203954765</v>
      </c>
      <c r="EO112" s="94">
        <f>IF(AND(CS112&lt;&gt;"",CX112&lt;&gt;""),LOG($CS112*$CX112/Minerals!$C$3),"")</f>
        <v>-1.9523128849090552</v>
      </c>
      <c r="EP112" s="95">
        <f>IF(AND(CS112&lt;&gt;"",CX112&lt;&gt;""),LOG($CS112*$CX112/Minerals!$C$4),"")</f>
        <v>-2.1922973963749577</v>
      </c>
      <c r="EQ112" s="199"/>
      <c r="ER112" s="101">
        <f t="shared" si="840"/>
        <v>0.88796858504389942</v>
      </c>
      <c r="ES112" s="94">
        <f t="shared" si="840"/>
        <v>0.88796858504389942</v>
      </c>
      <c r="ET112" s="94">
        <f t="shared" si="841"/>
        <v>0.62171365419426217</v>
      </c>
      <c r="EU112" s="94">
        <f t="shared" si="841"/>
        <v>0.62171365419426217</v>
      </c>
      <c r="EV112" s="95">
        <f t="shared" si="841"/>
        <v>0.62171365419426217</v>
      </c>
      <c r="EW112" s="101">
        <f t="shared" si="842"/>
        <v>0.88796858504389942</v>
      </c>
      <c r="EX112" s="94">
        <f t="shared" si="758"/>
        <v>0.62171365419426217</v>
      </c>
      <c r="EY112" s="94">
        <f t="shared" si="842"/>
        <v>0.88796858504389942</v>
      </c>
      <c r="EZ112" s="94">
        <f t="shared" si="842"/>
        <v>0.88796858504389942</v>
      </c>
      <c r="FA112" s="94">
        <f t="shared" si="842"/>
        <v>0.88796858504389942</v>
      </c>
      <c r="FB112" s="95">
        <f t="shared" si="759"/>
        <v>0.62171365419426217</v>
      </c>
      <c r="FC112" s="199"/>
      <c r="FD112" s="101">
        <f t="shared" si="812"/>
        <v>5.6032963633510422E-4</v>
      </c>
      <c r="FE112" s="94">
        <f t="shared" si="813"/>
        <v>5.9991585756758238E-5</v>
      </c>
      <c r="FF112" s="94">
        <f t="shared" si="814"/>
        <v>1.1345816567587157E-3</v>
      </c>
      <c r="FG112" s="94">
        <f t="shared" si="815"/>
        <v>3.8077627175356381E-4</v>
      </c>
      <c r="FH112" s="95" t="str">
        <f t="shared" si="816"/>
        <v/>
      </c>
      <c r="FI112" s="101">
        <f t="shared" si="817"/>
        <v>3.6107550500900963E-3</v>
      </c>
      <c r="FJ112" s="94">
        <f t="shared" si="818"/>
        <v>9.6114925020195016E-6</v>
      </c>
      <c r="FK112" s="94">
        <f t="shared" si="819"/>
        <v>5.64559972020436E-4</v>
      </c>
      <c r="FL112" s="94">
        <f t="shared" si="820"/>
        <v>3.1487598683682617E-4</v>
      </c>
      <c r="FM112" s="94">
        <f t="shared" si="821"/>
        <v>3.7671728092673753E-6</v>
      </c>
      <c r="FN112" s="95">
        <f t="shared" si="822"/>
        <v>9.5510650587608944E-5</v>
      </c>
      <c r="FO112" s="199"/>
      <c r="FP112" s="101">
        <f>IF(EL112&lt;&gt;"",LOG(FF112*FJ112/Minerals!$C$6),"")</f>
        <v>0.5177985955784844</v>
      </c>
      <c r="FQ112" s="94">
        <f>IF(EL112&lt;&gt;"",LOG(FF112*FJ112/Minerals!$C$5),"")</f>
        <v>0.38731906622226669</v>
      </c>
      <c r="FR112" s="94">
        <f>IF(EN112&lt;&gt;"",LOG(FF112*FM112^2/Minerals!$C$2),"")</f>
        <v>-3.2232082120983372</v>
      </c>
      <c r="FS112" s="94">
        <f>IF(EO112&lt;&gt;"",LOG($FF112*$FN112/Minerals!$C$3),"")</f>
        <v>-2.3651320738462029</v>
      </c>
      <c r="FT112" s="95">
        <f>IF(EP112&lt;&gt;"",LOG($FF112*$FN112/Minerals!$C$4),"")</f>
        <v>-2.6051165853121052</v>
      </c>
      <c r="FU112" s="96"/>
      <c r="FV112" s="101">
        <f>IF(FP112&lt;&gt;"",LOG(FF112*FJ112/(EXP(-1*Minerals!$E$6/'Other Constants'!$B$2*(1/(273.15+'ppm-mgL-1'!$D112)-1/298.15)+LN(Minerals!$C$6)))),"")</f>
        <v>-0.70392777381684135</v>
      </c>
      <c r="FW112" s="94">
        <f>IF(FP112&lt;&gt;"",LOG(FF112*FJ112/(EXP(-1*Minerals!$E$5/'Other Constants'!$B$2*(1/(273.15+'ppm-mgL-1'!$D112)-1/298.15)+LN(Minerals!$C$5)))),"")</f>
        <v>-0.83451775090517533</v>
      </c>
      <c r="FX112" s="94">
        <f>IF(FR112&lt;&gt;"",LOG(FF112*FM112^2/(EXP(-1*Minerals!$E$2/'Other Constants'!$B$2*(1/(273.15+'ppm-mgL-1'!$D112)-1/298.15)+LN(Minerals!$C$2)))),"")</f>
        <v>-3.1715554893787754</v>
      </c>
      <c r="FY112" s="94">
        <f>IF(FS112&lt;&gt;"",LOG($FF112*$FN112/(EXP(-1*Minerals!$E$3/'Other Constants'!$B$2*(1/(273.15+'ppm-mgL-1'!$D112)-1/298.15)+LN(Minerals!$C$3)))),"")</f>
        <v>-1.3119614058455966</v>
      </c>
      <c r="FZ112" s="95">
        <f>IF(FT112&lt;&gt;"",LOG($FF112*$FN112/(EXP(-1*Minerals!$E$4/'Other Constants'!$B$2*(1/(273.15+'ppm-mgL-1'!$D112)-1/298.15)+LN(Minerals!$C$4)))),"")</f>
        <v>-2.6352872241351131</v>
      </c>
      <c r="GA112" s="96"/>
      <c r="GB112" s="96"/>
      <c r="GC112" s="101">
        <f>10^(-1825000*(79.755*EXP(-0.0046*($D112-20))*($D112+273.15))^-1.5*$EK112^0.5/(1+'Elements and ions'!$D$12*$EK112^0.5/(2*(79.755*EXP(-0.0046*($D112-20))*($D112+273.15))^0.5)))</f>
        <v>0.88873104377807632</v>
      </c>
      <c r="GD112" s="94">
        <f>10^(-1825000*(79.755*EXP(-0.0046*($D112-20))*($D112+273.15))^-1.5*$EK112^0.5/(1+'Elements and ions'!$D$20*$EK112^0.5/(2*(79.755*EXP(-0.0046*($D112-20))*($D112+273.15))^0.5)))</f>
        <v>0.88518956995812259</v>
      </c>
      <c r="GE112" s="94">
        <f>10^(-1825000*(79.755*EXP(-0.0046*($D112-20))*($D112+273.15))^-1.5*4*$EK112^0.5/(1+'Elements and ions'!$D$21*$EK112^0.5/(2*(79.755*EXP(-0.0046*($D112-20))*($D112+273.15))^0.5)))</f>
        <v>0.64220703835391768</v>
      </c>
      <c r="GF112" s="94">
        <f>10^(-1825000*(79.755*EXP(-0.0046*($D112-20))*($D112+273.15))^-1.5*4*$EK112^0.5/(1+'Elements and ions'!$D$13*$EK112^0.5/(2*(79.755*EXP(-0.0046*($D112-20))*($D112+273.15))^0.5)))</f>
        <v>0.65888619596517073</v>
      </c>
      <c r="GG112" s="95">
        <f>10^(-1825000*(79.755*EXP(-0.0046*($D112-20))*($D112+273.15))^-1.5*4*$EK112^0.5/(1+'Elements and ions'!$D$27*$EK112^0.5/(2*(79.755*EXP(-0.0046*($D112-20))*($D112+273.15))^0.5)))</f>
        <v>0.64220703835391768</v>
      </c>
      <c r="GH112" s="101">
        <f>10^(-1825000*(79.755*EXP(-0.0046*($D112-20))*($D112+273.15))^-1.5*$EK112^0.5/(1+'Elements and ions'!$G$3*$EK112^0.5/(2*(79.755*EXP(-0.0046*($D112-20))*($D112+273.15))^0.5)))</f>
        <v>0.87573925471073411</v>
      </c>
      <c r="GI112" s="94">
        <f>10^(-1825000*(79.755*EXP(-0.0046*($D112-20))*($D112+273.15))^-1.5*4*$EK112^0.5/(1+'Elements and ions'!$G$4*$EK112^0.5/(2*(79.755*EXP(-0.0046*($D112-20))*($D112+273.15))^0.5)))</f>
        <v>0.58804921498998586</v>
      </c>
      <c r="GJ112" s="94">
        <f>10^(-1825000*(79.755*EXP(-0.0046*($D112-20))*($D112+273.15))^-1.5*$EK112^0.5/(1+'Elements and ions'!$D$18*$EK112^0.5/(2*(79.755*EXP(-0.0046*($D112-20))*($D112+273.15))^0.5)))</f>
        <v>0.88518956995812259</v>
      </c>
      <c r="GK112" s="94">
        <f>10^(-1825000*(79.755*EXP(-0.0046*($D112-20))*($D112+273.15))^-1.5*$EK112^0.5/(1+'Elements and ions'!$I$7*$EK112^0.5/(2*(79.755*EXP(-0.0046*($D112-20))*($D112+273.15))^0.5)))</f>
        <v>0.88518956995812259</v>
      </c>
      <c r="GL112" s="94">
        <f>10^(-1825000*(79.755*EXP(-0.0046*($D112-20))*($D112+273.15))^-1.5*$EK112^0.5/(1+'Elements and ions'!$D$10*$EK112^0.5/(2*(79.755*EXP(-0.0046*($D112-20))*($D112+273.15))^0.5)))</f>
        <v>0.88698800968203506</v>
      </c>
      <c r="GM112" s="95">
        <f>10^(-1825000*(79.755*EXP(-0.0046*($D112-20))*($D112+273.15))^-1.5*4*$EK112^0.5/(1+'Elements and ions'!$I$5*$EK112^0.5/(2*(79.755*EXP(-0.0046*($D112-20))*($D112+273.15))^0.5)))</f>
        <v>0.62385175640670354</v>
      </c>
      <c r="GN112" s="96"/>
      <c r="GO112" s="101">
        <f t="shared" si="823"/>
        <v>5.6081076622239718E-4</v>
      </c>
      <c r="GP112" s="94">
        <f t="shared" si="824"/>
        <v>5.9803834157607391E-5</v>
      </c>
      <c r="GQ112" s="94">
        <f t="shared" si="825"/>
        <v>1.1719805744044743E-3</v>
      </c>
      <c r="GR112" s="94">
        <f t="shared" si="826"/>
        <v>4.035430579929206E-4</v>
      </c>
      <c r="GS112" s="95" t="str">
        <f t="shared" si="827"/>
        <v/>
      </c>
      <c r="GT112" s="101">
        <f t="shared" si="828"/>
        <v>3.5610268085695773E-3</v>
      </c>
      <c r="GU112" s="94">
        <f t="shared" si="829"/>
        <v>9.0910511335314113E-6</v>
      </c>
      <c r="GV112" s="94">
        <f t="shared" si="830"/>
        <v>5.6279310694717108E-4</v>
      </c>
      <c r="GW112" s="94">
        <f t="shared" si="831"/>
        <v>3.1389054080606919E-4</v>
      </c>
      <c r="GX112" s="94">
        <f t="shared" si="832"/>
        <v>3.7630127557442315E-6</v>
      </c>
      <c r="GY112" s="102">
        <f t="shared" si="833"/>
        <v>9.5839116163289018E-5</v>
      </c>
      <c r="GZ112" s="199"/>
      <c r="HA112" s="92">
        <f>IF(AND(GQ112&lt;&gt;"",GU112&lt;&gt;""),LOG(GQ112*GU112/Minerals!$C$6),"")</f>
        <v>0.50770652003322603</v>
      </c>
      <c r="HB112" s="94">
        <f>IF(AND(GQ112&lt;&gt;"",GU112&lt;&gt;""),LOG(GQ112*GU112/Minerals!$C$5),"")</f>
        <v>0.37722699067700827</v>
      </c>
      <c r="HC112" s="94">
        <f>IF(AND(GQ112&lt;&gt;"",GX112&lt;&gt;""),LOG(GQ112*GX112^2/Minerals!$C$2),"")</f>
        <v>-3.2100832612870165</v>
      </c>
      <c r="HD112" s="94">
        <f>IF(AND(GQ112&lt;&gt;"",GY112&lt;&gt;""),LOG($GQ112*$GY112/Minerals!$C$3),"")</f>
        <v>-2.3495564217989444</v>
      </c>
      <c r="HE112" s="102">
        <f>IF(AND(GQ112&lt;&gt;"",GY112&lt;&gt;""),LOG($GQ112*$GY112/Minerals!$C$3),"")</f>
        <v>-2.3495564217989444</v>
      </c>
      <c r="HF112" s="199"/>
      <c r="HG112" s="92">
        <f>IF(HA112&lt;&gt;"",LOG(GQ112*GU112/(EXP(-1*Minerals!$E$6/'Other Constants'!$B$2*(1/(273.15+'ppm-mgL-1'!$D112)-1/298.15)+LN(Minerals!$C$6)))),"")</f>
        <v>-0.71401984936209972</v>
      </c>
      <c r="HH112" s="94">
        <f>IF(HA112&lt;&gt;"",LOG(GQ112*GU112/(EXP(-1*Minerals!$E$5/'Other Constants'!$B$2*(1/(273.15+'ppm-mgL-1'!$D112)-1/298.15)+LN(Minerals!$C$5)))),"")</f>
        <v>-0.8446098264504337</v>
      </c>
      <c r="HI112" s="94">
        <f>IF(HC112&lt;&gt;"",LOG(GQ112*GX112^2/(EXP(-1*Minerals!$E$2/'Other Constants'!$B$2*(1/(273.15+'ppm-mgL-1'!$D112)-1/298.15)+LN(Minerals!$C$2)))),"")</f>
        <v>-3.1584305385674547</v>
      </c>
      <c r="HJ112" s="94">
        <f>IF(HD112&lt;&gt;"",LOG($FF112*$FN112/(EXP(-1*Minerals!$E$3/'Other Constants'!$B$2*(1/(273.15+'ppm-mgL-1'!$D112)-1/298.15)+LN(Minerals!$C$3)))),"")</f>
        <v>-1.3119614058455966</v>
      </c>
      <c r="HK112" s="95">
        <f>IF(HE112&lt;&gt;"",LOG($FF112*$FN112/(EXP(-1*Minerals!$E$4/'Other Constants'!$B$2*(1/(273.15+'ppm-mgL-1'!$D112)-1/298.15)+LN(Minerals!$C$4)))),"")</f>
        <v>-2.6352872241351131</v>
      </c>
      <c r="HL112" s="199"/>
      <c r="HM112" s="199"/>
    </row>
    <row r="113" spans="1:221" x14ac:dyDescent="0.25">
      <c r="A113" s="267" t="str">
        <f>'WC samples'!B84</f>
        <v>ISST Indirect</v>
      </c>
      <c r="C113" s="266">
        <f>'WC samples'!A84</f>
        <v>41566</v>
      </c>
      <c r="D113" s="4">
        <f>'WC samples'!I84</f>
        <v>22.2</v>
      </c>
      <c r="E113" s="4">
        <f>'WC samples'!F84</f>
        <v>8.19</v>
      </c>
      <c r="AD113" s="83">
        <f>IF(E113&lt;&gt;"",10^(-2*$E113)/(10^(-2*$E113)+10^(-$E113-pKa!$B$2)+(10^(-pKa!$B$2-pKa!$C$2))),"")</f>
        <v>1.2621916471890751E-2</v>
      </c>
      <c r="AE113" s="84">
        <f>IF(E113&lt;&gt;"",10^(-$E113-pKa!$B$2)/(10^(-2*$E113)+10^(-$E113-pKa!$B$2)+10^(-pKa!$B$2-pKa!$C$2)),"")</f>
        <v>0.97977262676334165</v>
      </c>
      <c r="AF113" s="212">
        <f>IF(E113&lt;&gt;"",10^(-pKa!$B$2-pKa!$C$2)/(10^(-2*$E113)+10^(-$E113-pKa!$B$2)+10^(-pKa!$B$2-pKa!$C$2)),"")</f>
        <v>7.6054567647675696E-3</v>
      </c>
      <c r="AG113" s="152"/>
      <c r="AH113" s="222">
        <f>IF($AK113&lt;&gt;"",$AK113/'Elements and ions'!$G$3,IF($E113="","",""))</f>
        <v>3.6875065965395786</v>
      </c>
      <c r="AI113" s="85">
        <f t="shared" si="770"/>
        <v>3.7060965381337588E-3</v>
      </c>
      <c r="AJ113" s="84">
        <f>IF(AI113&lt;&gt;"",AI113*1000*'Elements and ions'!$B$7,"")</f>
        <v>44.512813690563135</v>
      </c>
      <c r="AK113" s="99">
        <f>'WC samples'!H84</f>
        <v>225</v>
      </c>
      <c r="AL113" s="88">
        <f>IF($AK113&lt;&gt;"",$AK113/'Elements and ions'!$G$3*Minerals!$B$6/2,IF($E113="","","Enter Alk(HCO3-)"))</f>
        <v>184.53555198859857</v>
      </c>
      <c r="AM113" s="199"/>
      <c r="AN113" s="101">
        <f t="shared" si="837"/>
        <v>4.6778040941087778E-5</v>
      </c>
      <c r="AO113" s="94">
        <f t="shared" si="838"/>
        <v>3.6311319402058399E-3</v>
      </c>
      <c r="AP113" s="95">
        <f t="shared" si="839"/>
        <v>2.8186556986831068E-5</v>
      </c>
      <c r="AQ113" s="199"/>
      <c r="AR113" s="199"/>
      <c r="AS113" s="83">
        <f t="shared" si="760"/>
        <v>0.13758247335614052</v>
      </c>
      <c r="AT113" s="83">
        <f>IF(AN113&lt;&gt;"",AN113/'Henrys law constants'!$B$7*1000000,"")</f>
        <v>1375.8247335614051</v>
      </c>
      <c r="AU113" s="268">
        <f>'WC samples'!K84</f>
        <v>12.0433</v>
      </c>
      <c r="AV113" s="269">
        <f>'WC samples'!M84</f>
        <v>2.4900000000000002</v>
      </c>
      <c r="AW113" s="269">
        <f>'WC samples'!O84</f>
        <v>61.754899999999999</v>
      </c>
      <c r="AX113" s="269">
        <f>'WC samples'!N84</f>
        <v>13.3992</v>
      </c>
      <c r="AY113" s="226">
        <f>AO113*'Elements and ions'!$G$3*1000</f>
        <v>221.56019661442926</v>
      </c>
      <c r="AZ113" s="269">
        <f>'WC samples'!Q84</f>
        <v>13.948</v>
      </c>
      <c r="BA113" s="269">
        <f>'WC samples'!T84</f>
        <v>663.16070000000002</v>
      </c>
      <c r="BB113" s="270">
        <f>'WC samples'!V84</f>
        <v>12.0693</v>
      </c>
      <c r="BC113" s="222">
        <f>IF($E113&lt;&gt;"",10^-$E113*'Elements and ions'!B117*1000,"")</f>
        <v>0</v>
      </c>
      <c r="BE113" s="6"/>
      <c r="BF113" s="6"/>
      <c r="BG113" s="270">
        <f>'WC samples'!L84</f>
        <v>0</v>
      </c>
      <c r="BH113" s="3"/>
      <c r="BJ113" s="92">
        <f>IF($AN113&lt;&gt;"",$AN113*'Elements and ions'!$G$2*1000,"")</f>
        <v>2.9013976982019618</v>
      </c>
      <c r="BK113" s="229"/>
      <c r="BL113" s="230"/>
      <c r="BM113" s="101">
        <f>IF($E113&lt;&gt;"",(10^-14+$E113)*'Elements and ions'!$G$8,"")</f>
        <v>139.29011460000018</v>
      </c>
      <c r="BO113" s="102">
        <f>IF($AP113&lt;&gt;"",$AP113*'Elements and ions'!$G$4*1000,"")</f>
        <v>1.6914442795670468</v>
      </c>
      <c r="BP113" s="269">
        <f>'WC samples'!P84</f>
        <v>6.4799999999999996E-2</v>
      </c>
      <c r="BQ113" s="270">
        <f>'WC samples'!R84</f>
        <v>0</v>
      </c>
      <c r="BR113" s="195"/>
      <c r="BS113" s="238">
        <f>IF($AU113&lt;&gt;"",$AU113/'Elements and ions'!$B$12,"")</f>
        <v>0.52385475701476891</v>
      </c>
      <c r="BT113" s="239">
        <f>IF($AV113&lt;&gt;"",$AV113/'Elements and ions'!$B$20,"")</f>
        <v>6.3685633390710081E-2</v>
      </c>
      <c r="BU113" s="239">
        <f>IF($AW113&lt;&gt;"",$AW113/'Elements and ions'!$B$21, "")</f>
        <v>1.540867807774839</v>
      </c>
      <c r="BV113" s="240">
        <f>IF($AX113&lt;&gt;"",$AX113/'Elements and ions'!$B$13, "")</f>
        <v>0.55129397243365563</v>
      </c>
      <c r="BW113" s="238">
        <f>IF($AY113&lt;&gt;"",$AY113/'Elements and ions'!$G$3,"")</f>
        <v>3.6311319402058397</v>
      </c>
      <c r="BX113" s="239">
        <f>IF($AZ113&lt;&gt;"",$AZ113/'Elements and ions'!$B$18,"")</f>
        <v>0.39342227738132174</v>
      </c>
      <c r="BY113" s="239">
        <f>IF($BA113&lt;&gt;"",$BA113/'Elements and ions'!$G$7,"")</f>
        <v>10.695295049262237</v>
      </c>
      <c r="BZ113" s="241">
        <f>IF($BB113&lt;&gt;"",$BB113/'Elements and ions'!$G$5,"")</f>
        <v>0.12563994728437497</v>
      </c>
      <c r="CA113" s="91">
        <f t="shared" si="761"/>
        <v>6.4565422903465549E-6</v>
      </c>
      <c r="CB113" s="163" t="str">
        <f>IF($BD113&lt;&gt;"",$BD113/'Elements and ions'!$B$14,"")</f>
        <v/>
      </c>
      <c r="CC113" s="89" t="str">
        <f>IF($BE113&lt;&gt;"",$BE113/'Elements and ions'!$B$27, "")</f>
        <v/>
      </c>
      <c r="CD113" s="249" t="str">
        <f>IF($BF113&lt;&gt;"",$BF113/'Elements and ions'!$B$26,"")</f>
        <v/>
      </c>
      <c r="CE113" s="250">
        <f>IF($BG113&lt;&gt;"",$BG113/'Elements and ions'!$G$6,"")</f>
        <v>0</v>
      </c>
      <c r="CF113" s="91" t="str">
        <f>IF($BH113&lt;&gt;"",$BH113/'Elements and ions'!$G$15,"")</f>
        <v/>
      </c>
      <c r="CG113" s="89" t="str">
        <f>IF($BI113&lt;&gt;"",$BI113/'Elements and ions'!$G$16,"")</f>
        <v/>
      </c>
      <c r="CH113" s="90">
        <f>IF($BJ113&lt;&gt;"",$BJ113/'Elements and ions'!$G$2,"")</f>
        <v>4.6778040941087777E-2</v>
      </c>
      <c r="CI113" s="91" t="str">
        <f>IF($BK113&lt;&gt;"",$BK113/'Elements and ions'!$B$15, "")</f>
        <v/>
      </c>
      <c r="CJ113" s="88" t="str">
        <f>IF($BL113&lt;&gt;"", $BL113/'Elements and ions'!$G$17,"")</f>
        <v/>
      </c>
      <c r="CK113" s="89">
        <f t="shared" si="762"/>
        <v>1.5488166189124766E-3</v>
      </c>
      <c r="CL113" s="163" t="str">
        <f>IF($BN113&lt;&gt;"", $BN113/'Elements and ions'!$G$19,"")</f>
        <v/>
      </c>
      <c r="CM113" s="89">
        <f>IF($BO113&lt;&gt;"",$BO113/'Elements and ions'!$G$4,"")</f>
        <v>2.8186556986831066E-2</v>
      </c>
      <c r="CN113" s="89">
        <f>IF($BP113&lt;&gt;"",$BP113/'Elements and ions'!$B$10,"")</f>
        <v>3.4108129676919375E-3</v>
      </c>
      <c r="CO113" s="104">
        <f>IF($BQ113&lt;&gt;"",$BQ113/'Elements and ions'!$G$18,"")</f>
        <v>0</v>
      </c>
      <c r="CP113" s="242"/>
      <c r="CQ113" s="238">
        <f t="shared" si="771"/>
        <v>5.2385475701476893E-4</v>
      </c>
      <c r="CR113" s="239">
        <f t="shared" si="772"/>
        <v>6.3685633390710077E-5</v>
      </c>
      <c r="CS113" s="239">
        <f t="shared" si="773"/>
        <v>1.540867807774839E-3</v>
      </c>
      <c r="CT113" s="241">
        <f t="shared" si="774"/>
        <v>5.5129397243365564E-4</v>
      </c>
      <c r="CU113" s="238">
        <f t="shared" si="775"/>
        <v>3.6311319402058399E-3</v>
      </c>
      <c r="CV113" s="239">
        <f t="shared" si="776"/>
        <v>3.9342227738132173E-4</v>
      </c>
      <c r="CW113" s="239">
        <f t="shared" si="777"/>
        <v>1.0695295049262237E-2</v>
      </c>
      <c r="CX113" s="241">
        <f t="shared" si="778"/>
        <v>1.2563994728437497E-4</v>
      </c>
      <c r="CY113" s="258">
        <f t="shared" si="763"/>
        <v>6.456542290346555E-9</v>
      </c>
      <c r="CZ113" s="259" t="str">
        <f t="shared" si="779"/>
        <v/>
      </c>
      <c r="DA113" s="260" t="str">
        <f t="shared" si="780"/>
        <v/>
      </c>
      <c r="DB113" s="261" t="str">
        <f t="shared" si="781"/>
        <v/>
      </c>
      <c r="DC113" s="262">
        <f t="shared" si="782"/>
        <v>0</v>
      </c>
      <c r="DD113" s="263" t="str">
        <f t="shared" si="783"/>
        <v/>
      </c>
      <c r="DE113" s="259" t="str">
        <f t="shared" si="784"/>
        <v/>
      </c>
      <c r="DF113" s="260">
        <f t="shared" si="785"/>
        <v>4.6778040941087778E-5</v>
      </c>
      <c r="DG113" s="260" t="str">
        <f t="shared" si="786"/>
        <v/>
      </c>
      <c r="DH113" s="264" t="str">
        <f t="shared" si="787"/>
        <v/>
      </c>
      <c r="DI113" s="258">
        <f t="shared" si="764"/>
        <v>1.5488166189124767E-6</v>
      </c>
      <c r="DJ113" s="260" t="str">
        <f t="shared" si="788"/>
        <v/>
      </c>
      <c r="DK113" s="260">
        <f t="shared" si="789"/>
        <v>2.8186556986831065E-5</v>
      </c>
      <c r="DL113" s="260">
        <f t="shared" si="790"/>
        <v>3.4108129676919376E-6</v>
      </c>
      <c r="DM113" s="265">
        <f t="shared" si="791"/>
        <v>0</v>
      </c>
      <c r="DN113" s="242"/>
      <c r="DO113" s="238">
        <f t="shared" si="792"/>
        <v>0.52385475701476891</v>
      </c>
      <c r="DP113" s="239">
        <f t="shared" si="793"/>
        <v>6.3685633390710081E-2</v>
      </c>
      <c r="DQ113" s="239">
        <f t="shared" si="794"/>
        <v>3.081735615549678</v>
      </c>
      <c r="DR113" s="241">
        <f t="shared" si="795"/>
        <v>1.1025879448673113</v>
      </c>
      <c r="DS113" s="238">
        <f t="shared" si="796"/>
        <v>-3.6311319402058397</v>
      </c>
      <c r="DT113" s="239">
        <f t="shared" si="797"/>
        <v>-0.39342227738132174</v>
      </c>
      <c r="DU113" s="239">
        <f t="shared" si="798"/>
        <v>-10.695295049262237</v>
      </c>
      <c r="DV113" s="241">
        <f t="shared" si="799"/>
        <v>-0.25127989456874994</v>
      </c>
      <c r="DW113" s="91">
        <f t="shared" si="765"/>
        <v>6.4565422903465549E-6</v>
      </c>
      <c r="DX113" s="89">
        <f t="shared" si="800"/>
        <v>0</v>
      </c>
      <c r="DY113" s="89">
        <f t="shared" si="801"/>
        <v>0</v>
      </c>
      <c r="DZ113" s="89">
        <f t="shared" si="802"/>
        <v>0</v>
      </c>
      <c r="EA113" s="90">
        <f t="shared" si="803"/>
        <v>0</v>
      </c>
      <c r="EB113" s="91">
        <f t="shared" si="766"/>
        <v>-1.5488166189124766E-3</v>
      </c>
      <c r="EC113" s="89">
        <f t="shared" si="804"/>
        <v>0</v>
      </c>
      <c r="ED113" s="89">
        <f t="shared" si="805"/>
        <v>-5.6373113973662133E-2</v>
      </c>
      <c r="EE113" s="89">
        <f t="shared" si="806"/>
        <v>-3.4108129676919375E-3</v>
      </c>
      <c r="EF113" s="90">
        <f t="shared" si="807"/>
        <v>0</v>
      </c>
      <c r="EG113" s="242"/>
      <c r="EH113" s="245">
        <f t="shared" si="808"/>
        <v>4.7718704073647586</v>
      </c>
      <c r="EI113" s="246">
        <f t="shared" si="809"/>
        <v>-15.032461904978414</v>
      </c>
      <c r="EJ113" s="198">
        <f t="shared" si="810"/>
        <v>-51.809832999109382</v>
      </c>
      <c r="EK113" s="198">
        <f t="shared" si="811"/>
        <v>1.6526607145082764E-2</v>
      </c>
      <c r="EL113" s="101">
        <f>IF(AND(CS113&lt;&gt;"",DK113&lt;&gt;""),LOG(CS113*DK113/Minerals!$C$6),"")</f>
        <v>1.1179794177373923</v>
      </c>
      <c r="EM113" s="94">
        <f>IF(AND(CS113&lt;&gt;"",DK113&lt;&gt;""),LOG(CS113*DK113/Minerals!$C$5),"")</f>
        <v>0.98749988838117464</v>
      </c>
      <c r="EN113" s="94">
        <f>IF(AND(CS113&lt;&gt;"",DL113&lt;&gt;""),LOG(CS113*DL113^2/Minerals!$C$2),"")</f>
        <v>-3.1765938627421533</v>
      </c>
      <c r="EO113" s="94">
        <f>IF(AND(CS113&lt;&gt;"",CX113&lt;&gt;""),LOG($CS113*$CX113/Minerals!$C$3),"")</f>
        <v>-2.1131265076971002</v>
      </c>
      <c r="EP113" s="95">
        <f>IF(AND(CS113&lt;&gt;"",CX113&lt;&gt;""),LOG($CS113*$CX113/Minerals!$C$4),"")</f>
        <v>-2.3531110191630029</v>
      </c>
      <c r="EQ113" s="199"/>
      <c r="ER113" s="101">
        <f t="shared" si="840"/>
        <v>0.87708985862363498</v>
      </c>
      <c r="ES113" s="94">
        <f t="shared" si="840"/>
        <v>0.87708985862363498</v>
      </c>
      <c r="ET113" s="94">
        <f t="shared" si="841"/>
        <v>0.59180190386554021</v>
      </c>
      <c r="EU113" s="94">
        <f t="shared" si="841"/>
        <v>0.59180190386554021</v>
      </c>
      <c r="EV113" s="95">
        <f t="shared" si="841"/>
        <v>0.59180190386554021</v>
      </c>
      <c r="EW113" s="101">
        <f t="shared" si="842"/>
        <v>0.87708985862363498</v>
      </c>
      <c r="EX113" s="94">
        <f t="shared" si="758"/>
        <v>0.59180190386554021</v>
      </c>
      <c r="EY113" s="94">
        <f t="shared" si="842"/>
        <v>0.87708985862363498</v>
      </c>
      <c r="EZ113" s="94">
        <f t="shared" si="842"/>
        <v>0.87708985862363498</v>
      </c>
      <c r="FA113" s="94">
        <f t="shared" si="842"/>
        <v>0.87708985862363498</v>
      </c>
      <c r="FB113" s="95">
        <f t="shared" si="759"/>
        <v>0.59180190386554021</v>
      </c>
      <c r="FC113" s="199"/>
      <c r="FD113" s="101">
        <f t="shared" si="812"/>
        <v>4.5946769476940235E-4</v>
      </c>
      <c r="FE113" s="94">
        <f t="shared" si="813"/>
        <v>5.585802318701455E-5</v>
      </c>
      <c r="FF113" s="94">
        <f t="shared" si="814"/>
        <v>9.1188850224627096E-4</v>
      </c>
      <c r="FG113" s="94">
        <f t="shared" si="815"/>
        <v>3.2625682247583405E-4</v>
      </c>
      <c r="FH113" s="95" t="str">
        <f t="shared" si="816"/>
        <v/>
      </c>
      <c r="FI113" s="101">
        <f t="shared" si="817"/>
        <v>3.1848290000789053E-3</v>
      </c>
      <c r="FJ113" s="94">
        <f t="shared" si="818"/>
        <v>1.6680858088221168E-5</v>
      </c>
      <c r="FK113" s="94">
        <f t="shared" si="819"/>
        <v>3.4506668964777199E-4</v>
      </c>
      <c r="FL113" s="94">
        <f t="shared" si="820"/>
        <v>9.3807348226954794E-3</v>
      </c>
      <c r="FM113" s="94">
        <f t="shared" si="821"/>
        <v>2.9915894636245825E-6</v>
      </c>
      <c r="FN113" s="95">
        <f t="shared" si="822"/>
        <v>7.4353960004459212E-5</v>
      </c>
      <c r="FO113" s="199"/>
      <c r="FP113" s="101">
        <f>IF(EL113&lt;&gt;"",LOG(FF113*FJ113/Minerals!$C$6),"")</f>
        <v>0.66233213369878163</v>
      </c>
      <c r="FQ113" s="94">
        <f>IF(EL113&lt;&gt;"",LOG(FF113*FJ113/Minerals!$C$5),"")</f>
        <v>0.53185260434256398</v>
      </c>
      <c r="FR113" s="94">
        <f>IF(EN113&lt;&gt;"",LOG(FF113*FM113^2/Minerals!$C$2),"")</f>
        <v>-3.5183293257711115</v>
      </c>
      <c r="FS113" s="94">
        <f>IF(EO113&lt;&gt;"",LOG($FF113*$FN113/Minerals!$C$3),"")</f>
        <v>-2.568773791735711</v>
      </c>
      <c r="FT113" s="95">
        <f>IF(EP113&lt;&gt;"",LOG($FF113*$FN113/Minerals!$C$4),"")</f>
        <v>-2.8087583032016137</v>
      </c>
      <c r="FU113" s="96"/>
      <c r="FV113" s="101">
        <f>IF(FP113&lt;&gt;"",LOG(FF113*FJ113/(EXP(-1*Minerals!$E$6/'Other Constants'!$B$2*(1/(273.15+'ppm-mgL-1'!$D113)-1/298.15)+LN(Minerals!$C$6)))),"")</f>
        <v>-0.44004178331847471</v>
      </c>
      <c r="FW113" s="94">
        <f>IF(FP113&lt;&gt;"",LOG(FF113*FJ113/(EXP(-1*Minerals!$E$5/'Other Constants'!$B$2*(1/(273.15+'ppm-mgL-1'!$D113)-1/298.15)+LN(Minerals!$C$5)))),"")</f>
        <v>-0.57062097058674865</v>
      </c>
      <c r="FX113" s="94">
        <f>IF(FR113&lt;&gt;"",LOG(FF113*FM113^2/(EXP(-1*Minerals!$E$2/'Other Constants'!$B$2*(1/(273.15+'ppm-mgL-1'!$D113)-1/298.15)+LN(Minerals!$C$2)))),"")</f>
        <v>-3.4717226422326766</v>
      </c>
      <c r="FY113" s="94">
        <f>IF(FS113&lt;&gt;"",LOG($FF113*$FN113/(EXP(-1*Minerals!$E$3/'Other Constants'!$B$2*(1/(273.15+'ppm-mgL-1'!$D113)-1/298.15)+LN(Minerals!$C$3)))),"")</f>
        <v>-1.6184890932511216</v>
      </c>
      <c r="FZ113" s="95">
        <f>IF(FT113&lt;&gt;"",LOG($FF113*$FN113/(EXP(-1*Minerals!$E$4/'Other Constants'!$B$2*(1/(273.15+'ppm-mgL-1'!$D113)-1/298.15)+LN(Minerals!$C$4)))),"")</f>
        <v>-2.8359815228450538</v>
      </c>
      <c r="GA113" s="96"/>
      <c r="GB113" s="96"/>
      <c r="GC113" s="101">
        <f>10^(-1825000*(79.755*EXP(-0.0046*($D113-20))*($D113+273.15))^-1.5*$EK113^0.5/(1+'Elements and ions'!$D$12*$EK113^0.5/(2*(79.755*EXP(-0.0046*($D113-20))*($D113+273.15))^0.5)))</f>
        <v>0.87822787292386206</v>
      </c>
      <c r="GD113" s="94">
        <f>10^(-1825000*(79.755*EXP(-0.0046*($D113-20))*($D113+273.15))^-1.5*$EK113^0.5/(1+'Elements and ions'!$D$20*$EK113^0.5/(2*(79.755*EXP(-0.0046*($D113-20))*($D113+273.15))^0.5)))</f>
        <v>0.87397621043170481</v>
      </c>
      <c r="GE113" s="94">
        <f>10^(-1825000*(79.755*EXP(-0.0046*($D113-20))*($D113+273.15))^-1.5*4*$EK113^0.5/(1+'Elements and ions'!$D$21*$EK113^0.5/(2*(79.755*EXP(-0.0046*($D113-20))*($D113+273.15))^0.5)))</f>
        <v>0.61601295159805358</v>
      </c>
      <c r="GF113" s="94">
        <f>10^(-1825000*(79.755*EXP(-0.0046*($D113-20))*($D113+273.15))^-1.5*4*$EK113^0.5/(1+'Elements and ions'!$D$13*$EK113^0.5/(2*(79.755*EXP(-0.0046*($D113-20))*($D113+273.15))^0.5)))</f>
        <v>0.63509864409139294</v>
      </c>
      <c r="GG113" s="95">
        <f>10^(-1825000*(79.755*EXP(-0.0046*($D113-20))*($D113+273.15))^-1.5*4*$EK113^0.5/(1+'Elements and ions'!$D$27*$EK113^0.5/(2*(79.755*EXP(-0.0046*($D113-20))*($D113+273.15))^0.5)))</f>
        <v>0.61601295159805358</v>
      </c>
      <c r="GH113" s="101">
        <f>10^(-1825000*(79.755*EXP(-0.0046*($D113-20))*($D113+273.15))^-1.5*$EK113^0.5/(1+'Elements and ions'!$G$3*$EK113^0.5/(2*(79.755*EXP(-0.0046*($D113-20))*($D113+273.15))^0.5)))</f>
        <v>0.86250592748635846</v>
      </c>
      <c r="GI113" s="94">
        <f>10^(-1825000*(79.755*EXP(-0.0046*($D113-20))*($D113+273.15))^-1.5*4*$EK113^0.5/(1+'Elements and ions'!$G$4*$EK113^0.5/(2*(79.755*EXP(-0.0046*($D113-20))*($D113+273.15))^0.5)))</f>
        <v>0.553276241750283</v>
      </c>
      <c r="GJ113" s="94">
        <f>10^(-1825000*(79.755*EXP(-0.0046*($D113-20))*($D113+273.15))^-1.5*$EK113^0.5/(1+'Elements and ions'!$D$18*$EK113^0.5/(2*(79.755*EXP(-0.0046*($D113-20))*($D113+273.15))^0.5)))</f>
        <v>0.87397621043170481</v>
      </c>
      <c r="GK113" s="94">
        <f>10^(-1825000*(79.755*EXP(-0.0046*($D113-20))*($D113+273.15))^-1.5*$EK113^0.5/(1+'Elements and ions'!$I$7*$EK113^0.5/(2*(79.755*EXP(-0.0046*($D113-20))*($D113+273.15))^0.5)))</f>
        <v>0.87397621043170481</v>
      </c>
      <c r="GL113" s="94">
        <f>10^(-1825000*(79.755*EXP(-0.0046*($D113-20))*($D113+273.15))^-1.5*$EK113^0.5/(1+'Elements and ions'!$D$10*$EK113^0.5/(2*(79.755*EXP(-0.0046*($D113-20))*($D113+273.15))^0.5)))</f>
        <v>0.87613845971304771</v>
      </c>
      <c r="GM113" s="95">
        <f>10^(-1825000*(79.755*EXP(-0.0046*($D113-20))*($D113+273.15))^-1.5*4*$EK113^0.5/(1+'Elements and ions'!$I$5*$EK113^0.5/(2*(79.755*EXP(-0.0046*($D113-20))*($D113+273.15))^0.5)))</f>
        <v>0.59487931220314205</v>
      </c>
      <c r="GN113" s="96"/>
      <c r="GO113" s="101">
        <f t="shared" si="823"/>
        <v>4.6006384897412714E-4</v>
      </c>
      <c r="GP113" s="94">
        <f t="shared" si="824"/>
        <v>5.5659728529755637E-5</v>
      </c>
      <c r="GQ113" s="94">
        <f t="shared" si="825"/>
        <v>9.4919452628980079E-4</v>
      </c>
      <c r="GR113" s="94">
        <f t="shared" si="826"/>
        <v>3.5012605438837247E-4</v>
      </c>
      <c r="GS113" s="95" t="str">
        <f t="shared" si="827"/>
        <v/>
      </c>
      <c r="GT113" s="101">
        <f t="shared" si="828"/>
        <v>3.1318728219125783E-3</v>
      </c>
      <c r="GU113" s="94">
        <f t="shared" si="829"/>
        <v>1.5594952317554073E-5</v>
      </c>
      <c r="GV113" s="94">
        <f t="shared" si="830"/>
        <v>3.4384171108513858E-4</v>
      </c>
      <c r="GW113" s="94">
        <f t="shared" si="831"/>
        <v>9.3474334366031829E-3</v>
      </c>
      <c r="GX113" s="94">
        <f t="shared" si="832"/>
        <v>2.9883444198829032E-6</v>
      </c>
      <c r="GY113" s="102">
        <f t="shared" si="833"/>
        <v>7.474060542576801E-5</v>
      </c>
      <c r="GZ113" s="199"/>
      <c r="HA113" s="92">
        <f>IF(AND(GQ113&lt;&gt;"",GU113&lt;&gt;""),LOG(GQ113*GU113/Minerals!$C$6),"")</f>
        <v>0.65051128255066293</v>
      </c>
      <c r="HB113" s="94">
        <f>IF(AND(GQ113&lt;&gt;"",GU113&lt;&gt;""),LOG(GQ113*GU113/Minerals!$C$5),"")</f>
        <v>0.52003175319444517</v>
      </c>
      <c r="HC113" s="94">
        <f>IF(AND(GQ113&lt;&gt;"",GX113&lt;&gt;""),LOG(GQ113*GX113^2/Minerals!$C$2),"")</f>
        <v>-3.5018585296732989</v>
      </c>
      <c r="HD113" s="94">
        <f>IF(AND(GQ113&lt;&gt;"",GY113&lt;&gt;""),LOG($GQ113*$GY113/Minerals!$C$3),"")</f>
        <v>-2.5491077984848372</v>
      </c>
      <c r="HE113" s="102">
        <f>IF(AND(GQ113&lt;&gt;"",GY113&lt;&gt;""),LOG($GQ113*$GY113/Minerals!$C$3),"")</f>
        <v>-2.5491077984848372</v>
      </c>
      <c r="HF113" s="199"/>
      <c r="HG113" s="92">
        <f>IF(HA113&lt;&gt;"",LOG(GQ113*GU113/(EXP(-1*Minerals!$E$6/'Other Constants'!$B$2*(1/(273.15+'ppm-mgL-1'!$D113)-1/298.15)+LN(Minerals!$C$6)))),"")</f>
        <v>-0.45186263446659353</v>
      </c>
      <c r="HH113" s="94">
        <f>IF(HA113&lt;&gt;"",LOG(GQ113*GU113/(EXP(-1*Minerals!$E$5/'Other Constants'!$B$2*(1/(273.15+'ppm-mgL-1'!$D113)-1/298.15)+LN(Minerals!$C$5)))),"")</f>
        <v>-0.58244182173486747</v>
      </c>
      <c r="HI113" s="94">
        <f>IF(HC113&lt;&gt;"",LOG(GQ113*GX113^2/(EXP(-1*Minerals!$E$2/'Other Constants'!$B$2*(1/(273.15+'ppm-mgL-1'!$D113)-1/298.15)+LN(Minerals!$C$2)))),"")</f>
        <v>-3.455251846134864</v>
      </c>
      <c r="HJ113" s="94">
        <f>IF(HD113&lt;&gt;"",LOG($FF113*$FN113/(EXP(-1*Minerals!$E$3/'Other Constants'!$B$2*(1/(273.15+'ppm-mgL-1'!$D113)-1/298.15)+LN(Minerals!$C$3)))),"")</f>
        <v>-1.6184890932511216</v>
      </c>
      <c r="HK113" s="95">
        <f>IF(HE113&lt;&gt;"",LOG($FF113*$FN113/(EXP(-1*Minerals!$E$4/'Other Constants'!$B$2*(1/(273.15+'ppm-mgL-1'!$D113)-1/298.15)+LN(Minerals!$C$4)))),"")</f>
        <v>-2.8359815228450538</v>
      </c>
      <c r="HL113" s="199"/>
      <c r="HM113" s="199"/>
    </row>
    <row r="114" spans="1:221" x14ac:dyDescent="0.25">
      <c r="A114" s="267" t="str">
        <f>'WC samples'!B85</f>
        <v>ISST Indirect</v>
      </c>
      <c r="C114" s="266">
        <f>'WC samples'!A85</f>
        <v>41594</v>
      </c>
      <c r="D114" s="4">
        <f>'WC samples'!I85</f>
        <v>21.9</v>
      </c>
      <c r="E114" s="4">
        <f>'WC samples'!F85</f>
        <v>8.48</v>
      </c>
      <c r="AD114" s="83">
        <f>IF(E114&lt;&gt;"",10^(-2*$E114)/(10^(-2*$E114)+10^(-$E114-pKa!$B$2)+(10^(-pKa!$B$2-pKa!$C$2))),"")</f>
        <v>6.466339783642105E-3</v>
      </c>
      <c r="AE114" s="84">
        <f>IF(E114&lt;&gt;"",10^(-$E114-pKa!$B$2)/(10^(-2*$E114)+10^(-$E114-pKa!$B$2)+10^(-pKa!$B$2-pKa!$C$2)),"")</f>
        <v>0.97872013157420668</v>
      </c>
      <c r="AF114" s="212">
        <f>IF(E114&lt;&gt;"",10^(-pKa!$B$2-pKa!$C$2)/(10^(-2*$E114)+10^(-$E114-pKa!$B$2)+10^(-pKa!$B$2-pKa!$C$2)),"")</f>
        <v>1.4813528642151109E-2</v>
      </c>
      <c r="AG114" s="152"/>
      <c r="AH114" s="222">
        <f>IF($AK114&lt;&gt;"",$AK114/'Elements and ions'!$G$3,IF($E114="","",""))</f>
        <v>3.4580617416437827</v>
      </c>
      <c r="AI114" s="85">
        <f t="shared" si="770"/>
        <v>3.4294326033853877E-3</v>
      </c>
      <c r="AJ114" s="84">
        <f>IF(AI114&lt;&gt;"",AI114*1000*'Elements and ions'!$B$7,"")</f>
        <v>41.189886169480879</v>
      </c>
      <c r="AK114" s="99">
        <f>'WC samples'!H85</f>
        <v>211</v>
      </c>
      <c r="AL114" s="88">
        <f>IF($AK114&lt;&gt;"",$AK114/'Elements and ions'!$G$3*Minerals!$B$6/2,IF($E114="","","Enter Alk(HCO3-)"))</f>
        <v>173.05333986486355</v>
      </c>
      <c r="AM114" s="199"/>
      <c r="AN114" s="101">
        <f t="shared" si="837"/>
        <v>2.2175876478590247E-5</v>
      </c>
      <c r="AO114" s="94">
        <f t="shared" si="838"/>
        <v>3.356454728810221E-3</v>
      </c>
      <c r="AP114" s="95">
        <f t="shared" si="839"/>
        <v>5.0801998096576285E-5</v>
      </c>
      <c r="AQ114" s="199"/>
      <c r="AR114" s="199"/>
      <c r="AS114" s="83">
        <f t="shared" si="760"/>
        <v>6.5223166113500722E-2</v>
      </c>
      <c r="AT114" s="83">
        <f>IF(AN114&lt;&gt;"",AN114/'Henrys law constants'!$B$7*1000000,"")</f>
        <v>652.23166113500724</v>
      </c>
      <c r="AU114" s="268">
        <f>'WC samples'!K85</f>
        <v>11.941000000000001</v>
      </c>
      <c r="AV114" s="269">
        <f>'WC samples'!M85</f>
        <v>2.4929999999999999</v>
      </c>
      <c r="AW114" s="269">
        <f>'WC samples'!O85</f>
        <v>62.023800000000001</v>
      </c>
      <c r="AX114" s="269">
        <f>'WC samples'!N85</f>
        <v>12.520200000000001</v>
      </c>
      <c r="AY114" s="226">
        <f>AO114*'Elements and ions'!$G$3*1000</f>
        <v>204.80026115505663</v>
      </c>
      <c r="AZ114" s="269">
        <f>'WC samples'!Q85</f>
        <v>13.9057</v>
      </c>
      <c r="BA114" s="269">
        <f>'WC samples'!T85</f>
        <v>20.3292</v>
      </c>
      <c r="BB114" s="270">
        <f>'WC samples'!V85</f>
        <v>12.5639</v>
      </c>
      <c r="BC114" s="222">
        <f>IF($E114&lt;&gt;"",10^-$E114*'Elements and ions'!B118*1000,"")</f>
        <v>0</v>
      </c>
      <c r="BE114" s="6"/>
      <c r="BF114" s="6"/>
      <c r="BG114" s="270">
        <f>'WC samples'!L85</f>
        <v>0</v>
      </c>
      <c r="BH114" s="3"/>
      <c r="BJ114" s="92">
        <f>IF($AN114&lt;&gt;"",$AN114*'Elements and ions'!$G$2*1000,"")</f>
        <v>1.3754538598917347</v>
      </c>
      <c r="BK114" s="229"/>
      <c r="BL114" s="230"/>
      <c r="BM114" s="101">
        <f>IF($E114&lt;&gt;"",(10^-14+$E114)*'Elements and ions'!$G$8,"")</f>
        <v>144.22224320000018</v>
      </c>
      <c r="BO114" s="102">
        <f>IF($AP114&lt;&gt;"",$AP114*'Elements and ions'!$G$4*1000,"")</f>
        <v>3.0485720235776368</v>
      </c>
      <c r="BP114" s="269">
        <f>'WC samples'!P85</f>
        <v>0.114</v>
      </c>
      <c r="BQ114" s="270">
        <f>'WC samples'!R85</f>
        <v>0</v>
      </c>
      <c r="BR114" s="195"/>
      <c r="BS114" s="238">
        <f>IF($AU114&lt;&gt;"",$AU114/'Elements and ions'!$B$12,"")</f>
        <v>0.51940495159245026</v>
      </c>
      <c r="BT114" s="239">
        <f>IF($AV114&lt;&gt;"",$AV114/'Elements and ions'!$B$20,"")</f>
        <v>6.3762363069494066E-2</v>
      </c>
      <c r="BU114" s="239">
        <f>IF($AW114&lt;&gt;"",$AW114/'Elements and ions'!$B$21, "")</f>
        <v>1.5475772244123958</v>
      </c>
      <c r="BV114" s="240">
        <f>IF($AX114&lt;&gt;"",$AX114/'Elements and ions'!$B$13, "")</f>
        <v>0.5151285743674141</v>
      </c>
      <c r="BW114" s="238">
        <f>IF($AY114&lt;&gt;"",$AY114/'Elements and ions'!$G$3,"")</f>
        <v>3.3564547288102209</v>
      </c>
      <c r="BX114" s="239">
        <f>IF($AZ114&lt;&gt;"",$AZ114/'Elements and ions'!$B$18,"")</f>
        <v>0.39222914845006057</v>
      </c>
      <c r="BY114" s="239">
        <f>IF($BA114&lt;&gt;"",$BA114/'Elements and ions'!$G$7,"")</f>
        <v>0.32786441071592731</v>
      </c>
      <c r="BZ114" s="241">
        <f>IF($BB114&lt;&gt;"",$BB114/'Elements and ions'!$G$5,"")</f>
        <v>0.13078867321933821</v>
      </c>
      <c r="CA114" s="91">
        <f t="shared" si="761"/>
        <v>3.3113112148258967E-6</v>
      </c>
      <c r="CB114" s="163" t="str">
        <f>IF($BD114&lt;&gt;"",$BD114/'Elements and ions'!$B$14,"")</f>
        <v/>
      </c>
      <c r="CC114" s="89" t="str">
        <f>IF($BE114&lt;&gt;"",$BE114/'Elements and ions'!$B$27, "")</f>
        <v/>
      </c>
      <c r="CD114" s="249" t="str">
        <f>IF($BF114&lt;&gt;"",$BF114/'Elements and ions'!$B$26,"")</f>
        <v/>
      </c>
      <c r="CE114" s="250">
        <f>IF($BG114&lt;&gt;"",$BG114/'Elements and ions'!$G$6,"")</f>
        <v>0</v>
      </c>
      <c r="CF114" s="91" t="str">
        <f>IF($BH114&lt;&gt;"",$BH114/'Elements and ions'!$G$15,"")</f>
        <v/>
      </c>
      <c r="CG114" s="89" t="str">
        <f>IF($BI114&lt;&gt;"",$BI114/'Elements and ions'!$G$16,"")</f>
        <v/>
      </c>
      <c r="CH114" s="90">
        <f>IF($BJ114&lt;&gt;"",$BJ114/'Elements and ions'!$G$2,"")</f>
        <v>2.2175876478590248E-2</v>
      </c>
      <c r="CI114" s="91" t="str">
        <f>IF($BK114&lt;&gt;"",$BK114/'Elements and ions'!$B$15, "")</f>
        <v/>
      </c>
      <c r="CJ114" s="88" t="str">
        <f>IF($BL114&lt;&gt;"", $BL114/'Elements and ions'!$G$17,"")</f>
        <v/>
      </c>
      <c r="CK114" s="89">
        <f t="shared" si="762"/>
        <v>3.0199517204020148E-3</v>
      </c>
      <c r="CL114" s="163" t="str">
        <f>IF($BN114&lt;&gt;"", $BN114/'Elements and ions'!$G$19,"")</f>
        <v/>
      </c>
      <c r="CM114" s="89">
        <f>IF($BO114&lt;&gt;"",$BO114/'Elements and ions'!$G$4,"")</f>
        <v>5.080199809657629E-2</v>
      </c>
      <c r="CN114" s="89">
        <f>IF($BP114&lt;&gt;"",$BP114/'Elements and ions'!$B$10,"")</f>
        <v>6.0005042950135945E-3</v>
      </c>
      <c r="CO114" s="104">
        <f>IF($BQ114&lt;&gt;"",$BQ114/'Elements and ions'!$G$18,"")</f>
        <v>0</v>
      </c>
      <c r="CP114" s="242"/>
      <c r="CQ114" s="238">
        <f t="shared" si="771"/>
        <v>5.1940495159245024E-4</v>
      </c>
      <c r="CR114" s="239">
        <f t="shared" si="772"/>
        <v>6.3762363069494069E-5</v>
      </c>
      <c r="CS114" s="239">
        <f t="shared" si="773"/>
        <v>1.5475772244123959E-3</v>
      </c>
      <c r="CT114" s="241">
        <f t="shared" si="774"/>
        <v>5.151285743674141E-4</v>
      </c>
      <c r="CU114" s="238">
        <f t="shared" si="775"/>
        <v>3.356454728810221E-3</v>
      </c>
      <c r="CV114" s="239">
        <f t="shared" si="776"/>
        <v>3.9222914845006058E-4</v>
      </c>
      <c r="CW114" s="239">
        <f t="shared" si="777"/>
        <v>3.2786441071592734E-4</v>
      </c>
      <c r="CX114" s="241">
        <f t="shared" si="778"/>
        <v>1.307886732193382E-4</v>
      </c>
      <c r="CY114" s="258">
        <f t="shared" si="763"/>
        <v>3.3113112148258966E-9</v>
      </c>
      <c r="CZ114" s="259" t="str">
        <f t="shared" si="779"/>
        <v/>
      </c>
      <c r="DA114" s="260" t="str">
        <f t="shared" si="780"/>
        <v/>
      </c>
      <c r="DB114" s="261" t="str">
        <f t="shared" si="781"/>
        <v/>
      </c>
      <c r="DC114" s="262">
        <f t="shared" si="782"/>
        <v>0</v>
      </c>
      <c r="DD114" s="263" t="str">
        <f t="shared" si="783"/>
        <v/>
      </c>
      <c r="DE114" s="259" t="str">
        <f t="shared" si="784"/>
        <v/>
      </c>
      <c r="DF114" s="260">
        <f t="shared" si="785"/>
        <v>2.2175876478590247E-5</v>
      </c>
      <c r="DG114" s="260" t="str">
        <f t="shared" si="786"/>
        <v/>
      </c>
      <c r="DH114" s="264" t="str">
        <f t="shared" si="787"/>
        <v/>
      </c>
      <c r="DI114" s="258">
        <f t="shared" si="764"/>
        <v>3.0199517204020146E-6</v>
      </c>
      <c r="DJ114" s="260" t="str">
        <f t="shared" si="788"/>
        <v/>
      </c>
      <c r="DK114" s="260">
        <f t="shared" si="789"/>
        <v>5.0801998096576291E-5</v>
      </c>
      <c r="DL114" s="260">
        <f t="shared" si="790"/>
        <v>6.0005042950135944E-6</v>
      </c>
      <c r="DM114" s="265">
        <f t="shared" si="791"/>
        <v>0</v>
      </c>
      <c r="DN114" s="242"/>
      <c r="DO114" s="238">
        <f t="shared" si="792"/>
        <v>0.51940495159245026</v>
      </c>
      <c r="DP114" s="239">
        <f t="shared" si="793"/>
        <v>6.3762363069494066E-2</v>
      </c>
      <c r="DQ114" s="239">
        <f t="shared" si="794"/>
        <v>3.0951544488247915</v>
      </c>
      <c r="DR114" s="241">
        <f t="shared" si="795"/>
        <v>1.0302571487348282</v>
      </c>
      <c r="DS114" s="238">
        <f t="shared" si="796"/>
        <v>-3.3564547288102209</v>
      </c>
      <c r="DT114" s="239">
        <f t="shared" si="797"/>
        <v>-0.39222914845006057</v>
      </c>
      <c r="DU114" s="239">
        <f t="shared" si="798"/>
        <v>-0.32786441071592731</v>
      </c>
      <c r="DV114" s="241">
        <f t="shared" si="799"/>
        <v>-0.26157734643867642</v>
      </c>
      <c r="DW114" s="91">
        <f t="shared" si="765"/>
        <v>3.3113112148258967E-6</v>
      </c>
      <c r="DX114" s="89">
        <f t="shared" si="800"/>
        <v>0</v>
      </c>
      <c r="DY114" s="89">
        <f t="shared" si="801"/>
        <v>0</v>
      </c>
      <c r="DZ114" s="89">
        <f t="shared" si="802"/>
        <v>0</v>
      </c>
      <c r="EA114" s="90">
        <f t="shared" si="803"/>
        <v>0</v>
      </c>
      <c r="EB114" s="91">
        <f t="shared" si="766"/>
        <v>-3.0199517204020148E-3</v>
      </c>
      <c r="EC114" s="89">
        <f t="shared" si="804"/>
        <v>0</v>
      </c>
      <c r="ED114" s="89">
        <f t="shared" si="805"/>
        <v>-0.10160399619315258</v>
      </c>
      <c r="EE114" s="89">
        <f t="shared" si="806"/>
        <v>-6.0005042950135945E-3</v>
      </c>
      <c r="EF114" s="90">
        <f t="shared" si="807"/>
        <v>0</v>
      </c>
      <c r="EG114" s="242"/>
      <c r="EH114" s="245">
        <f t="shared" si="808"/>
        <v>4.7085822235327779</v>
      </c>
      <c r="EI114" s="246">
        <f t="shared" si="809"/>
        <v>-4.4487500866234546</v>
      </c>
      <c r="EJ114" s="198">
        <f t="shared" si="810"/>
        <v>2.837421730574833</v>
      </c>
      <c r="EK114" s="198">
        <f t="shared" si="811"/>
        <v>1.1106835941463175E-2</v>
      </c>
      <c r="EL114" s="101">
        <f>IF(AND(CS114&lt;&gt;"",DK114&lt;&gt;""),LOG(CS114*DK114/Minerals!$C$6),"")</f>
        <v>1.3757051297218617</v>
      </c>
      <c r="EM114" s="94">
        <f>IF(AND(CS114&lt;&gt;"",DK114&lt;&gt;""),LOG(CS114*DK114/Minerals!$C$5),"")</f>
        <v>1.2452256003656441</v>
      </c>
      <c r="EN114" s="94">
        <f>IF(AND(CS114&lt;&gt;"",DL114&lt;&gt;""),LOG(CS114*DL114^2/Minerals!$C$2),"")</f>
        <v>-2.6840472240576894</v>
      </c>
      <c r="EO114" s="94">
        <f>IF(AND(CS114&lt;&gt;"",CX114&lt;&gt;""),LOG($CS114*$CX114/Minerals!$C$3),"")</f>
        <v>-2.0937971713353432</v>
      </c>
      <c r="EP114" s="95">
        <f>IF(AND(CS114&lt;&gt;"",CX114&lt;&gt;""),LOG($CS114*$CX114/Minerals!$C$4),"")</f>
        <v>-2.3337816828012454</v>
      </c>
      <c r="EQ114" s="199"/>
      <c r="ER114" s="101">
        <f t="shared" si="840"/>
        <v>0.89604425952422517</v>
      </c>
      <c r="ES114" s="94">
        <f t="shared" si="840"/>
        <v>0.89604425952422517</v>
      </c>
      <c r="ET114" s="94">
        <f t="shared" si="841"/>
        <v>0.64464088689120869</v>
      </c>
      <c r="EU114" s="94">
        <f t="shared" si="841"/>
        <v>0.64464088689120869</v>
      </c>
      <c r="EV114" s="95">
        <f t="shared" si="841"/>
        <v>0.64464088689120869</v>
      </c>
      <c r="EW114" s="101">
        <f t="shared" si="842"/>
        <v>0.89604425952422517</v>
      </c>
      <c r="EX114" s="94">
        <f t="shared" si="758"/>
        <v>0.64464088689120869</v>
      </c>
      <c r="EY114" s="94">
        <f t="shared" si="842"/>
        <v>0.89604425952422517</v>
      </c>
      <c r="EZ114" s="94">
        <f t="shared" si="842"/>
        <v>0.89604425952422517</v>
      </c>
      <c r="FA114" s="94">
        <f t="shared" si="842"/>
        <v>0.89604425952422517</v>
      </c>
      <c r="FB114" s="95">
        <f t="shared" si="759"/>
        <v>0.64464088689120869</v>
      </c>
      <c r="FC114" s="199"/>
      <c r="FD114" s="101">
        <f t="shared" si="812"/>
        <v>4.6540982524287308E-4</v>
      </c>
      <c r="FE114" s="94">
        <f t="shared" si="813"/>
        <v>5.7133899402119618E-5</v>
      </c>
      <c r="FF114" s="94">
        <f t="shared" si="814"/>
        <v>9.9763155447784202E-4</v>
      </c>
      <c r="FG114" s="94">
        <f t="shared" si="815"/>
        <v>3.3207294104321377E-4</v>
      </c>
      <c r="FH114" s="95" t="str">
        <f t="shared" si="816"/>
        <v/>
      </c>
      <c r="FI114" s="101">
        <f t="shared" si="817"/>
        <v>3.0075319921033386E-3</v>
      </c>
      <c r="FJ114" s="94">
        <f t="shared" si="818"/>
        <v>3.2749045108822433E-5</v>
      </c>
      <c r="FK114" s="94">
        <f t="shared" si="819"/>
        <v>3.514546768867519E-4</v>
      </c>
      <c r="FL114" s="94">
        <f t="shared" si="820"/>
        <v>2.9378102312429952E-4</v>
      </c>
      <c r="FM114" s="94">
        <f t="shared" si="821"/>
        <v>5.3767174277973887E-6</v>
      </c>
      <c r="FN114" s="95">
        <f t="shared" si="822"/>
        <v>8.4311726299438655E-5</v>
      </c>
      <c r="FO114" s="199"/>
      <c r="FP114" s="101">
        <f>IF(EL114&lt;&gt;"",LOG(FF114*FJ114/Minerals!$C$6),"")</f>
        <v>0.99434082480827346</v>
      </c>
      <c r="FQ114" s="94">
        <f>IF(EL114&lt;&gt;"",LOG(FF114*FJ114/Minerals!$C$5),"")</f>
        <v>0.86386129545205581</v>
      </c>
      <c r="FR114" s="94">
        <f>IF(EN114&lt;&gt;"",LOG(FF114*FM114^2/Minerals!$C$2),"")</f>
        <v>-2.9700704527428807</v>
      </c>
      <c r="FS114" s="94">
        <f>IF(EO114&lt;&gt;"",LOG($FF114*$FN114/Minerals!$C$3),"")</f>
        <v>-2.4751614762489313</v>
      </c>
      <c r="FT114" s="95">
        <f>IF(EP114&lt;&gt;"",LOG($FF114*$FN114/Minerals!$C$4),"")</f>
        <v>-2.7151459877148336</v>
      </c>
      <c r="FU114" s="96"/>
      <c r="FV114" s="101">
        <f>IF(FP114&lt;&gt;"",LOG(FF114*FJ114/(EXP(-1*Minerals!$E$6/'Other Constants'!$B$2*(1/(273.15+'ppm-mgL-1'!$D114)-1/298.15)+LN(Minerals!$C$6)))),"")</f>
        <v>-0.22738554458705226</v>
      </c>
      <c r="FW114" s="94">
        <f>IF(FP114&lt;&gt;"",LOG(FF114*FJ114/(EXP(-1*Minerals!$E$5/'Other Constants'!$B$2*(1/(273.15+'ppm-mgL-1'!$D114)-1/298.15)+LN(Minerals!$C$5)))),"")</f>
        <v>-0.35797552167538621</v>
      </c>
      <c r="FX114" s="94">
        <f>IF(FR114&lt;&gt;"",LOG(FF114*FM114^2/(EXP(-1*Minerals!$E$2/'Other Constants'!$B$2*(1/(273.15+'ppm-mgL-1'!$D114)-1/298.15)+LN(Minerals!$C$2)))),"")</f>
        <v>-2.9184177300233189</v>
      </c>
      <c r="FY114" s="94">
        <f>IF(FS114&lt;&gt;"",LOG($FF114*$FN114/(EXP(-1*Minerals!$E$3/'Other Constants'!$B$2*(1/(273.15+'ppm-mgL-1'!$D114)-1/298.15)+LN(Minerals!$C$3)))),"")</f>
        <v>-1.421990808248325</v>
      </c>
      <c r="FZ114" s="95">
        <f>IF(FT114&lt;&gt;"",LOG($FF114*$FN114/(EXP(-1*Minerals!$E$4/'Other Constants'!$B$2*(1/(273.15+'ppm-mgL-1'!$D114)-1/298.15)+LN(Minerals!$C$4)))),"")</f>
        <v>-2.7453166265378419</v>
      </c>
      <c r="GA114" s="96"/>
      <c r="GB114" s="96"/>
      <c r="GC114" s="101">
        <f>10^(-1825000*(79.755*EXP(-0.0046*($D114-20))*($D114+273.15))^-1.5*$EK114^0.5/(1+'Elements and ions'!$D$12*$EK114^0.5/(2*(79.755*EXP(-0.0046*($D114-20))*($D114+273.15))^0.5)))</f>
        <v>0.89652402424676902</v>
      </c>
      <c r="GD114" s="94">
        <f>10^(-1825000*(79.755*EXP(-0.0046*($D114-20))*($D114+273.15))^-1.5*$EK114^0.5/(1+'Elements and ions'!$D$20*$EK114^0.5/(2*(79.755*EXP(-0.0046*($D114-20))*($D114+273.15))^0.5)))</f>
        <v>0.89346751597926177</v>
      </c>
      <c r="GE114" s="94">
        <f>10^(-1825000*(79.755*EXP(-0.0046*($D114-20))*($D114+273.15))^-1.5*4*$EK114^0.5/(1+'Elements and ions'!$D$21*$EK114^0.5/(2*(79.755*EXP(-0.0046*($D114-20))*($D114+273.15))^0.5)))</f>
        <v>0.66236223345147238</v>
      </c>
      <c r="GF114" s="94">
        <f>10^(-1825000*(79.755*EXP(-0.0046*($D114-20))*($D114+273.15))^-1.5*4*$EK114^0.5/(1+'Elements and ions'!$D$13*$EK114^0.5/(2*(79.755*EXP(-0.0046*($D114-20))*($D114+273.15))^0.5)))</f>
        <v>0.67728297916734026</v>
      </c>
      <c r="GG114" s="95">
        <f>10^(-1825000*(79.755*EXP(-0.0046*($D114-20))*($D114+273.15))^-1.5*4*$EK114^0.5/(1+'Elements and ions'!$D$27*$EK114^0.5/(2*(79.755*EXP(-0.0046*($D114-20))*($D114+273.15))^0.5)))</f>
        <v>0.66236223345147238</v>
      </c>
      <c r="GH114" s="101">
        <f>10^(-1825000*(79.755*EXP(-0.0046*($D114-20))*($D114+273.15))^-1.5*$EK114^0.5/(1+'Elements and ions'!$G$3*$EK114^0.5/(2*(79.755*EXP(-0.0046*($D114-20))*($D114+273.15))^0.5)))</f>
        <v>0.88537704209280943</v>
      </c>
      <c r="GI114" s="94">
        <f>10^(-1825000*(79.755*EXP(-0.0046*($D114-20))*($D114+273.15))^-1.5*4*$EK114^0.5/(1+'Elements and ions'!$G$4*$EK114^0.5/(2*(79.755*EXP(-0.0046*($D114-20))*($D114+273.15))^0.5)))</f>
        <v>0.61438552133101765</v>
      </c>
      <c r="GJ114" s="94">
        <f>10^(-1825000*(79.755*EXP(-0.0046*($D114-20))*($D114+273.15))^-1.5*$EK114^0.5/(1+'Elements and ions'!$D$18*$EK114^0.5/(2*(79.755*EXP(-0.0046*($D114-20))*($D114+273.15))^0.5)))</f>
        <v>0.89346751597926177</v>
      </c>
      <c r="GK114" s="94">
        <f>10^(-1825000*(79.755*EXP(-0.0046*($D114-20))*($D114+273.15))^-1.5*$EK114^0.5/(1+'Elements and ions'!$I$7*$EK114^0.5/(2*(79.755*EXP(-0.0046*($D114-20))*($D114+273.15))^0.5)))</f>
        <v>0.89346751597926177</v>
      </c>
      <c r="GL114" s="94">
        <f>10^(-1825000*(79.755*EXP(-0.0046*($D114-20))*($D114+273.15))^-1.5*$EK114^0.5/(1+'Elements and ions'!$D$10*$EK114^0.5/(2*(79.755*EXP(-0.0046*($D114-20))*($D114+273.15))^0.5)))</f>
        <v>0.89501798854288594</v>
      </c>
      <c r="GM114" s="95">
        <f>10^(-1825000*(79.755*EXP(-0.0046*($D114-20))*($D114+273.15))^-1.5*4*$EK114^0.5/(1+'Elements and ions'!$I$5*$EK114^0.5/(2*(79.755*EXP(-0.0046*($D114-20))*($D114+273.15))^0.5)))</f>
        <v>0.6460226241563477</v>
      </c>
      <c r="GN114" s="96"/>
      <c r="GO114" s="101">
        <f t="shared" si="823"/>
        <v>4.6565901741536174E-4</v>
      </c>
      <c r="GP114" s="94">
        <f t="shared" si="824"/>
        <v>5.6969600144668685E-5</v>
      </c>
      <c r="GQ114" s="94">
        <f t="shared" si="825"/>
        <v>1.0250567068004249E-3</v>
      </c>
      <c r="GR114" s="94">
        <f t="shared" si="826"/>
        <v>3.4888781550178701E-4</v>
      </c>
      <c r="GS114" s="95" t="str">
        <f t="shared" si="827"/>
        <v/>
      </c>
      <c r="GT114" s="101">
        <f t="shared" si="828"/>
        <v>2.9717279597124163E-3</v>
      </c>
      <c r="GU114" s="94">
        <f t="shared" si="829"/>
        <v>3.1212012085222389E-5</v>
      </c>
      <c r="GV114" s="94">
        <f t="shared" si="830"/>
        <v>3.5044400296033672E-4</v>
      </c>
      <c r="GW114" s="94">
        <f t="shared" si="831"/>
        <v>2.9293620062036406E-4</v>
      </c>
      <c r="GX114" s="94">
        <f t="shared" si="832"/>
        <v>5.3705592843660148E-6</v>
      </c>
      <c r="GY114" s="102">
        <f t="shared" si="833"/>
        <v>8.4492441883083892E-5</v>
      </c>
      <c r="GZ114" s="199"/>
      <c r="HA114" s="92">
        <f>IF(AND(GQ114&lt;&gt;"",GU114&lt;&gt;""),LOG(GQ114*GU114/Minerals!$C$6),"")</f>
        <v>0.98524166413383762</v>
      </c>
      <c r="HB114" s="94">
        <f>IF(AND(GQ114&lt;&gt;"",GU114&lt;&gt;""),LOG(GQ114*GU114/Minerals!$C$5),"")</f>
        <v>0.85476213477761986</v>
      </c>
      <c r="HC114" s="94">
        <f>IF(AND(GQ114&lt;&gt;"",GX114&lt;&gt;""),LOG(GQ114*GX114^2/Minerals!$C$2),"")</f>
        <v>-2.9592881339980521</v>
      </c>
      <c r="HD114" s="94">
        <f>IF(AND(GQ114&lt;&gt;"",GY114&lt;&gt;""),LOG($GQ114*$GY114/Minerals!$C$3),"")</f>
        <v>-2.4624538818887109</v>
      </c>
      <c r="HE114" s="102">
        <f>IF(AND(GQ114&lt;&gt;"",GY114&lt;&gt;""),LOG($GQ114*$GY114/Minerals!$C$3),"")</f>
        <v>-2.4624538818887109</v>
      </c>
      <c r="HF114" s="199"/>
      <c r="HG114" s="92">
        <f>IF(HA114&lt;&gt;"",LOG(GQ114*GU114/(EXP(-1*Minerals!$E$6/'Other Constants'!$B$2*(1/(273.15+'ppm-mgL-1'!$D114)-1/298.15)+LN(Minerals!$C$6)))),"")</f>
        <v>-0.23648470526148821</v>
      </c>
      <c r="HH114" s="94">
        <f>IF(HA114&lt;&gt;"",LOG(GQ114*GU114/(EXP(-1*Minerals!$E$5/'Other Constants'!$B$2*(1/(273.15+'ppm-mgL-1'!$D114)-1/298.15)+LN(Minerals!$C$5)))),"")</f>
        <v>-0.36707468234982205</v>
      </c>
      <c r="HI114" s="94">
        <f>IF(HC114&lt;&gt;"",LOG(GQ114*GX114^2/(EXP(-1*Minerals!$E$2/'Other Constants'!$B$2*(1/(273.15+'ppm-mgL-1'!$D114)-1/298.15)+LN(Minerals!$C$2)))),"")</f>
        <v>-2.9076354112784903</v>
      </c>
      <c r="HJ114" s="94">
        <f>IF(HD114&lt;&gt;"",LOG($FF114*$FN114/(EXP(-1*Minerals!$E$3/'Other Constants'!$B$2*(1/(273.15+'ppm-mgL-1'!$D114)-1/298.15)+LN(Minerals!$C$3)))),"")</f>
        <v>-1.421990808248325</v>
      </c>
      <c r="HK114" s="95">
        <f>IF(HE114&lt;&gt;"",LOG($FF114*$FN114/(EXP(-1*Minerals!$E$4/'Other Constants'!$B$2*(1/(273.15+'ppm-mgL-1'!$D114)-1/298.15)+LN(Minerals!$C$4)))),"")</f>
        <v>-2.7453166265378419</v>
      </c>
      <c r="HL114" s="199"/>
      <c r="HM114" s="199"/>
    </row>
    <row r="115" spans="1:221" x14ac:dyDescent="0.25">
      <c r="A115" s="267" t="str">
        <f>'WC samples'!B86</f>
        <v>ISST Indirect</v>
      </c>
      <c r="C115" s="266">
        <f>'WC samples'!A86</f>
        <v>41624</v>
      </c>
      <c r="D115" s="4">
        <f>'WC samples'!I86</f>
        <v>21.9</v>
      </c>
      <c r="E115" s="4">
        <f>'WC samples'!F86</f>
        <v>8.27</v>
      </c>
      <c r="AD115" s="83">
        <f>IF(E115&lt;&gt;"",10^(-2*$E115)/(10^(-2*$E115)+10^(-$E115-pKa!$B$2)+(10^(-pKa!$B$2-pKa!$C$2))),"")</f>
        <v>1.0504599611936401E-2</v>
      </c>
      <c r="AE115" s="84">
        <f>IF(E115&lt;&gt;"",10^(-$E115-pKa!$B$2)/(10^(-2*$E115)+10^(-$E115-pKa!$B$2)+10^(-pKa!$B$2-pKa!$C$2)),"")</f>
        <v>0.98034627659900031</v>
      </c>
      <c r="AF115" s="212">
        <f>IF(E115&lt;&gt;"",10^(-pKa!$B$2-pKa!$C$2)/(10^(-2*$E115)+10^(-$E115-pKa!$B$2)+10^(-pKa!$B$2-pKa!$C$2)),"")</f>
        <v>9.1491237890633185E-3</v>
      </c>
      <c r="AG115" s="152"/>
      <c r="AH115" s="222">
        <f>IF($AK115&lt;&gt;"",$AK115/'Elements and ions'!$G$3,IF($E115="","",""))</f>
        <v>3.2613947231616716</v>
      </c>
      <c r="AI115" s="85">
        <f>IF($AH115&lt;&gt;"",($AH115-10^(-14+$E115)+10^(-$E115))/1000/(AE115+2*AF115),IF($E115="","",""))</f>
        <v>3.2658196059626001E-3</v>
      </c>
      <c r="AJ115" s="84">
        <f>IF(AI115&lt;&gt;"",AI115*1000*'Elements and ions'!$B$7,"")</f>
        <v>39.224779541335003</v>
      </c>
      <c r="AK115" s="99">
        <f>'WC samples'!H86</f>
        <v>199</v>
      </c>
      <c r="AL115" s="88">
        <f>IF($AK115&lt;&gt;"",$AK115/'Elements and ions'!$G$3*Minerals!$B$6/2,IF($E115="","","Enter Alk(HCO3-)"))</f>
        <v>163.21144375880496</v>
      </c>
      <c r="AM115" s="199"/>
      <c r="AN115" s="101">
        <f t="shared" si="837"/>
        <v>3.4306127365449018E-5</v>
      </c>
      <c r="AO115" s="94">
        <f t="shared" si="838"/>
        <v>3.2016340907494493E-3</v>
      </c>
      <c r="AP115" s="95">
        <f t="shared" si="839"/>
        <v>2.9879387847701817E-5</v>
      </c>
      <c r="AQ115" s="199"/>
      <c r="AR115" s="199"/>
      <c r="AS115" s="83">
        <f t="shared" si="760"/>
        <v>0.10090037460426181</v>
      </c>
      <c r="AT115" s="83">
        <f>IF(AN115&lt;&gt;"",AN115/'Henrys law constants'!$B$7*1000000,"")</f>
        <v>1009.0037460426181</v>
      </c>
      <c r="AU115" s="268">
        <f>'WC samples'!K86</f>
        <v>10.783799999999999</v>
      </c>
      <c r="AV115" s="269">
        <f>'WC samples'!M86</f>
        <v>2.6202000000000001</v>
      </c>
      <c r="AW115" s="269">
        <f>'WC samples'!O86</f>
        <v>53.006100000000004</v>
      </c>
      <c r="AX115" s="269">
        <f>'WC samples'!N86</f>
        <v>11.6609</v>
      </c>
      <c r="AY115" s="226">
        <f>AO115*'Elements and ions'!$G$3*1000</f>
        <v>195.35359505380461</v>
      </c>
      <c r="AZ115" s="269">
        <f>'WC samples'!Q86</f>
        <v>12.629200000000001</v>
      </c>
      <c r="BA115" s="269">
        <f>'WC samples'!T86</f>
        <v>20.301400000000001</v>
      </c>
      <c r="BB115" s="270">
        <f>'WC samples'!V86</f>
        <v>12.277200000000001</v>
      </c>
      <c r="BC115" s="222">
        <f>IF($E115&lt;&gt;"",10^-$E115*'Elements and ions'!B119*1000,"")</f>
        <v>0</v>
      </c>
      <c r="BE115" s="6"/>
      <c r="BF115" s="6"/>
      <c r="BG115" s="270">
        <f>'WC samples'!L86</f>
        <v>1.6500000000000001E-2</v>
      </c>
      <c r="BH115" s="3"/>
      <c r="BJ115" s="92">
        <f>IF($AN115&lt;&gt;"",$AN115*'Elements and ions'!$G$2*1000,"")</f>
        <v>2.1278300024939547</v>
      </c>
      <c r="BK115" s="229"/>
      <c r="BL115" s="230"/>
      <c r="BM115" s="101">
        <f>IF($E115&lt;&gt;"",(10^-14+$E115)*'Elements and ions'!$G$8,"")</f>
        <v>140.65070180000018</v>
      </c>
      <c r="BO115" s="102">
        <f>IF($AP115&lt;&gt;"",$AP115*'Elements and ions'!$G$4*1000,"")</f>
        <v>1.7930291974139534</v>
      </c>
      <c r="BP115" s="269">
        <f>'WC samples'!P86</f>
        <v>0.11219999999999999</v>
      </c>
      <c r="BQ115" s="270">
        <f>'WC samples'!R86</f>
        <v>0</v>
      </c>
      <c r="BR115" s="195"/>
      <c r="BS115" s="238">
        <f>IF($AU115&lt;&gt;"",$AU115/'Elements and ions'!$B$12,"")</f>
        <v>0.46906951821310311</v>
      </c>
      <c r="BT115" s="239">
        <f>IF($AV115&lt;&gt;"",$AV115/'Elements and ions'!$B$20,"")</f>
        <v>6.7015701449935156E-2</v>
      </c>
      <c r="BU115" s="239">
        <f>IF($AW115&lt;&gt;"",$AW115/'Elements and ions'!$B$21, "")</f>
        <v>1.3225734817106642</v>
      </c>
      <c r="BV115" s="240">
        <f>IF($AX115&lt;&gt;"",$AX115/'Elements and ions'!$B$13, "")</f>
        <v>0.47977370911335115</v>
      </c>
      <c r="BW115" s="238">
        <f>IF($AY115&lt;&gt;"",$AY115/'Elements and ions'!$G$3,"")</f>
        <v>3.2016340907494492</v>
      </c>
      <c r="BX115" s="239">
        <f>IF($AZ115&lt;&gt;"",$AZ115/'Elements and ions'!$B$18,"")</f>
        <v>0.35622373282937975</v>
      </c>
      <c r="BY115" s="239">
        <f>IF($BA115&lt;&gt;"",$BA115/'Elements and ions'!$G$7,"")</f>
        <v>0.32741605905339743</v>
      </c>
      <c r="BZ115" s="241">
        <f>IF($BB115&lt;&gt;"",$BB115/'Elements and ions'!$G$5,"")</f>
        <v>0.12780416103665734</v>
      </c>
      <c r="CA115" s="91">
        <f t="shared" si="761"/>
        <v>5.3703179637025318E-6</v>
      </c>
      <c r="CB115" s="163" t="str">
        <f>IF($BD115&lt;&gt;"",$BD115/'Elements and ions'!$B$14,"")</f>
        <v/>
      </c>
      <c r="CC115" s="89" t="str">
        <f>IF($BE115&lt;&gt;"",$BE115/'Elements and ions'!$B$27, "")</f>
        <v/>
      </c>
      <c r="CD115" s="249" t="str">
        <f>IF($BF115&lt;&gt;"",$BF115/'Elements and ions'!$B$26,"")</f>
        <v/>
      </c>
      <c r="CE115" s="250">
        <f>IF($BG115&lt;&gt;"",$BG115/'Elements and ions'!$G$6,"")</f>
        <v>9.1471223153196009E-4</v>
      </c>
      <c r="CF115" s="91" t="str">
        <f>IF($BH115&lt;&gt;"",$BH115/'Elements and ions'!$G$15,"")</f>
        <v/>
      </c>
      <c r="CG115" s="89" t="str">
        <f>IF($BI115&lt;&gt;"",$BI115/'Elements and ions'!$G$16,"")</f>
        <v/>
      </c>
      <c r="CH115" s="90">
        <f>IF($BJ115&lt;&gt;"",$BJ115/'Elements and ions'!$G$2,"")</f>
        <v>3.4306127365449017E-2</v>
      </c>
      <c r="CI115" s="91" t="str">
        <f>IF($BK115&lt;&gt;"",$BK115/'Elements and ions'!$B$15, "")</f>
        <v/>
      </c>
      <c r="CJ115" s="88" t="str">
        <f>IF($BL115&lt;&gt;"", $BL115/'Elements and ions'!$G$17,"")</f>
        <v/>
      </c>
      <c r="CK115" s="89">
        <f t="shared" si="762"/>
        <v>1.8620871366628634E-3</v>
      </c>
      <c r="CL115" s="163" t="str">
        <f>IF($BN115&lt;&gt;"", $BN115/'Elements and ions'!$G$19,"")</f>
        <v/>
      </c>
      <c r="CM115" s="89">
        <f>IF($BO115&lt;&gt;"",$BO115/'Elements and ions'!$G$4,"")</f>
        <v>2.9879387847701815E-2</v>
      </c>
      <c r="CN115" s="89">
        <f>IF($BP115&lt;&gt;"",$BP115/'Elements and ions'!$B$10,"")</f>
        <v>5.9057594903554845E-3</v>
      </c>
      <c r="CO115" s="104">
        <f>IF($BQ115&lt;&gt;"",$BQ115/'Elements and ions'!$G$18,"")</f>
        <v>0</v>
      </c>
      <c r="CP115" s="242"/>
      <c r="CQ115" s="238">
        <f t="shared" si="771"/>
        <v>4.6906951821310309E-4</v>
      </c>
      <c r="CR115" s="239">
        <f t="shared" si="772"/>
        <v>6.7015701449935159E-5</v>
      </c>
      <c r="CS115" s="239">
        <f t="shared" si="773"/>
        <v>1.3225734817106643E-3</v>
      </c>
      <c r="CT115" s="241">
        <f t="shared" si="774"/>
        <v>4.7977370911335117E-4</v>
      </c>
      <c r="CU115" s="238">
        <f t="shared" si="775"/>
        <v>3.2016340907494493E-3</v>
      </c>
      <c r="CV115" s="239">
        <f t="shared" si="776"/>
        <v>3.5622373282937972E-4</v>
      </c>
      <c r="CW115" s="239">
        <f t="shared" si="777"/>
        <v>3.2741605905339745E-4</v>
      </c>
      <c r="CX115" s="241">
        <f t="shared" si="778"/>
        <v>1.2780416103665734E-4</v>
      </c>
      <c r="CY115" s="258">
        <f t="shared" si="763"/>
        <v>5.3703179637025321E-9</v>
      </c>
      <c r="CZ115" s="259" t="str">
        <f t="shared" si="779"/>
        <v/>
      </c>
      <c r="DA115" s="260" t="str">
        <f t="shared" si="780"/>
        <v/>
      </c>
      <c r="DB115" s="261" t="str">
        <f t="shared" si="781"/>
        <v/>
      </c>
      <c r="DC115" s="262">
        <f t="shared" si="782"/>
        <v>9.147122315319601E-7</v>
      </c>
      <c r="DD115" s="263" t="str">
        <f t="shared" si="783"/>
        <v/>
      </c>
      <c r="DE115" s="259" t="str">
        <f t="shared" si="784"/>
        <v/>
      </c>
      <c r="DF115" s="260">
        <f t="shared" si="785"/>
        <v>3.4306127365449018E-5</v>
      </c>
      <c r="DG115" s="260" t="str">
        <f t="shared" si="786"/>
        <v/>
      </c>
      <c r="DH115" s="264" t="str">
        <f t="shared" si="787"/>
        <v/>
      </c>
      <c r="DI115" s="258">
        <f t="shared" si="764"/>
        <v>1.8620871366628635E-6</v>
      </c>
      <c r="DJ115" s="260" t="str">
        <f t="shared" si="788"/>
        <v/>
      </c>
      <c r="DK115" s="260">
        <f t="shared" si="789"/>
        <v>2.9879387847701814E-5</v>
      </c>
      <c r="DL115" s="260">
        <f t="shared" si="790"/>
        <v>5.9057594903554841E-6</v>
      </c>
      <c r="DM115" s="265">
        <f t="shared" si="791"/>
        <v>0</v>
      </c>
      <c r="DN115" s="242"/>
      <c r="DO115" s="238">
        <f t="shared" si="792"/>
        <v>0.46906951821310311</v>
      </c>
      <c r="DP115" s="239">
        <f t="shared" si="793"/>
        <v>6.7015701449935156E-2</v>
      </c>
      <c r="DQ115" s="239">
        <f t="shared" si="794"/>
        <v>2.6451469634213285</v>
      </c>
      <c r="DR115" s="241">
        <f t="shared" si="795"/>
        <v>0.95954741822670231</v>
      </c>
      <c r="DS115" s="238">
        <f t="shared" si="796"/>
        <v>-3.2016340907494492</v>
      </c>
      <c r="DT115" s="239">
        <f t="shared" si="797"/>
        <v>-0.35622373282937975</v>
      </c>
      <c r="DU115" s="239">
        <f t="shared" si="798"/>
        <v>-0.32741605905339743</v>
      </c>
      <c r="DV115" s="241">
        <f t="shared" si="799"/>
        <v>-0.25560832207331469</v>
      </c>
      <c r="DW115" s="91">
        <f t="shared" si="765"/>
        <v>5.3703179637025318E-6</v>
      </c>
      <c r="DX115" s="89">
        <f t="shared" si="800"/>
        <v>0</v>
      </c>
      <c r="DY115" s="89">
        <f t="shared" si="801"/>
        <v>0</v>
      </c>
      <c r="DZ115" s="89">
        <f t="shared" si="802"/>
        <v>0</v>
      </c>
      <c r="EA115" s="90">
        <f t="shared" si="803"/>
        <v>9.1471223153196009E-4</v>
      </c>
      <c r="EB115" s="91">
        <f t="shared" si="766"/>
        <v>-1.8620871366628634E-3</v>
      </c>
      <c r="EC115" s="89">
        <f t="shared" si="804"/>
        <v>0</v>
      </c>
      <c r="ED115" s="89">
        <f t="shared" si="805"/>
        <v>-5.9758775695403631E-2</v>
      </c>
      <c r="EE115" s="89">
        <f t="shared" si="806"/>
        <v>-5.9057594903554845E-3</v>
      </c>
      <c r="EF115" s="90">
        <f t="shared" si="807"/>
        <v>0</v>
      </c>
      <c r="EG115" s="242"/>
      <c r="EH115" s="245">
        <f t="shared" si="808"/>
        <v>4.1416996838605646</v>
      </c>
      <c r="EI115" s="246">
        <f t="shared" si="809"/>
        <v>-4.2084088270279629</v>
      </c>
      <c r="EJ115" s="198">
        <f t="shared" si="810"/>
        <v>-0.7989015122427412</v>
      </c>
      <c r="EK115" s="198">
        <f t="shared" si="811"/>
        <v>9.934237838335502E-3</v>
      </c>
      <c r="EL115" s="101">
        <f>IF(AND(CS115&lt;&gt;"",DK115&lt;&gt;""),LOG(CS115*DK115/Minerals!$C$6),"")</f>
        <v>1.0769635124987051</v>
      </c>
      <c r="EM115" s="94">
        <f>IF(AND(CS115&lt;&gt;"",DK115&lt;&gt;""),LOG(CS115*DK115/Minerals!$C$5),"")</f>
        <v>0.94648398314248749</v>
      </c>
      <c r="EN115" s="94">
        <f>IF(AND(CS115&lt;&gt;"",DL115&lt;&gt;""),LOG(CS115*DL115^2/Minerals!$C$2),"")</f>
        <v>-2.7661037318805741</v>
      </c>
      <c r="EO115" s="94">
        <f>IF(AND(CS115&lt;&gt;"",CX115&lt;&gt;""),LOG($CS115*$CX115/Minerals!$C$3),"")</f>
        <v>-2.1720548306669851</v>
      </c>
      <c r="EP115" s="95">
        <f>IF(AND(CS115&lt;&gt;"",CX115&lt;&gt;""),LOG($CS115*$CX115/Minerals!$C$4),"")</f>
        <v>-2.4120393421328874</v>
      </c>
      <c r="EQ115" s="199"/>
      <c r="ER115" s="101">
        <f t="shared" si="840"/>
        <v>0.90091038189027739</v>
      </c>
      <c r="ES115" s="94">
        <f t="shared" si="840"/>
        <v>0.90091038189027739</v>
      </c>
      <c r="ET115" s="94">
        <f t="shared" si="841"/>
        <v>0.65875870425361271</v>
      </c>
      <c r="EU115" s="94">
        <f t="shared" si="841"/>
        <v>0.65875870425361271</v>
      </c>
      <c r="EV115" s="95">
        <f t="shared" si="841"/>
        <v>0.65875870425361271</v>
      </c>
      <c r="EW115" s="101">
        <f t="shared" si="842"/>
        <v>0.90091038189027739</v>
      </c>
      <c r="EX115" s="94">
        <f t="shared" si="758"/>
        <v>0.65875870425361271</v>
      </c>
      <c r="EY115" s="94">
        <f t="shared" si="842"/>
        <v>0.90091038189027739</v>
      </c>
      <c r="EZ115" s="94">
        <f t="shared" si="842"/>
        <v>0.90091038189027739</v>
      </c>
      <c r="FA115" s="94">
        <f t="shared" si="842"/>
        <v>0.90091038189027739</v>
      </c>
      <c r="FB115" s="95">
        <f t="shared" si="759"/>
        <v>0.65875870425361271</v>
      </c>
      <c r="FC115" s="199"/>
      <c r="FD115" s="101">
        <f t="shared" si="812"/>
        <v>4.2258959878645511E-4</v>
      </c>
      <c r="FE115" s="94">
        <f t="shared" si="813"/>
        <v>6.03751411859059E-5</v>
      </c>
      <c r="FF115" s="94">
        <f t="shared" si="814"/>
        <v>8.7125679309190632E-4</v>
      </c>
      <c r="FG115" s="94">
        <f t="shared" si="815"/>
        <v>3.1605510695046089E-4</v>
      </c>
      <c r="FH115" s="95" t="str">
        <f t="shared" si="816"/>
        <v/>
      </c>
      <c r="FI115" s="101">
        <f t="shared" si="817"/>
        <v>2.8843853913700173E-3</v>
      </c>
      <c r="FJ115" s="94">
        <f t="shared" si="818"/>
        <v>1.9683306822443189E-5</v>
      </c>
      <c r="FK115" s="94">
        <f t="shared" si="819"/>
        <v>3.2092565918169665E-4</v>
      </c>
      <c r="FL115" s="94">
        <f t="shared" si="820"/>
        <v>2.9497252679880592E-4</v>
      </c>
      <c r="FM115" s="94">
        <f t="shared" si="821"/>
        <v>5.3205600378082889E-6</v>
      </c>
      <c r="FN115" s="95">
        <f t="shared" si="822"/>
        <v>8.4192103522728445E-5</v>
      </c>
      <c r="FO115" s="199"/>
      <c r="FP115" s="101">
        <f>IF(EL115&lt;&gt;"",LOG(FF115*FJ115/Minerals!$C$6),"")</f>
        <v>0.71441624578040852</v>
      </c>
      <c r="FQ115" s="94">
        <f>IF(EL115&lt;&gt;"",LOG(FF115*FJ115/Minerals!$C$5),"")</f>
        <v>0.58393671642419087</v>
      </c>
      <c r="FR115" s="94">
        <f>IF(EN115&lt;&gt;"",LOG(FF115*FM115^2/Minerals!$C$2),"")</f>
        <v>-3.0380141819192965</v>
      </c>
      <c r="FS115" s="94">
        <f>IF(EO115&lt;&gt;"",LOG($FF115*$FN115/Minerals!$C$3),"")</f>
        <v>-2.5346020973852816</v>
      </c>
      <c r="FT115" s="95">
        <f>IF(EP115&lt;&gt;"",LOG($FF115*$FN115/Minerals!$C$4),"")</f>
        <v>-2.7745866088511839</v>
      </c>
      <c r="FU115" s="96"/>
      <c r="FV115" s="101">
        <f>IF(FP115&lt;&gt;"",LOG(FF115*FJ115/(EXP(-1*Minerals!$E$6/'Other Constants'!$B$2*(1/(273.15+'ppm-mgL-1'!$D115)-1/298.15)+LN(Minerals!$C$6)))),"")</f>
        <v>-0.50731012361491723</v>
      </c>
      <c r="FW115" s="94">
        <f>IF(FP115&lt;&gt;"",LOG(FF115*FJ115/(EXP(-1*Minerals!$E$5/'Other Constants'!$B$2*(1/(273.15+'ppm-mgL-1'!$D115)-1/298.15)+LN(Minerals!$C$5)))),"")</f>
        <v>-0.63790010070325109</v>
      </c>
      <c r="FX115" s="94">
        <f>IF(FR115&lt;&gt;"",LOG(FF115*FM115^2/(EXP(-1*Minerals!$E$2/'Other Constants'!$B$2*(1/(273.15+'ppm-mgL-1'!$D115)-1/298.15)+LN(Minerals!$C$2)))),"")</f>
        <v>-2.9863614591997347</v>
      </c>
      <c r="FY115" s="94">
        <f>IF(FS115&lt;&gt;"",LOG($FF115*$FN115/(EXP(-1*Minerals!$E$3/'Other Constants'!$B$2*(1/(273.15+'ppm-mgL-1'!$D115)-1/298.15)+LN(Minerals!$C$3)))),"")</f>
        <v>-1.4814314293846753</v>
      </c>
      <c r="FZ115" s="95">
        <f>IF(FT115&lt;&gt;"",LOG($FF115*$FN115/(EXP(-1*Minerals!$E$4/'Other Constants'!$B$2*(1/(273.15+'ppm-mgL-1'!$D115)-1/298.15)+LN(Minerals!$C$4)))),"")</f>
        <v>-2.8047572476741918</v>
      </c>
      <c r="GA115" s="96"/>
      <c r="GB115" s="96"/>
      <c r="GC115" s="101">
        <f>10^(-1825000*(79.755*EXP(-0.0046*($D115-20))*($D115+273.15))^-1.5*$EK115^0.5/(1+'Elements and ions'!$D$12*$EK115^0.5/(2*(79.755*EXP(-0.0046*($D115-20))*($D115+273.15))^0.5)))</f>
        <v>0.90123640225692647</v>
      </c>
      <c r="GD115" s="94">
        <f>10^(-1825000*(79.755*EXP(-0.0046*($D115-20))*($D115+273.15))^-1.5*$EK115^0.5/(1+'Elements and ions'!$D$20*$EK115^0.5/(2*(79.755*EXP(-0.0046*($D115-20))*($D115+273.15))^0.5)))</f>
        <v>0.89845540855670636</v>
      </c>
      <c r="GE115" s="94">
        <f>10^(-1825000*(79.755*EXP(-0.0046*($D115-20))*($D115+273.15))^-1.5*4*$EK115^0.5/(1+'Elements and ions'!$D$21*$EK115^0.5/(2*(79.755*EXP(-0.0046*($D115-20))*($D115+273.15))^0.5)))</f>
        <v>0.67485969032421378</v>
      </c>
      <c r="GF115" s="94">
        <f>10^(-1825000*(79.755*EXP(-0.0046*($D115-20))*($D115+273.15))^-1.5*4*$EK115^0.5/(1+'Elements and ions'!$D$13*$EK115^0.5/(2*(79.755*EXP(-0.0046*($D115-20))*($D115+273.15))^0.5)))</f>
        <v>0.68873429641226591</v>
      </c>
      <c r="GG115" s="95">
        <f>10^(-1825000*(79.755*EXP(-0.0046*($D115-20))*($D115+273.15))^-1.5*4*$EK115^0.5/(1+'Elements and ions'!$D$27*$EK115^0.5/(2*(79.755*EXP(-0.0046*($D115-20))*($D115+273.15))^0.5)))</f>
        <v>0.67485969032421378</v>
      </c>
      <c r="GH115" s="101">
        <f>10^(-1825000*(79.755*EXP(-0.0046*($D115-20))*($D115+273.15))^-1.5*$EK115^0.5/(1+'Elements and ions'!$G$3*$EK115^0.5/(2*(79.755*EXP(-0.0046*($D115-20))*($D115+273.15))^0.5)))</f>
        <v>0.89112994430044146</v>
      </c>
      <c r="GI115" s="94">
        <f>10^(-1825000*(79.755*EXP(-0.0046*($D115-20))*($D115+273.15))^-1.5*4*$EK115^0.5/(1+'Elements and ions'!$G$4*$EK115^0.5/(2*(79.755*EXP(-0.0046*($D115-20))*($D115+273.15))^0.5)))</f>
        <v>0.63052100580039072</v>
      </c>
      <c r="GJ115" s="94">
        <f>10^(-1825000*(79.755*EXP(-0.0046*($D115-20))*($D115+273.15))^-1.5*$EK115^0.5/(1+'Elements and ions'!$D$18*$EK115^0.5/(2*(79.755*EXP(-0.0046*($D115-20))*($D115+273.15))^0.5)))</f>
        <v>0.89845540855670636</v>
      </c>
      <c r="GK115" s="94">
        <f>10^(-1825000*(79.755*EXP(-0.0046*($D115-20))*($D115+273.15))^-1.5*$EK115^0.5/(1+'Elements and ions'!$I$7*$EK115^0.5/(2*(79.755*EXP(-0.0046*($D115-20))*($D115+273.15))^0.5)))</f>
        <v>0.89845540855670636</v>
      </c>
      <c r="GL115" s="94">
        <f>10^(-1825000*(79.755*EXP(-0.0046*($D115-20))*($D115+273.15))^-1.5*$EK115^0.5/(1+'Elements and ions'!$D$10*$EK115^0.5/(2*(79.755*EXP(-0.0046*($D115-20))*($D115+273.15))^0.5)))</f>
        <v>0.89986519158845268</v>
      </c>
      <c r="GM115" s="95">
        <f>10^(-1825000*(79.755*EXP(-0.0046*($D115-20))*($D115+273.15))^-1.5*4*$EK115^0.5/(1+'Elements and ions'!$I$5*$EK115^0.5/(2*(79.755*EXP(-0.0046*($D115-20))*($D115+273.15))^0.5)))</f>
        <v>0.65971278522383869</v>
      </c>
      <c r="GN115" s="96"/>
      <c r="GO115" s="101">
        <f t="shared" si="823"/>
        <v>4.2274252500276689E-4</v>
      </c>
      <c r="GP115" s="94">
        <f t="shared" si="824"/>
        <v>6.0210619425915753E-5</v>
      </c>
      <c r="GQ115" s="94">
        <f t="shared" si="825"/>
        <v>8.925515302982761E-4</v>
      </c>
      <c r="GR115" s="94">
        <f t="shared" si="826"/>
        <v>3.3043660798328707E-4</v>
      </c>
      <c r="GS115" s="95" t="str">
        <f t="shared" si="827"/>
        <v/>
      </c>
      <c r="GT115" s="101">
        <f t="shared" si="828"/>
        <v>2.8530720089599512E-3</v>
      </c>
      <c r="GU115" s="94">
        <f t="shared" si="829"/>
        <v>1.8839581678432919E-5</v>
      </c>
      <c r="GV115" s="94">
        <f t="shared" si="830"/>
        <v>3.2005113941681535E-4</v>
      </c>
      <c r="GW115" s="94">
        <f t="shared" si="831"/>
        <v>2.941687291048469E-4</v>
      </c>
      <c r="GX115" s="94">
        <f t="shared" si="832"/>
        <v>5.3143873952640604E-6</v>
      </c>
      <c r="GY115" s="102">
        <f t="shared" si="833"/>
        <v>8.4314039040689213E-5</v>
      </c>
      <c r="GZ115" s="199"/>
      <c r="HA115" s="92">
        <f>IF(AND(GQ115&lt;&gt;"",GU115&lt;&gt;""),LOG(GQ115*GU115/Minerals!$C$6),"")</f>
        <v>0.70587656047416414</v>
      </c>
      <c r="HB115" s="94">
        <f>IF(AND(GQ115&lt;&gt;"",GU115&lt;&gt;""),LOG(GQ115*GU115/Minerals!$C$5),"")</f>
        <v>0.57539703111794649</v>
      </c>
      <c r="HC115" s="94">
        <f>IF(AND(GQ115&lt;&gt;"",GX115&lt;&gt;""),LOG(GQ115*GX115^2/Minerals!$C$2),"")</f>
        <v>-3.0285353378801396</v>
      </c>
      <c r="HD115" s="94">
        <f>IF(AND(GQ115&lt;&gt;"",GY115&lt;&gt;""),LOG($GQ115*$GY115/Minerals!$C$3),"")</f>
        <v>-2.5234864415750136</v>
      </c>
      <c r="HE115" s="102">
        <f>IF(AND(GQ115&lt;&gt;"",GY115&lt;&gt;""),LOG($GQ115*$GY115/Minerals!$C$3),"")</f>
        <v>-2.5234864415750136</v>
      </c>
      <c r="HF115" s="199"/>
      <c r="HG115" s="92">
        <f>IF(HA115&lt;&gt;"",LOG(GQ115*GU115/(EXP(-1*Minerals!$E$6/'Other Constants'!$B$2*(1/(273.15+'ppm-mgL-1'!$D115)-1/298.15)+LN(Minerals!$C$6)))),"")</f>
        <v>-0.51584980892116161</v>
      </c>
      <c r="HH115" s="94">
        <f>IF(HA115&lt;&gt;"",LOG(GQ115*GU115/(EXP(-1*Minerals!$E$5/'Other Constants'!$B$2*(1/(273.15+'ppm-mgL-1'!$D115)-1/298.15)+LN(Minerals!$C$5)))),"")</f>
        <v>-0.64643978600949548</v>
      </c>
      <c r="HI115" s="94">
        <f>IF(HC115&lt;&gt;"",LOG(GQ115*GX115^2/(EXP(-1*Minerals!$E$2/'Other Constants'!$B$2*(1/(273.15+'ppm-mgL-1'!$D115)-1/298.15)+LN(Minerals!$C$2)))),"")</f>
        <v>-2.9768826151605778</v>
      </c>
      <c r="HJ115" s="94">
        <f>IF(HD115&lt;&gt;"",LOG($FF115*$FN115/(EXP(-1*Minerals!$E$3/'Other Constants'!$B$2*(1/(273.15+'ppm-mgL-1'!$D115)-1/298.15)+LN(Minerals!$C$3)))),"")</f>
        <v>-1.4814314293846753</v>
      </c>
      <c r="HK115" s="95">
        <f>IF(HE115&lt;&gt;"",LOG($FF115*$FN115/(EXP(-1*Minerals!$E$4/'Other Constants'!$B$2*(1/(273.15+'ppm-mgL-1'!$D115)-1/298.15)+LN(Minerals!$C$4)))),"")</f>
        <v>-2.8047572476741918</v>
      </c>
      <c r="HL115" s="199"/>
      <c r="HM115" s="199"/>
    </row>
    <row r="116" spans="1:221" x14ac:dyDescent="0.25">
      <c r="A116" s="267" t="str">
        <f>'WC samples'!B87</f>
        <v>ISST Indirect</v>
      </c>
      <c r="C116" s="266">
        <f>'WC samples'!A87</f>
        <v>41659</v>
      </c>
      <c r="D116" s="4">
        <f>'WC samples'!I87</f>
        <v>21.8</v>
      </c>
      <c r="E116" s="4">
        <f>'WC samples'!F87</f>
        <v>8.35</v>
      </c>
      <c r="AD116" s="83">
        <f>IF(E116&lt;&gt;"",10^(-2*$E116)/(10^(-2*$E116)+10^(-$E116-pKa!$B$2)+(10^(-pKa!$B$2-pKa!$C$2))),"")</f>
        <v>8.7366177306325045E-3</v>
      </c>
      <c r="AE116" s="84">
        <f>IF(E116&lt;&gt;"",10^(-$E116-pKa!$B$2)/(10^(-2*$E116)+10^(-$E116-pKa!$B$2)+10^(-pKa!$B$2-pKa!$C$2)),"")</f>
        <v>0.98026463219514282</v>
      </c>
      <c r="AF116" s="212">
        <f>IF(E116&lt;&gt;"",10^(-pKa!$B$2-pKa!$C$2)/(10^(-2*$E116)+10^(-$E116-pKa!$B$2)+10^(-pKa!$B$2-pKa!$C$2)),"")</f>
        <v>1.0998750074224737E-2</v>
      </c>
      <c r="AG116" s="152"/>
      <c r="AH116" s="222">
        <f>IF($AK116&lt;&gt;"",$AK116/'Elements and ions'!$G$3,IF($E116="","",""))</f>
        <v>3.0811166228864035</v>
      </c>
      <c r="AI116" s="85">
        <f t="shared" si="770"/>
        <v>3.0741602313433935E-3</v>
      </c>
      <c r="AJ116" s="84">
        <f>IF(AI116&lt;&gt;"",AI116*1000*'Elements and ions'!$B$7,"")</f>
        <v>36.922816290596096</v>
      </c>
      <c r="AK116" s="99">
        <f>'WC samples'!H87</f>
        <v>188</v>
      </c>
      <c r="AL116" s="88">
        <f>IF($AK116&lt;&gt;"",$AK116/'Elements and ions'!$G$3*Minerals!$B$6/2,IF($E116="","","Enter Alk(HCO3-)"))</f>
        <v>154.18970566158458</v>
      </c>
      <c r="AM116" s="199"/>
      <c r="AN116" s="101">
        <f t="shared" si="837"/>
        <v>2.6857762783960013E-5</v>
      </c>
      <c r="AO116" s="94">
        <f t="shared" si="838"/>
        <v>3.0134905484867666E-3</v>
      </c>
      <c r="AP116" s="95">
        <f t="shared" si="839"/>
        <v>3.3811920072666884E-5</v>
      </c>
      <c r="AQ116" s="199"/>
      <c r="AR116" s="199"/>
      <c r="AS116" s="83">
        <f t="shared" si="760"/>
        <v>7.8993419952823551E-2</v>
      </c>
      <c r="AT116" s="83">
        <f>IF(AN116&lt;&gt;"",AN116/'Henrys law constants'!$B$7*1000000,"")</f>
        <v>789.93419952823558</v>
      </c>
      <c r="AU116" s="268">
        <f>'WC samples'!K87</f>
        <v>11.6389</v>
      </c>
      <c r="AV116" s="269">
        <f>'WC samples'!M87</f>
        <v>2.5737000000000001</v>
      </c>
      <c r="AW116" s="269">
        <f>'WC samples'!O87</f>
        <v>54.095599999999997</v>
      </c>
      <c r="AX116" s="269">
        <f>'WC samples'!N87</f>
        <v>11.6805</v>
      </c>
      <c r="AY116" s="226">
        <f>AO116*'Elements and ions'!$G$3*1000</f>
        <v>183.87367063852926</v>
      </c>
      <c r="AZ116" s="269">
        <f>'WC samples'!Q87</f>
        <v>15.0144</v>
      </c>
      <c r="BA116" s="269">
        <f>'WC samples'!T87</f>
        <v>21.384699999999999</v>
      </c>
      <c r="BB116" s="270">
        <f>'WC samples'!V87</f>
        <v>12.867900000000001</v>
      </c>
      <c r="BC116" s="222">
        <f>IF($E116&lt;&gt;"",10^-$E116*'Elements and ions'!B120*1000,"")</f>
        <v>0</v>
      </c>
      <c r="BE116" s="6"/>
      <c r="BF116" s="6"/>
      <c r="BG116" s="270">
        <f>'WC samples'!L87</f>
        <v>0</v>
      </c>
      <c r="BH116" s="3"/>
      <c r="BJ116" s="92">
        <f>IF($AN116&lt;&gt;"",$AN116*'Elements and ions'!$G$2*1000,"")</f>
        <v>1.6658468279673071</v>
      </c>
      <c r="BK116" s="229"/>
      <c r="BL116" s="230"/>
      <c r="BM116" s="101">
        <f>IF($E116&lt;&gt;"",(10^-14+$E116)*'Elements and ions'!$G$8,"")</f>
        <v>142.01128900000018</v>
      </c>
      <c r="BO116" s="102">
        <f>IF($AP116&lt;&gt;"",$AP116*'Elements and ions'!$G$4*1000,"")</f>
        <v>2.0290161304486594</v>
      </c>
      <c r="BP116" s="269">
        <f>'WC samples'!P87</f>
        <v>0.11310000000000001</v>
      </c>
      <c r="BQ116" s="270">
        <f>'WC samples'!R87</f>
        <v>0</v>
      </c>
      <c r="BR116" s="195"/>
      <c r="BS116" s="238">
        <f>IF($AU116&lt;&gt;"",$AU116/'Elements and ions'!$B$12,"")</f>
        <v>0.50626432384970843</v>
      </c>
      <c r="BT116" s="239">
        <f>IF($AV116&lt;&gt;"",$AV116/'Elements and ions'!$B$20,"")</f>
        <v>6.5826391428783354E-2</v>
      </c>
      <c r="BU116" s="239">
        <f>IF($AW116&lt;&gt;"",$AW116/'Elements and ions'!$B$21, "")</f>
        <v>1.3497579719546882</v>
      </c>
      <c r="BV116" s="240">
        <f>IF($AX116&lt;&gt;"",$AX116/'Elements and ions'!$B$13, "")</f>
        <v>0.48058012754577251</v>
      </c>
      <c r="BW116" s="238">
        <f>IF($AY116&lt;&gt;"",$AY116/'Elements and ions'!$G$3,"")</f>
        <v>3.0134905484867667</v>
      </c>
      <c r="BX116" s="239">
        <f>IF($AZ116&lt;&gt;"",$AZ116/'Elements and ions'!$B$18,"")</f>
        <v>0.42350153724649531</v>
      </c>
      <c r="BY116" s="239">
        <f>IF($BA116&lt;&gt;"",$BA116/'Elements and ions'!$G$7,"")</f>
        <v>0.3448872589101829</v>
      </c>
      <c r="BZ116" s="241">
        <f>IF($BB116&lt;&gt;"",$BB116/'Elements and ions'!$G$5,"")</f>
        <v>0.13395327630107867</v>
      </c>
      <c r="CA116" s="91">
        <f t="shared" si="761"/>
        <v>4.4668359215096219E-6</v>
      </c>
      <c r="CB116" s="163" t="str">
        <f>IF($BD116&lt;&gt;"",$BD116/'Elements and ions'!$B$14,"")</f>
        <v/>
      </c>
      <c r="CC116" s="89" t="str">
        <f>IF($BE116&lt;&gt;"",$BE116/'Elements and ions'!$B$27, "")</f>
        <v/>
      </c>
      <c r="CD116" s="249" t="str">
        <f>IF($BF116&lt;&gt;"",$BF116/'Elements and ions'!$B$26,"")</f>
        <v/>
      </c>
      <c r="CE116" s="250">
        <f>IF($BG116&lt;&gt;"",$BG116/'Elements and ions'!$G$6,"")</f>
        <v>0</v>
      </c>
      <c r="CF116" s="91" t="str">
        <f>IF($BH116&lt;&gt;"",$BH116/'Elements and ions'!$G$15,"")</f>
        <v/>
      </c>
      <c r="CG116" s="89" t="str">
        <f>IF($BI116&lt;&gt;"",$BI116/'Elements and ions'!$G$16,"")</f>
        <v/>
      </c>
      <c r="CH116" s="90">
        <f>IF($BJ116&lt;&gt;"",$BJ116/'Elements and ions'!$G$2,"")</f>
        <v>2.6857762783960012E-2</v>
      </c>
      <c r="CI116" s="91" t="str">
        <f>IF($BK116&lt;&gt;"",$BK116/'Elements and ions'!$B$15, "")</f>
        <v/>
      </c>
      <c r="CJ116" s="88" t="str">
        <f>IF($BL116&lt;&gt;"", $BL116/'Elements and ions'!$G$17,"")</f>
        <v/>
      </c>
      <c r="CK116" s="89">
        <f t="shared" si="762"/>
        <v>2.238721138568333E-3</v>
      </c>
      <c r="CL116" s="163" t="str">
        <f>IF($BN116&lt;&gt;"", $BN116/'Elements and ions'!$G$19,"")</f>
        <v/>
      </c>
      <c r="CM116" s="89">
        <f>IF($BO116&lt;&gt;"",$BO116/'Elements and ions'!$G$4,"")</f>
        <v>3.3811920072666882E-2</v>
      </c>
      <c r="CN116" s="89">
        <f>IF($BP116&lt;&gt;"",$BP116/'Elements and ions'!$B$10,"")</f>
        <v>5.9531318926845395E-3</v>
      </c>
      <c r="CO116" s="104">
        <f>IF($BQ116&lt;&gt;"",$BQ116/'Elements and ions'!$G$18,"")</f>
        <v>0</v>
      </c>
      <c r="CP116" s="242"/>
      <c r="CQ116" s="238">
        <f t="shared" si="771"/>
        <v>5.0626432384970842E-4</v>
      </c>
      <c r="CR116" s="239">
        <f t="shared" si="772"/>
        <v>6.5826391428783351E-5</v>
      </c>
      <c r="CS116" s="239">
        <f t="shared" si="773"/>
        <v>1.3497579719546882E-3</v>
      </c>
      <c r="CT116" s="241">
        <f t="shared" si="774"/>
        <v>4.8058012754577248E-4</v>
      </c>
      <c r="CU116" s="238">
        <f t="shared" si="775"/>
        <v>3.0134905484867666E-3</v>
      </c>
      <c r="CV116" s="239">
        <f t="shared" si="776"/>
        <v>4.2350153724649529E-4</v>
      </c>
      <c r="CW116" s="239">
        <f t="shared" si="777"/>
        <v>3.4488725891018289E-4</v>
      </c>
      <c r="CX116" s="241">
        <f t="shared" si="778"/>
        <v>1.3395327630107867E-4</v>
      </c>
      <c r="CY116" s="258">
        <f t="shared" si="763"/>
        <v>4.4668359215096219E-9</v>
      </c>
      <c r="CZ116" s="259" t="str">
        <f t="shared" si="779"/>
        <v/>
      </c>
      <c r="DA116" s="260" t="str">
        <f t="shared" si="780"/>
        <v/>
      </c>
      <c r="DB116" s="261" t="str">
        <f t="shared" si="781"/>
        <v/>
      </c>
      <c r="DC116" s="262">
        <f t="shared" si="782"/>
        <v>0</v>
      </c>
      <c r="DD116" s="263" t="str">
        <f t="shared" si="783"/>
        <v/>
      </c>
      <c r="DE116" s="259" t="str">
        <f t="shared" si="784"/>
        <v/>
      </c>
      <c r="DF116" s="260">
        <f t="shared" si="785"/>
        <v>2.6857762783960013E-5</v>
      </c>
      <c r="DG116" s="260" t="str">
        <f t="shared" si="786"/>
        <v/>
      </c>
      <c r="DH116" s="264" t="str">
        <f t="shared" si="787"/>
        <v/>
      </c>
      <c r="DI116" s="258">
        <f t="shared" si="764"/>
        <v>2.2387211385683329E-6</v>
      </c>
      <c r="DJ116" s="260" t="str">
        <f t="shared" si="788"/>
        <v/>
      </c>
      <c r="DK116" s="260">
        <f t="shared" si="789"/>
        <v>3.3811920072666884E-5</v>
      </c>
      <c r="DL116" s="260">
        <f t="shared" si="790"/>
        <v>5.9531318926845397E-6</v>
      </c>
      <c r="DM116" s="265">
        <f t="shared" si="791"/>
        <v>0</v>
      </c>
      <c r="DN116" s="242"/>
      <c r="DO116" s="238">
        <f t="shared" si="792"/>
        <v>0.50626432384970843</v>
      </c>
      <c r="DP116" s="239">
        <f t="shared" si="793"/>
        <v>6.5826391428783354E-2</v>
      </c>
      <c r="DQ116" s="239">
        <f t="shared" si="794"/>
        <v>2.6995159439093763</v>
      </c>
      <c r="DR116" s="241">
        <f t="shared" si="795"/>
        <v>0.96116025509154501</v>
      </c>
      <c r="DS116" s="238">
        <f t="shared" si="796"/>
        <v>-3.0134905484867667</v>
      </c>
      <c r="DT116" s="239">
        <f t="shared" si="797"/>
        <v>-0.42350153724649531</v>
      </c>
      <c r="DU116" s="239">
        <f t="shared" si="798"/>
        <v>-0.3448872589101829</v>
      </c>
      <c r="DV116" s="241">
        <f t="shared" si="799"/>
        <v>-0.26790655260215734</v>
      </c>
      <c r="DW116" s="91">
        <f t="shared" si="765"/>
        <v>4.4668359215096219E-6</v>
      </c>
      <c r="DX116" s="89">
        <f t="shared" si="800"/>
        <v>0</v>
      </c>
      <c r="DY116" s="89">
        <f t="shared" si="801"/>
        <v>0</v>
      </c>
      <c r="DZ116" s="89">
        <f t="shared" si="802"/>
        <v>0</v>
      </c>
      <c r="EA116" s="90">
        <f t="shared" si="803"/>
        <v>0</v>
      </c>
      <c r="EB116" s="91">
        <f t="shared" si="766"/>
        <v>-2.238721138568333E-3</v>
      </c>
      <c r="EC116" s="89">
        <f t="shared" si="804"/>
        <v>0</v>
      </c>
      <c r="ED116" s="89">
        <f t="shared" si="805"/>
        <v>-6.7623840145333763E-2</v>
      </c>
      <c r="EE116" s="89">
        <f t="shared" si="806"/>
        <v>-5.9531318926845395E-3</v>
      </c>
      <c r="EF116" s="90">
        <f t="shared" si="807"/>
        <v>0</v>
      </c>
      <c r="EG116" s="242"/>
      <c r="EH116" s="245">
        <f t="shared" si="808"/>
        <v>4.2327713811153345</v>
      </c>
      <c r="EI116" s="246">
        <f t="shared" si="809"/>
        <v>-4.125601590422189</v>
      </c>
      <c r="EJ116" s="198">
        <f t="shared" si="810"/>
        <v>1.2821848349922531</v>
      </c>
      <c r="EK116" s="198">
        <f t="shared" si="811"/>
        <v>1.0037127099113467E-2</v>
      </c>
      <c r="EL116" s="101">
        <f>IF(AND(CS116&lt;&gt;"",DK116&lt;&gt;""),LOG(CS116*DK116/Minerals!$C$6),"")</f>
        <v>1.1394977410943987</v>
      </c>
      <c r="EM116" s="94">
        <f>IF(AND(CS116&lt;&gt;"",DK116&lt;&gt;""),LOG(CS116*DK116/Minerals!$C$5),"")</f>
        <v>1.0090182117381812</v>
      </c>
      <c r="EN116" s="94">
        <f>IF(AND(CS116&lt;&gt;"",DL116&lt;&gt;""),LOG(CS116*DL116^2/Minerals!$C$2),"")</f>
        <v>-2.7503281453084552</v>
      </c>
      <c r="EO116" s="94">
        <f>IF(AND(CS116&lt;&gt;"",CX116&lt;&gt;""),LOG($CS116*$CX116/Minerals!$C$3),"")</f>
        <v>-2.142810393598173</v>
      </c>
      <c r="EP116" s="95">
        <f>IF(AND(CS116&lt;&gt;"",CX116&lt;&gt;""),LOG($CS116*$CX116/Minerals!$C$4),"")</f>
        <v>-2.3827949050640753</v>
      </c>
      <c r="EQ116" s="199"/>
      <c r="ER116" s="101">
        <f t="shared" ref="ER116:ES124" si="843">10^(-0.5*SQRT($EK116)/(1+SQRT($EK116)))</f>
        <v>0.9004691316152369</v>
      </c>
      <c r="ES116" s="94">
        <f t="shared" si="843"/>
        <v>0.9004691316152369</v>
      </c>
      <c r="ET116" s="94">
        <f t="shared" ref="ET116:EV124" si="844">10^(-0.5*4*SQRT($EK116)/(1+SQRT($EK116)))</f>
        <v>0.65746905777231035</v>
      </c>
      <c r="EU116" s="94">
        <f t="shared" si="844"/>
        <v>0.65746905777231035</v>
      </c>
      <c r="EV116" s="95">
        <f t="shared" si="844"/>
        <v>0.65746905777231035</v>
      </c>
      <c r="EW116" s="101">
        <f t="shared" ref="EW116:FA124" si="845">10^(-0.5*SQRT($EK116)/(1+SQRT($EK116)))</f>
        <v>0.9004691316152369</v>
      </c>
      <c r="EX116" s="94">
        <f t="shared" si="758"/>
        <v>0.65746905777231035</v>
      </c>
      <c r="EY116" s="94">
        <f t="shared" si="845"/>
        <v>0.9004691316152369</v>
      </c>
      <c r="EZ116" s="94">
        <f t="shared" si="845"/>
        <v>0.9004691316152369</v>
      </c>
      <c r="FA116" s="94">
        <f t="shared" si="845"/>
        <v>0.9004691316152369</v>
      </c>
      <c r="FB116" s="95">
        <f t="shared" si="759"/>
        <v>0.65746905777231035</v>
      </c>
      <c r="FC116" s="199"/>
      <c r="FD116" s="101">
        <f t="shared" si="812"/>
        <v>4.5587539606472199E-4</v>
      </c>
      <c r="FE116" s="94">
        <f t="shared" si="813"/>
        <v>5.9274633527241215E-5</v>
      </c>
      <c r="FF116" s="94">
        <f t="shared" si="814"/>
        <v>8.8742410204171334E-4</v>
      </c>
      <c r="FG116" s="94">
        <f t="shared" si="815"/>
        <v>3.1596656364161579E-4</v>
      </c>
      <c r="FH116" s="95" t="str">
        <f t="shared" si="816"/>
        <v/>
      </c>
      <c r="FI116" s="101">
        <f t="shared" si="817"/>
        <v>2.7135552173266028E-3</v>
      </c>
      <c r="FJ116" s="94">
        <f t="shared" si="818"/>
        <v>2.2230291231648964E-5</v>
      </c>
      <c r="FK116" s="94">
        <f t="shared" si="819"/>
        <v>3.8135006148206952E-4</v>
      </c>
      <c r="FL116" s="94">
        <f t="shared" si="820"/>
        <v>3.1056033053601174E-4</v>
      </c>
      <c r="FM116" s="94">
        <f t="shared" si="821"/>
        <v>5.3606115057966189E-6</v>
      </c>
      <c r="FN116" s="95">
        <f t="shared" si="822"/>
        <v>8.8070134355184139E-5</v>
      </c>
      <c r="FO116" s="199"/>
      <c r="FP116" s="101">
        <f>IF(EL116&lt;&gt;"",LOG(FF116*FJ116/Minerals!$C$6),"")</f>
        <v>0.77524837829265669</v>
      </c>
      <c r="FQ116" s="94">
        <f>IF(EL116&lt;&gt;"",LOG(FF116*FJ116/Minerals!$C$5),"")</f>
        <v>0.64476884893643904</v>
      </c>
      <c r="FR116" s="94">
        <f>IF(EN116&lt;&gt;"",LOG(FF116*FM116^2/Minerals!$C$2),"")</f>
        <v>-3.0235151674097618</v>
      </c>
      <c r="FS116" s="94">
        <f>IF(EO116&lt;&gt;"",LOG($FF116*$FN116/Minerals!$C$3),"")</f>
        <v>-2.5070597563999151</v>
      </c>
      <c r="FT116" s="95">
        <f>IF(EP116&lt;&gt;"",LOG($FF116*$FN116/Minerals!$C$4),"")</f>
        <v>-2.7470442678658173</v>
      </c>
      <c r="FU116" s="96"/>
      <c r="FV116" s="101">
        <f>IF(FP116&lt;&gt;"",LOG(FF116*FJ116/(EXP(-1*Minerals!$E$6/'Other Constants'!$B$2*(1/(273.15+'ppm-mgL-1'!$D116)-1/298.15)+LN(Minerals!$C$6)))),"")</f>
        <v>-0.4863160956512893</v>
      </c>
      <c r="FW116" s="94">
        <f>IF(FP116&lt;&gt;"",LOG(FF116*FJ116/(EXP(-1*Minerals!$E$5/'Other Constants'!$B$2*(1/(273.15+'ppm-mgL-1'!$D116)-1/298.15)+LN(Minerals!$C$5)))),"")</f>
        <v>-0.61690967422389054</v>
      </c>
      <c r="FX116" s="94">
        <f>IF(FR116&lt;&gt;"",LOG(FF116*FM116^2/(EXP(-1*Minerals!$E$2/'Other Constants'!$B$2*(1/(273.15+'ppm-mgL-1'!$D116)-1/298.15)+LN(Minerals!$C$2)))),"")</f>
        <v>-2.9701781505475262</v>
      </c>
      <c r="FY116" s="94">
        <f>IF(FS116&lt;&gt;"",LOG($FF116*$FN116/(EXP(-1*Minerals!$E$3/'Other Constants'!$B$2*(1/(273.15+'ppm-mgL-1'!$D116)-1/298.15)+LN(Minerals!$C$3)))),"")</f>
        <v>-1.4195472552111497</v>
      </c>
      <c r="FZ116" s="95">
        <f>IF(FT116&lt;&gt;"",LOG($FF116*$FN116/(EXP(-1*Minerals!$E$4/'Other Constants'!$B$2*(1/(273.15+'ppm-mgL-1'!$D116)-1/298.15)+LN(Minerals!$C$4)))),"")</f>
        <v>-2.7781987121413705</v>
      </c>
      <c r="GA116" s="96"/>
      <c r="GB116" s="96"/>
      <c r="GC116" s="101">
        <f>10^(-1825000*(79.755*EXP(-0.0046*($D116-20))*($D116+273.15))^-1.5*$EK116^0.5/(1+'Elements and ions'!$D$12*$EK116^0.5/(2*(79.755*EXP(-0.0046*($D116-20))*($D116+273.15))^0.5)))</f>
        <v>0.90082499677528127</v>
      </c>
      <c r="GD116" s="94">
        <f>10^(-1825000*(79.755*EXP(-0.0046*($D116-20))*($D116+273.15))^-1.5*$EK116^0.5/(1+'Elements and ions'!$D$20*$EK116^0.5/(2*(79.755*EXP(-0.0046*($D116-20))*($D116+273.15))^0.5)))</f>
        <v>0.8980201319776856</v>
      </c>
      <c r="GE116" s="94">
        <f>10^(-1825000*(79.755*EXP(-0.0046*($D116-20))*($D116+273.15))^-1.5*4*$EK116^0.5/(1+'Elements and ions'!$D$21*$EK116^0.5/(2*(79.755*EXP(-0.0046*($D116-20))*($D116+273.15))^0.5)))</f>
        <v>0.67376092879652683</v>
      </c>
      <c r="GF116" s="94">
        <f>10^(-1825000*(79.755*EXP(-0.0046*($D116-20))*($D116+273.15))^-1.5*4*$EK116^0.5/(1+'Elements and ions'!$D$13*$EK116^0.5/(2*(79.755*EXP(-0.0046*($D116-20))*($D116+273.15))^0.5)))</f>
        <v>0.68772775424394694</v>
      </c>
      <c r="GG116" s="95">
        <f>10^(-1825000*(79.755*EXP(-0.0046*($D116-20))*($D116+273.15))^-1.5*4*$EK116^0.5/(1+'Elements and ions'!$D$27*$EK116^0.5/(2*(79.755*EXP(-0.0046*($D116-20))*($D116+273.15))^0.5)))</f>
        <v>0.67376092879652683</v>
      </c>
      <c r="GH116" s="101">
        <f>10^(-1825000*(79.755*EXP(-0.0046*($D116-20))*($D116+273.15))^-1.5*$EK116^0.5/(1+'Elements and ions'!$G$3*$EK116^0.5/(2*(79.755*EXP(-0.0046*($D116-20))*($D116+273.15))^0.5)))</f>
        <v>0.89062856323426676</v>
      </c>
      <c r="GI116" s="94">
        <f>10^(-1825000*(79.755*EXP(-0.0046*($D116-20))*($D116+273.15))^-1.5*4*$EK116^0.5/(1+'Elements and ions'!$G$4*$EK116^0.5/(2*(79.755*EXP(-0.0046*($D116-20))*($D116+273.15))^0.5)))</f>
        <v>0.62910226223392351</v>
      </c>
      <c r="GJ116" s="94">
        <f>10^(-1825000*(79.755*EXP(-0.0046*($D116-20))*($D116+273.15))^-1.5*$EK116^0.5/(1+'Elements and ions'!$D$18*$EK116^0.5/(2*(79.755*EXP(-0.0046*($D116-20))*($D116+273.15))^0.5)))</f>
        <v>0.8980201319776856</v>
      </c>
      <c r="GK116" s="94">
        <f>10^(-1825000*(79.755*EXP(-0.0046*($D116-20))*($D116+273.15))^-1.5*$EK116^0.5/(1+'Elements and ions'!$I$7*$EK116^0.5/(2*(79.755*EXP(-0.0046*($D116-20))*($D116+273.15))^0.5)))</f>
        <v>0.8980201319776856</v>
      </c>
      <c r="GL116" s="94">
        <f>10^(-1825000*(79.755*EXP(-0.0046*($D116-20))*($D116+273.15))^-1.5*$EK116^0.5/(1+'Elements and ions'!$D$10*$EK116^0.5/(2*(79.755*EXP(-0.0046*($D116-20))*($D116+273.15))^0.5)))</f>
        <v>0.89944210031840488</v>
      </c>
      <c r="GM116" s="95">
        <f>10^(-1825000*(79.755*EXP(-0.0046*($D116-20))*($D116+273.15))^-1.5*4*$EK116^0.5/(1+'Elements and ions'!$I$5*$EK116^0.5/(2*(79.755*EXP(-0.0046*($D116-20))*($D116+273.15))^0.5)))</f>
        <v>0.65850900043025717</v>
      </c>
      <c r="GN116" s="96"/>
      <c r="GO116" s="101">
        <f t="shared" si="823"/>
        <v>4.5605555789935353E-4</v>
      </c>
      <c r="GP116" s="94">
        <f t="shared" si="824"/>
        <v>5.911342471849082E-5</v>
      </c>
      <c r="GQ116" s="94">
        <f t="shared" si="825"/>
        <v>9.094141848347071E-4</v>
      </c>
      <c r="GR116" s="94">
        <f t="shared" si="826"/>
        <v>3.3050829185132368E-4</v>
      </c>
      <c r="GS116" s="95" t="str">
        <f t="shared" si="827"/>
        <v/>
      </c>
      <c r="GT116" s="101">
        <f t="shared" si="828"/>
        <v>2.6839007575188115E-3</v>
      </c>
      <c r="GU116" s="94">
        <f t="shared" si="829"/>
        <v>2.1271155408187343E-5</v>
      </c>
      <c r="GV116" s="94">
        <f t="shared" si="830"/>
        <v>3.8031290637085044E-4</v>
      </c>
      <c r="GW116" s="94">
        <f t="shared" si="831"/>
        <v>3.0971570176394466E-4</v>
      </c>
      <c r="GX116" s="94">
        <f t="shared" si="832"/>
        <v>5.3544974530286629E-6</v>
      </c>
      <c r="GY116" s="102">
        <f t="shared" si="833"/>
        <v>8.8209438081381374E-5</v>
      </c>
      <c r="GZ116" s="199"/>
      <c r="HA116" s="92">
        <f>IF(AND(GQ116&lt;&gt;"",GU116&lt;&gt;""),LOG(GQ116*GU116/Minerals!$C$6),"")</f>
        <v>0.76672481075543331</v>
      </c>
      <c r="HB116" s="94">
        <f>IF(AND(GQ116&lt;&gt;"",GU116&lt;&gt;""),LOG(GQ116*GU116/Minerals!$C$5),"")</f>
        <v>0.63624528139921566</v>
      </c>
      <c r="HC116" s="94">
        <f>IF(AND(GQ116&lt;&gt;"",GX116&lt;&gt;""),LOG(GQ116*GX116^2/Minerals!$C$2),"")</f>
        <v>-3.0138758989594043</v>
      </c>
      <c r="HD116" s="94">
        <f>IF(AND(GQ116&lt;&gt;"",GY116&lt;&gt;""),LOG($GQ116*$GY116/Minerals!$C$3),"")</f>
        <v>-2.4957428556069341</v>
      </c>
      <c r="HE116" s="102">
        <f>IF(AND(GQ116&lt;&gt;"",GY116&lt;&gt;""),LOG($GQ116*$GY116/Minerals!$C$3),"")</f>
        <v>-2.4957428556069341</v>
      </c>
      <c r="HF116" s="199"/>
      <c r="HG116" s="92">
        <f>IF(HA116&lt;&gt;"",LOG(GQ116*GU116/(EXP(-1*Minerals!$E$6/'Other Constants'!$B$2*(1/(273.15+'ppm-mgL-1'!$D116)-1/298.15)+LN(Minerals!$C$6)))),"")</f>
        <v>-0.49483966318851275</v>
      </c>
      <c r="HH116" s="94">
        <f>IF(HA116&lt;&gt;"",LOG(GQ116*GU116/(EXP(-1*Minerals!$E$5/'Other Constants'!$B$2*(1/(273.15+'ppm-mgL-1'!$D116)-1/298.15)+LN(Minerals!$C$5)))),"")</f>
        <v>-0.62543324176111392</v>
      </c>
      <c r="HI116" s="94">
        <f>IF(HC116&lt;&gt;"",LOG(GQ116*GX116^2/(EXP(-1*Minerals!$E$2/'Other Constants'!$B$2*(1/(273.15+'ppm-mgL-1'!$D116)-1/298.15)+LN(Minerals!$C$2)))),"")</f>
        <v>-2.9605388820971692</v>
      </c>
      <c r="HJ116" s="94">
        <f>IF(HD116&lt;&gt;"",LOG($FF116*$FN116/(EXP(-1*Minerals!$E$3/'Other Constants'!$B$2*(1/(273.15+'ppm-mgL-1'!$D116)-1/298.15)+LN(Minerals!$C$3)))),"")</f>
        <v>-1.4195472552111497</v>
      </c>
      <c r="HK116" s="95">
        <f>IF(HE116&lt;&gt;"",LOG($FF116*$FN116/(EXP(-1*Minerals!$E$4/'Other Constants'!$B$2*(1/(273.15+'ppm-mgL-1'!$D116)-1/298.15)+LN(Minerals!$C$4)))),"")</f>
        <v>-2.7781987121413705</v>
      </c>
      <c r="HL116" s="199"/>
      <c r="HM116" s="199"/>
    </row>
    <row r="117" spans="1:221" x14ac:dyDescent="0.25">
      <c r="A117" s="267" t="str">
        <f>'WC samples'!B88</f>
        <v>ISST Indirect</v>
      </c>
      <c r="C117" s="266">
        <f>'WC samples'!A88</f>
        <v>41685</v>
      </c>
      <c r="D117" s="4">
        <f>'WC samples'!I88</f>
        <v>21.4</v>
      </c>
      <c r="E117" s="4">
        <f>'WC samples'!F88</f>
        <v>8.2899999999999991</v>
      </c>
      <c r="AD117" s="83">
        <f>IF(E117&lt;&gt;"",10^(-2*$E117)/(10^(-2*$E117)+10^(-$E117-pKa!$B$2)+(10^(-pKa!$B$2-pKa!$C$2))),"")</f>
        <v>1.0032232088808954E-2</v>
      </c>
      <c r="AE117" s="84">
        <f>IF(E117&lt;&gt;"",10^(-$E117-pKa!$B$2)/(10^(-2*$E117)+10^(-$E117-pKa!$B$2)+10^(-pKa!$B$2-pKa!$C$2)),"")</f>
        <v>0.98038706064513215</v>
      </c>
      <c r="AF117" s="212">
        <f>IF(E117&lt;&gt;"",10^(-pKa!$B$2-pKa!$C$2)/(10^(-2*$E117)+10^(-$E117-pKa!$B$2)+10^(-pKa!$B$2-pKa!$C$2)),"")</f>
        <v>9.5807072660588286E-3</v>
      </c>
      <c r="AG117" s="152"/>
      <c r="AH117" s="222">
        <f>IF($AK117&lt;&gt;"",$AK117/'Elements and ions'!$G$3,IF($E117="","",""))</f>
        <v>3.0647277046795609</v>
      </c>
      <c r="AI117" s="85">
        <f>IF($AH117&lt;&gt;"",($AH117-10^(-14+$E117)+10^(-$E117))/1000/(AE117+2*AF117),IF($E117="","",""))</f>
        <v>3.0661101848213097E-3</v>
      </c>
      <c r="AJ117" s="84">
        <f>IF(AI117&lt;&gt;"",AI117*1000*'Elements and ions'!$B$7,"")</f>
        <v>36.826129596833304</v>
      </c>
      <c r="AK117" s="99">
        <f>'WC samples'!H88</f>
        <v>187</v>
      </c>
      <c r="AL117" s="88">
        <f>IF($AK117&lt;&gt;"",$AK117/'Elements and ions'!$G$3*Minerals!$B$6/2,IF($E117="","","Enter Alk(HCO3-)"))</f>
        <v>153.36954765274638</v>
      </c>
      <c r="AM117" s="199"/>
      <c r="AN117" s="101">
        <f t="shared" si="837"/>
        <v>3.0759928983988295E-5</v>
      </c>
      <c r="AO117" s="94">
        <f t="shared" si="838"/>
        <v>3.0059747517110665E-3</v>
      </c>
      <c r="AP117" s="95">
        <f t="shared" si="839"/>
        <v>2.9375504126254501E-5</v>
      </c>
      <c r="AQ117" s="199"/>
      <c r="AR117" s="199"/>
      <c r="AS117" s="83">
        <f t="shared" si="760"/>
        <v>9.0470379364671449E-2</v>
      </c>
      <c r="AT117" s="83">
        <f>IF(AN117&lt;&gt;"",AN117/'Henrys law constants'!$B$7*1000000,"")</f>
        <v>904.70379364671453</v>
      </c>
      <c r="AU117" s="268">
        <f>'WC samples'!K88</f>
        <v>11.9306</v>
      </c>
      <c r="AV117" s="269">
        <f>'WC samples'!M88</f>
        <v>2.5604</v>
      </c>
      <c r="AW117" s="269">
        <f>'WC samples'!O88</f>
        <v>57.546700000000001</v>
      </c>
      <c r="AX117" s="269">
        <f>'WC samples'!N88</f>
        <v>11.8019</v>
      </c>
      <c r="AY117" s="226">
        <f>AO117*'Elements and ions'!$G$3*1000</f>
        <v>183.41508046919387</v>
      </c>
      <c r="AZ117" s="269">
        <f>'WC samples'!Q88</f>
        <v>16.911999999999999</v>
      </c>
      <c r="BA117" s="269">
        <f>'WC samples'!T88</f>
        <v>23.180199999999999</v>
      </c>
      <c r="BB117" s="270">
        <f>'WC samples'!V88</f>
        <v>13.2094</v>
      </c>
      <c r="BC117" s="222">
        <f>IF($E117&lt;&gt;"",10^-$E117*'Elements and ions'!B121*1000,"")</f>
        <v>0</v>
      </c>
      <c r="BE117" s="6"/>
      <c r="BF117" s="6"/>
      <c r="BG117" s="270">
        <f>'WC samples'!L88</f>
        <v>0</v>
      </c>
      <c r="BH117" s="3"/>
      <c r="BJ117" s="92">
        <f>IF($AN117&lt;&gt;"",$AN117*'Elements and ions'!$G$2*1000,"")</f>
        <v>1.9078778280474973</v>
      </c>
      <c r="BK117" s="229"/>
      <c r="BL117" s="230"/>
      <c r="BM117" s="101">
        <f>IF($E117&lt;&gt;"",(10^-14+$E117)*'Elements and ions'!$G$8,"")</f>
        <v>140.99084860000016</v>
      </c>
      <c r="BO117" s="102">
        <f>IF($AP117&lt;&gt;"",$AP117*'Elements and ions'!$G$4*1000,"")</f>
        <v>1.7627916895619935</v>
      </c>
      <c r="BP117" s="269">
        <f>'WC samples'!P88</f>
        <v>0.1091</v>
      </c>
      <c r="BQ117" s="270">
        <f>'WC samples'!R88</f>
        <v>0</v>
      </c>
      <c r="BR117" s="195"/>
      <c r="BS117" s="238">
        <f>IF($AU117&lt;&gt;"",$AU117/'Elements and ions'!$B$12,"")</f>
        <v>0.51895257645665249</v>
      </c>
      <c r="BT117" s="239">
        <f>IF($AV117&lt;&gt;"",$AV117/'Elements and ions'!$B$20,"")</f>
        <v>6.5486223186174336E-2</v>
      </c>
      <c r="BU117" s="239">
        <f>IF($AW117&lt;&gt;"",$AW117/'Elements and ions'!$B$21, "")</f>
        <v>1.4358675582613902</v>
      </c>
      <c r="BV117" s="240">
        <f>IF($AX117&lt;&gt;"",$AX117/'Elements and ions'!$B$13, "")</f>
        <v>0.4855749845710759</v>
      </c>
      <c r="BW117" s="238">
        <f>IF($AY117&lt;&gt;"",$AY117/'Elements and ions'!$G$3,"")</f>
        <v>3.0059747517110669</v>
      </c>
      <c r="BX117" s="239">
        <f>IF($AZ117&lt;&gt;"",$AZ117/'Elements and ions'!$B$18,"")</f>
        <v>0.47702592164273822</v>
      </c>
      <c r="BY117" s="239">
        <f>IF($BA117&lt;&gt;"",$BA117/'Elements and ions'!$G$7,"")</f>
        <v>0.37384464776170917</v>
      </c>
      <c r="BZ117" s="241">
        <f>IF($BB117&lt;&gt;"",$BB117/'Elements and ions'!$G$5,"")</f>
        <v>0.13750824982875751</v>
      </c>
      <c r="CA117" s="91">
        <f t="shared" si="761"/>
        <v>5.128613839913654E-6</v>
      </c>
      <c r="CB117" s="163" t="str">
        <f>IF($BD117&lt;&gt;"",$BD117/'Elements and ions'!$B$14,"")</f>
        <v/>
      </c>
      <c r="CC117" s="89" t="str">
        <f>IF($BE117&lt;&gt;"",$BE117/'Elements and ions'!$B$27, "")</f>
        <v/>
      </c>
      <c r="CD117" s="249" t="str">
        <f>IF($BF117&lt;&gt;"",$BF117/'Elements and ions'!$B$26,"")</f>
        <v/>
      </c>
      <c r="CE117" s="250">
        <f>IF($BG117&lt;&gt;"",$BG117/'Elements and ions'!$G$6,"")</f>
        <v>0</v>
      </c>
      <c r="CF117" s="91" t="str">
        <f>IF($BH117&lt;&gt;"",$BH117/'Elements and ions'!$G$15,"")</f>
        <v/>
      </c>
      <c r="CG117" s="89" t="str">
        <f>IF($BI117&lt;&gt;"",$BI117/'Elements and ions'!$G$16,"")</f>
        <v/>
      </c>
      <c r="CH117" s="90">
        <f>IF($BJ117&lt;&gt;"",$BJ117/'Elements and ions'!$G$2,"")</f>
        <v>3.0759928983988296E-2</v>
      </c>
      <c r="CI117" s="91" t="str">
        <f>IF($BK117&lt;&gt;"",$BK117/'Elements and ions'!$B$15, "")</f>
        <v/>
      </c>
      <c r="CJ117" s="88" t="str">
        <f>IF($BL117&lt;&gt;"", $BL117/'Elements and ions'!$G$17,"")</f>
        <v/>
      </c>
      <c r="CK117" s="89">
        <f t="shared" si="762"/>
        <v>1.9498445997580373E-3</v>
      </c>
      <c r="CL117" s="163" t="str">
        <f>IF($BN117&lt;&gt;"", $BN117/'Elements and ions'!$G$19,"")</f>
        <v/>
      </c>
      <c r="CM117" s="89">
        <f>IF($BO117&lt;&gt;"",$BO117/'Elements and ions'!$G$4,"")</f>
        <v>2.93755041262545E-2</v>
      </c>
      <c r="CN117" s="89">
        <f>IF($BP117&lt;&gt;"",$BP117/'Elements and ions'!$B$10,"")</f>
        <v>5.7425878823331852E-3</v>
      </c>
      <c r="CO117" s="104">
        <f>IF($BQ117&lt;&gt;"",$BQ117/'Elements and ions'!$G$18,"")</f>
        <v>0</v>
      </c>
      <c r="CP117" s="242"/>
      <c r="CQ117" s="238">
        <f t="shared" si="771"/>
        <v>5.1895257645665253E-4</v>
      </c>
      <c r="CR117" s="239">
        <f t="shared" si="772"/>
        <v>6.5486223186174338E-5</v>
      </c>
      <c r="CS117" s="239">
        <f t="shared" si="773"/>
        <v>1.4358675582613902E-3</v>
      </c>
      <c r="CT117" s="241">
        <f t="shared" si="774"/>
        <v>4.8557498457107588E-4</v>
      </c>
      <c r="CU117" s="238">
        <f t="shared" si="775"/>
        <v>3.0059747517110669E-3</v>
      </c>
      <c r="CV117" s="239">
        <f t="shared" si="776"/>
        <v>4.7702592164273821E-4</v>
      </c>
      <c r="CW117" s="239">
        <f t="shared" si="777"/>
        <v>3.7384464776170915E-4</v>
      </c>
      <c r="CX117" s="241">
        <f t="shared" si="778"/>
        <v>1.3750824982875751E-4</v>
      </c>
      <c r="CY117" s="258">
        <f t="shared" si="763"/>
        <v>5.1286138399136542E-9</v>
      </c>
      <c r="CZ117" s="259" t="str">
        <f t="shared" si="779"/>
        <v/>
      </c>
      <c r="DA117" s="260" t="str">
        <f t="shared" si="780"/>
        <v/>
      </c>
      <c r="DB117" s="261" t="str">
        <f t="shared" si="781"/>
        <v/>
      </c>
      <c r="DC117" s="262">
        <f t="shared" si="782"/>
        <v>0</v>
      </c>
      <c r="DD117" s="263" t="str">
        <f t="shared" si="783"/>
        <v/>
      </c>
      <c r="DE117" s="259" t="str">
        <f t="shared" si="784"/>
        <v/>
      </c>
      <c r="DF117" s="260">
        <f t="shared" si="785"/>
        <v>3.0759928983988295E-5</v>
      </c>
      <c r="DG117" s="260" t="str">
        <f t="shared" si="786"/>
        <v/>
      </c>
      <c r="DH117" s="264" t="str">
        <f t="shared" si="787"/>
        <v/>
      </c>
      <c r="DI117" s="258">
        <f t="shared" si="764"/>
        <v>1.9498445997580374E-6</v>
      </c>
      <c r="DJ117" s="260" t="str">
        <f t="shared" si="788"/>
        <v/>
      </c>
      <c r="DK117" s="260">
        <f t="shared" si="789"/>
        <v>2.9375504126254501E-5</v>
      </c>
      <c r="DL117" s="260">
        <f t="shared" si="790"/>
        <v>5.7425878823331852E-6</v>
      </c>
      <c r="DM117" s="265">
        <f t="shared" si="791"/>
        <v>0</v>
      </c>
      <c r="DN117" s="242"/>
      <c r="DO117" s="238">
        <f t="shared" si="792"/>
        <v>0.51895257645665249</v>
      </c>
      <c r="DP117" s="239">
        <f t="shared" si="793"/>
        <v>6.5486223186174336E-2</v>
      </c>
      <c r="DQ117" s="239">
        <f t="shared" si="794"/>
        <v>2.8717351165227805</v>
      </c>
      <c r="DR117" s="241">
        <f t="shared" si="795"/>
        <v>0.97114996914215179</v>
      </c>
      <c r="DS117" s="238">
        <f t="shared" si="796"/>
        <v>-3.0059747517110669</v>
      </c>
      <c r="DT117" s="239">
        <f t="shared" si="797"/>
        <v>-0.47702592164273822</v>
      </c>
      <c r="DU117" s="239">
        <f t="shared" si="798"/>
        <v>-0.37384464776170917</v>
      </c>
      <c r="DV117" s="241">
        <f t="shared" si="799"/>
        <v>-0.27501649965751501</v>
      </c>
      <c r="DW117" s="91">
        <f t="shared" si="765"/>
        <v>5.128613839913654E-6</v>
      </c>
      <c r="DX117" s="89">
        <f t="shared" si="800"/>
        <v>0</v>
      </c>
      <c r="DY117" s="89">
        <f t="shared" si="801"/>
        <v>0</v>
      </c>
      <c r="DZ117" s="89">
        <f t="shared" si="802"/>
        <v>0</v>
      </c>
      <c r="EA117" s="90">
        <f t="shared" si="803"/>
        <v>0</v>
      </c>
      <c r="EB117" s="91">
        <f t="shared" si="766"/>
        <v>-1.9498445997580373E-3</v>
      </c>
      <c r="EC117" s="89">
        <f t="shared" si="804"/>
        <v>0</v>
      </c>
      <c r="ED117" s="89">
        <f t="shared" si="805"/>
        <v>-5.8751008252509E-2</v>
      </c>
      <c r="EE117" s="89">
        <f t="shared" si="806"/>
        <v>-5.7425878823331852E-3</v>
      </c>
      <c r="EF117" s="90">
        <f t="shared" si="807"/>
        <v>0</v>
      </c>
      <c r="EG117" s="242"/>
      <c r="EH117" s="245">
        <f t="shared" si="808"/>
        <v>4.4273290139215993</v>
      </c>
      <c r="EI117" s="246">
        <f t="shared" si="809"/>
        <v>-4.1983052615076302</v>
      </c>
      <c r="EJ117" s="198">
        <f t="shared" si="810"/>
        <v>2.6551525963297626</v>
      </c>
      <c r="EK117" s="198">
        <f t="shared" si="811"/>
        <v>1.0459316524965232E-2</v>
      </c>
      <c r="EL117" s="101">
        <f>IF(AND(CS117&lt;&gt;"",DK117&lt;&gt;""),LOG(CS117*DK117/Minerals!$C$6),"")</f>
        <v>1.1052717179339167</v>
      </c>
      <c r="EM117" s="94">
        <f>IF(AND(CS117&lt;&gt;"",DK117&lt;&gt;""),LOG(CS117*DK117/Minerals!$C$5),"")</f>
        <v>0.97479218857769911</v>
      </c>
      <c r="EN117" s="94">
        <f>IF(AND(CS117&lt;&gt;"",DL117&lt;&gt;""),LOG(CS117*DL117^2/Minerals!$C$2),"")</f>
        <v>-2.754745371925444</v>
      </c>
      <c r="EO117" s="94">
        <f>IF(AND(CS117&lt;&gt;"",CX117&lt;&gt;""),LOG($CS117*$CX117/Minerals!$C$3),"")</f>
        <v>-2.1045764973097834</v>
      </c>
      <c r="EP117" s="95">
        <f>IF(AND(CS117&lt;&gt;"",CX117&lt;&gt;""),LOG($CS117*$CX117/Minerals!$C$4),"")</f>
        <v>-2.3445610087756856</v>
      </c>
      <c r="EQ117" s="199"/>
      <c r="ER117" s="101">
        <f t="shared" si="843"/>
        <v>0.89868820252284065</v>
      </c>
      <c r="ES117" s="94">
        <f t="shared" si="843"/>
        <v>0.89868820252284065</v>
      </c>
      <c r="ET117" s="94">
        <f t="shared" si="844"/>
        <v>0.65228315358241562</v>
      </c>
      <c r="EU117" s="94">
        <f t="shared" si="844"/>
        <v>0.65228315358241562</v>
      </c>
      <c r="EV117" s="95">
        <f t="shared" si="844"/>
        <v>0.65228315358241562</v>
      </c>
      <c r="EW117" s="101">
        <f t="shared" si="845"/>
        <v>0.89868820252284065</v>
      </c>
      <c r="EX117" s="94">
        <f t="shared" si="758"/>
        <v>0.65228315358241562</v>
      </c>
      <c r="EY117" s="94">
        <f t="shared" si="845"/>
        <v>0.89868820252284065</v>
      </c>
      <c r="EZ117" s="94">
        <f t="shared" si="845"/>
        <v>0.89868820252284065</v>
      </c>
      <c r="FA117" s="94">
        <f t="shared" si="845"/>
        <v>0.89868820252284065</v>
      </c>
      <c r="FB117" s="95">
        <f t="shared" si="759"/>
        <v>0.65228315358241562</v>
      </c>
      <c r="FC117" s="199"/>
      <c r="FD117" s="101">
        <f t="shared" si="812"/>
        <v>4.6637655813042611E-4</v>
      </c>
      <c r="FE117" s="94">
        <f t="shared" si="813"/>
        <v>5.8851696205192586E-5</v>
      </c>
      <c r="FF117" s="94">
        <f t="shared" si="814"/>
        <v>9.3659221902942251E-4</v>
      </c>
      <c r="FG117" s="94">
        <f t="shared" si="815"/>
        <v>3.167323822367542E-4</v>
      </c>
      <c r="FH117" s="95" t="str">
        <f t="shared" si="816"/>
        <v/>
      </c>
      <c r="FI117" s="101">
        <f t="shared" si="817"/>
        <v>2.7014340464442607E-3</v>
      </c>
      <c r="FJ117" s="94">
        <f t="shared" si="818"/>
        <v>1.9161146469546549E-5</v>
      </c>
      <c r="FK117" s="94">
        <f t="shared" si="819"/>
        <v>4.2869756807791383E-4</v>
      </c>
      <c r="FL117" s="94">
        <f t="shared" si="820"/>
        <v>3.359697745197549E-4</v>
      </c>
      <c r="FM117" s="94">
        <f t="shared" si="821"/>
        <v>5.160795981803456E-6</v>
      </c>
      <c r="FN117" s="95">
        <f t="shared" si="822"/>
        <v>8.969431484190061E-5</v>
      </c>
      <c r="FO117" s="199"/>
      <c r="FP117" s="101">
        <f>IF(EL117&lt;&gt;"",LOG(FF117*FJ117/Minerals!$C$6),"")</f>
        <v>0.73414404235379793</v>
      </c>
      <c r="FQ117" s="94">
        <f>IF(EL117&lt;&gt;"",LOG(FF117*FJ117/Minerals!$C$5),"")</f>
        <v>0.60366451299758017</v>
      </c>
      <c r="FR117" s="94">
        <f>IF(EN117&lt;&gt;"",LOG(FF117*FM117^2/Minerals!$C$2),"")</f>
        <v>-3.0330911286105331</v>
      </c>
      <c r="FS117" s="94">
        <f>IF(EO117&lt;&gt;"",LOG($FF117*$FN117/Minerals!$C$3),"")</f>
        <v>-2.4757041728899023</v>
      </c>
      <c r="FT117" s="95">
        <f>IF(EP117&lt;&gt;"",LOG($FF117*$FN117/Minerals!$C$4),"")</f>
        <v>-2.7156886843558046</v>
      </c>
      <c r="FU117" s="96"/>
      <c r="FV117" s="101">
        <f>IF(FP117&lt;&gt;"",LOG(FF117*FJ117/(EXP(-1*Minerals!$E$6/'Other Constants'!$B$2*(1/(273.15+'ppm-mgL-1'!$D117)-1/298.15)+LN(Minerals!$C$6)))),"")</f>
        <v>-0.68704335125846361</v>
      </c>
      <c r="FW117" s="94">
        <f>IF(FP117&lt;&gt;"",LOG(FF117*FJ117/(EXP(-1*Minerals!$E$5/'Other Constants'!$B$2*(1/(273.15+'ppm-mgL-1'!$D117)-1/298.15)+LN(Minerals!$C$5)))),"")</f>
        <v>-0.81765136022228291</v>
      </c>
      <c r="FX117" s="94">
        <f>IF(FR117&lt;&gt;"",LOG(FF117*FM117^2/(EXP(-1*Minerals!$E$2/'Other Constants'!$B$2*(1/(273.15+'ppm-mgL-1'!$D117)-1/298.15)+LN(Minerals!$C$2)))),"")</f>
        <v>-2.9730054987889214</v>
      </c>
      <c r="FY117" s="94">
        <f>IF(FS117&lt;&gt;"",LOG($FF117*$FN117/(EXP(-1*Minerals!$E$3/'Other Constants'!$B$2*(1/(273.15+'ppm-mgL-1'!$D117)-1/298.15)+LN(Minerals!$C$3)))),"")</f>
        <v>-1.2505911572598463</v>
      </c>
      <c r="FZ117" s="95">
        <f>IF(FT117&lt;&gt;"",LOG($FF117*$FN117/(EXP(-1*Minerals!$E$4/'Other Constants'!$B$2*(1/(273.15+'ppm-mgL-1'!$D117)-1/298.15)+LN(Minerals!$C$4)))),"")</f>
        <v>-2.7507850304989345</v>
      </c>
      <c r="GA117" s="96"/>
      <c r="GB117" s="96"/>
      <c r="GC117" s="101">
        <f>10^(-1825000*(79.755*EXP(-0.0046*($D117-20))*($D117+273.15))^-1.5*$EK117^0.5/(1+'Elements and ions'!$D$12*$EK117^0.5/(2*(79.755*EXP(-0.0046*($D117-20))*($D117+273.15))^0.5)))</f>
        <v>0.89916608045951696</v>
      </c>
      <c r="GD117" s="94">
        <f>10^(-1825000*(79.755*EXP(-0.0046*($D117-20))*($D117+273.15))^-1.5*$EK117^0.5/(1+'Elements and ions'!$D$20*$EK117^0.5/(2*(79.755*EXP(-0.0046*($D117-20))*($D117+273.15))^0.5)))</f>
        <v>0.89626388322228812</v>
      </c>
      <c r="GE117" s="94">
        <f>10^(-1825000*(79.755*EXP(-0.0046*($D117-20))*($D117+273.15))^-1.5*4*$EK117^0.5/(1+'Elements and ions'!$D$21*$EK117^0.5/(2*(79.755*EXP(-0.0046*($D117-20))*($D117+273.15))^0.5)))</f>
        <v>0.66934896862641979</v>
      </c>
      <c r="GF117" s="94">
        <f>10^(-1825000*(79.755*EXP(-0.0046*($D117-20))*($D117+273.15))^-1.5*4*$EK117^0.5/(1+'Elements and ions'!$D$13*$EK117^0.5/(2*(79.755*EXP(-0.0046*($D117-20))*($D117+273.15))^0.5)))</f>
        <v>0.68368893691640087</v>
      </c>
      <c r="GG117" s="95">
        <f>10^(-1825000*(79.755*EXP(-0.0046*($D117-20))*($D117+273.15))^-1.5*4*$EK117^0.5/(1+'Elements and ions'!$D$27*$EK117^0.5/(2*(79.755*EXP(-0.0046*($D117-20))*($D117+273.15))^0.5)))</f>
        <v>0.66934896862641979</v>
      </c>
      <c r="GH117" s="101">
        <f>10^(-1825000*(79.755*EXP(-0.0046*($D117-20))*($D117+273.15))^-1.5*$EK117^0.5/(1+'Elements and ions'!$G$3*$EK117^0.5/(2*(79.755*EXP(-0.0046*($D117-20))*($D117+273.15))^0.5)))</f>
        <v>0.88860232949609819</v>
      </c>
      <c r="GI117" s="94">
        <f>10^(-1825000*(79.755*EXP(-0.0046*($D117-20))*($D117+273.15))^-1.5*4*$EK117^0.5/(1+'Elements and ions'!$G$4*$EK117^0.5/(2*(79.755*EXP(-0.0046*($D117-20))*($D117+273.15))^0.5)))</f>
        <v>0.62339302090315141</v>
      </c>
      <c r="GJ117" s="94">
        <f>10^(-1825000*(79.755*EXP(-0.0046*($D117-20))*($D117+273.15))^-1.5*$EK117^0.5/(1+'Elements and ions'!$D$18*$EK117^0.5/(2*(79.755*EXP(-0.0046*($D117-20))*($D117+273.15))^0.5)))</f>
        <v>0.89626388322228812</v>
      </c>
      <c r="GK117" s="94">
        <f>10^(-1825000*(79.755*EXP(-0.0046*($D117-20))*($D117+273.15))^-1.5*$EK117^0.5/(1+'Elements and ions'!$I$7*$EK117^0.5/(2*(79.755*EXP(-0.0046*($D117-20))*($D117+273.15))^0.5)))</f>
        <v>0.89626388322228812</v>
      </c>
      <c r="GL117" s="94">
        <f>10^(-1825000*(79.755*EXP(-0.0046*($D117-20))*($D117+273.15))^-1.5*$EK117^0.5/(1+'Elements and ions'!$D$10*$EK117^0.5/(2*(79.755*EXP(-0.0046*($D117-20))*($D117+273.15))^0.5)))</f>
        <v>0.89773554722974103</v>
      </c>
      <c r="GM117" s="95">
        <f>10^(-1825000*(79.755*EXP(-0.0046*($D117-20))*($D117+273.15))^-1.5*4*$EK117^0.5/(1+'Elements and ions'!$I$5*$EK117^0.5/(2*(79.755*EXP(-0.0046*($D117-20))*($D117+273.15))^0.5)))</f>
        <v>0.65367166828265</v>
      </c>
      <c r="GN117" s="96"/>
      <c r="GO117" s="101">
        <f t="shared" si="823"/>
        <v>4.6662455411689604E-4</v>
      </c>
      <c r="GP117" s="94">
        <f t="shared" si="824"/>
        <v>5.8692936690402054E-5</v>
      </c>
      <c r="GQ117" s="94">
        <f t="shared" si="825"/>
        <v>9.610964692063973E-4</v>
      </c>
      <c r="GR117" s="94">
        <f t="shared" si="826"/>
        <v>3.3198224499459664E-4</v>
      </c>
      <c r="GS117" s="95" t="str">
        <f t="shared" si="827"/>
        <v/>
      </c>
      <c r="GT117" s="101">
        <f t="shared" si="828"/>
        <v>2.6711161667769094E-3</v>
      </c>
      <c r="GU117" s="94">
        <f t="shared" si="829"/>
        <v>1.8312484257818781E-5</v>
      </c>
      <c r="GV117" s="94">
        <f t="shared" si="830"/>
        <v>4.2754110492921146E-4</v>
      </c>
      <c r="GW117" s="94">
        <f t="shared" si="831"/>
        <v>3.3506345572477793E-4</v>
      </c>
      <c r="GX117" s="94">
        <f t="shared" si="832"/>
        <v>5.1553252750612616E-6</v>
      </c>
      <c r="GY117" s="102">
        <f t="shared" si="833"/>
        <v>8.9885247068191343E-5</v>
      </c>
      <c r="GZ117" s="199"/>
      <c r="HA117" s="92">
        <f>IF(AND(GQ117&lt;&gt;"",GU117&lt;&gt;""),LOG(GQ117*GU117/Minerals!$C$6),"")</f>
        <v>0.72568625236503703</v>
      </c>
      <c r="HB117" s="94">
        <f>IF(AND(GQ117&lt;&gt;"",GU117&lt;&gt;""),LOG(GQ117*GU117/Minerals!$C$5),"")</f>
        <v>0.59520672300881927</v>
      </c>
      <c r="HC117" s="94">
        <f>IF(AND(GQ117&lt;&gt;"",GX117&lt;&gt;""),LOG(GQ117*GX117^2/Minerals!$C$2),"")</f>
        <v>-3.0227959292145079</v>
      </c>
      <c r="HD117" s="94">
        <f>IF(AND(GQ117&lt;&gt;"",GY117&lt;&gt;""),LOG($GQ117*$GY117/Minerals!$C$3),"")</f>
        <v>-2.4635642367758654</v>
      </c>
      <c r="HE117" s="102">
        <f>IF(AND(GQ117&lt;&gt;"",GY117&lt;&gt;""),LOG($GQ117*$GY117/Minerals!$C$3),"")</f>
        <v>-2.4635642367758654</v>
      </c>
      <c r="HF117" s="199"/>
      <c r="HG117" s="92">
        <f>IF(HA117&lt;&gt;"",LOG(GQ117*GU117/(EXP(-1*Minerals!$E$6/'Other Constants'!$B$2*(1/(273.15+'ppm-mgL-1'!$D117)-1/298.15)+LN(Minerals!$C$6)))),"")</f>
        <v>-0.69550114124722451</v>
      </c>
      <c r="HH117" s="94">
        <f>IF(HA117&lt;&gt;"",LOG(GQ117*GU117/(EXP(-1*Minerals!$E$5/'Other Constants'!$B$2*(1/(273.15+'ppm-mgL-1'!$D117)-1/298.15)+LN(Minerals!$C$5)))),"")</f>
        <v>-0.82610915021104381</v>
      </c>
      <c r="HI117" s="94">
        <f>IF(HC117&lt;&gt;"",LOG(GQ117*GX117^2/(EXP(-1*Minerals!$E$2/'Other Constants'!$B$2*(1/(273.15+'ppm-mgL-1'!$D117)-1/298.15)+LN(Minerals!$C$2)))),"")</f>
        <v>-2.9627102993928962</v>
      </c>
      <c r="HJ117" s="94">
        <f>IF(HD117&lt;&gt;"",LOG($FF117*$FN117/(EXP(-1*Minerals!$E$3/'Other Constants'!$B$2*(1/(273.15+'ppm-mgL-1'!$D117)-1/298.15)+LN(Minerals!$C$3)))),"")</f>
        <v>-1.2505911572598463</v>
      </c>
      <c r="HK117" s="95">
        <f>IF(HE117&lt;&gt;"",LOG($FF117*$FN117/(EXP(-1*Minerals!$E$4/'Other Constants'!$B$2*(1/(273.15+'ppm-mgL-1'!$D117)-1/298.15)+LN(Minerals!$C$4)))),"")</f>
        <v>-2.7507850304989345</v>
      </c>
      <c r="HL117" s="199"/>
      <c r="HM117" s="199"/>
    </row>
    <row r="118" spans="1:221" x14ac:dyDescent="0.25">
      <c r="A118" s="267" t="str">
        <f>'WC samples'!B89</f>
        <v>ISST Indirect</v>
      </c>
      <c r="C118" s="266">
        <f>'WC samples'!A89</f>
        <v>41727</v>
      </c>
      <c r="D118" s="4">
        <f>'WC samples'!I89</f>
        <v>21.8</v>
      </c>
      <c r="E118" s="4">
        <f>'WC samples'!F89</f>
        <v>8.24</v>
      </c>
      <c r="AD118" s="83">
        <f>IF(E118&lt;&gt;"",10^(-2*$E118)/(10^(-2*$E118)+10^(-$E118-pKa!$B$2)+(10^(-pKa!$B$2-pKa!$C$2))),"")</f>
        <v>1.1254298732237848E-2</v>
      </c>
      <c r="AE118" s="84">
        <f>IF(E118&lt;&gt;"",10^(-$E118-pKa!$B$2)/(10^(-2*$E118)+10^(-$E118-pKa!$B$2)+10^(-pKa!$B$2-pKa!$C$2)),"")</f>
        <v>0.98020844262680717</v>
      </c>
      <c r="AF118" s="212">
        <f>IF(E118&lt;&gt;"",10^(-pKa!$B$2-pKa!$C$2)/(10^(-2*$E118)+10^(-$E118-pKa!$B$2)+10^(-pKa!$B$2-pKa!$C$2)),"")</f>
        <v>8.5372586409550137E-3</v>
      </c>
      <c r="AG118" s="152"/>
      <c r="AH118" s="222">
        <f>IF($AK118&lt;&gt;"",$AK118/'Elements and ions'!$G$3,IF($E118="","",""))</f>
        <v>3.4180727812190868</v>
      </c>
      <c r="AI118" s="287">
        <f t="shared" si="770"/>
        <v>3.427383387243996E-3</v>
      </c>
      <c r="AJ118" s="84">
        <f>IF(AI118&lt;&gt;"",AI118*1000*'Elements and ions'!$B$7,"")</f>
        <v>41.165273649171461</v>
      </c>
      <c r="AK118" s="99">
        <f>'WC samples'!H89</f>
        <v>208.56</v>
      </c>
      <c r="AL118" s="88">
        <f>IF($AK118&lt;&gt;"",$AK118/'Elements and ions'!$G$3*Minerals!$B$6/2,IF($E118="","","Enter Alk(HCO3-)"))</f>
        <v>171.05215432329831</v>
      </c>
      <c r="AM118" s="199"/>
      <c r="AN118" s="101">
        <f t="shared" si="837"/>
        <v>3.8572796509953164E-5</v>
      </c>
      <c r="AO118" s="94">
        <f t="shared" si="838"/>
        <v>3.3595501322954283E-3</v>
      </c>
      <c r="AP118" s="95">
        <f t="shared" si="839"/>
        <v>2.9260458438614467E-5</v>
      </c>
      <c r="AQ118" s="199"/>
      <c r="AR118" s="199"/>
      <c r="AS118" s="83">
        <f t="shared" si="760"/>
        <v>0.11344940149986224</v>
      </c>
      <c r="AT118" s="83">
        <f>IF(AN118&lt;&gt;"",AN118/'Henrys law constants'!$B$7*1000000,"")</f>
        <v>1134.4940149986223</v>
      </c>
      <c r="AU118" s="268">
        <f>'WC samples'!K89</f>
        <v>12.807</v>
      </c>
      <c r="AV118" s="269">
        <f>'WC samples'!M89</f>
        <v>2.6629</v>
      </c>
      <c r="AW118" s="269">
        <f>'WC samples'!O89</f>
        <v>63.488599999999998</v>
      </c>
      <c r="AX118" s="269">
        <f>'WC samples'!N89</f>
        <v>12.6021</v>
      </c>
      <c r="AY118" s="226">
        <f>AO118*'Elements and ions'!$G$3*1000</f>
        <v>204.98913289424897</v>
      </c>
      <c r="AZ118" s="269">
        <f>'WC samples'!Q89</f>
        <v>19.869800000000001</v>
      </c>
      <c r="BA118" s="269">
        <f>'WC samples'!T89</f>
        <v>24.176300000000001</v>
      </c>
      <c r="BB118" s="270">
        <f>'WC samples'!V89</f>
        <v>13.913399999999999</v>
      </c>
      <c r="BC118" s="222">
        <f>IF($E118&lt;&gt;"",10^-$E118*'Elements and ions'!B122*1000,"")</f>
        <v>0</v>
      </c>
      <c r="BE118" s="6"/>
      <c r="BF118" s="6"/>
      <c r="BG118" s="270">
        <f>'WC samples'!L89</f>
        <v>0</v>
      </c>
      <c r="BH118" s="3"/>
      <c r="BJ118" s="92">
        <f>IF($AN118&lt;&gt;"",$AN118*'Elements and ions'!$G$2*1000,"")</f>
        <v>2.3924692175146127</v>
      </c>
      <c r="BK118" s="229"/>
      <c r="BL118" s="230"/>
      <c r="BM118" s="101">
        <f>IF($E118&lt;&gt;"",(10^-14+$E118)*'Elements and ions'!$G$8,"")</f>
        <v>140.14048160000019</v>
      </c>
      <c r="BO118" s="102">
        <f>IF($AP118&lt;&gt;"",$AP118*'Elements and ions'!$G$4*1000,"")</f>
        <v>1.7558879243969716</v>
      </c>
      <c r="BP118" s="269">
        <f>'WC samples'!P89</f>
        <v>0.1087</v>
      </c>
      <c r="BQ118" s="270">
        <f>'WC samples'!R89</f>
        <v>0</v>
      </c>
      <c r="BR118" s="195"/>
      <c r="BS118" s="238">
        <f>IF($AU118&lt;&gt;"",$AU118/'Elements and ions'!$B$12,"")</f>
        <v>0.557073881169459</v>
      </c>
      <c r="BT118" s="239">
        <f>IF($AV118&lt;&gt;"",$AV118/'Elements and ions'!$B$20,"")</f>
        <v>6.8107820544627259E-2</v>
      </c>
      <c r="BU118" s="239">
        <f>IF($AW118&lt;&gt;"",$AW118/'Elements and ions'!$B$21, "")</f>
        <v>1.5841259543889414</v>
      </c>
      <c r="BV118" s="240">
        <f>IF($AX118&lt;&gt;"",$AX118/'Elements and ions'!$B$13, "")</f>
        <v>0.51849825138860317</v>
      </c>
      <c r="BW118" s="238">
        <f>IF($AY118&lt;&gt;"",$AY118/'Elements and ions'!$G$3,"")</f>
        <v>3.3595501322954284</v>
      </c>
      <c r="BX118" s="239">
        <f>IF($AZ118&lt;&gt;"",$AZ118/'Elements and ions'!$B$18,"")</f>
        <v>0.56045468648633401</v>
      </c>
      <c r="BY118" s="239">
        <f>IF($BA118&lt;&gt;"",$BA118/'Elements and ions'!$G$7,"")</f>
        <v>0.38990950715185413</v>
      </c>
      <c r="BZ118" s="241">
        <f>IF($BB118&lt;&gt;"",$BB118/'Elements and ions'!$G$5,"")</f>
        <v>0.14483680433384064</v>
      </c>
      <c r="CA118" s="91">
        <f t="shared" si="761"/>
        <v>5.7543993733715523E-6</v>
      </c>
      <c r="CB118" s="163" t="str">
        <f>IF($BD118&lt;&gt;"",$BD118/'Elements and ions'!$B$14,"")</f>
        <v/>
      </c>
      <c r="CC118" s="89" t="str">
        <f>IF($BE118&lt;&gt;"",$BE118/'Elements and ions'!$B$27, "")</f>
        <v/>
      </c>
      <c r="CD118" s="249" t="str">
        <f>IF($BF118&lt;&gt;"",$BF118/'Elements and ions'!$B$26,"")</f>
        <v/>
      </c>
      <c r="CE118" s="250">
        <f>IF($BG118&lt;&gt;"",$BG118/'Elements and ions'!$G$6,"")</f>
        <v>0</v>
      </c>
      <c r="CF118" s="91" t="str">
        <f>IF($BH118&lt;&gt;"",$BH118/'Elements and ions'!$G$15,"")</f>
        <v/>
      </c>
      <c r="CG118" s="89" t="str">
        <f>IF($BI118&lt;&gt;"",$BI118/'Elements and ions'!$G$16,"")</f>
        <v/>
      </c>
      <c r="CH118" s="90">
        <f>IF($BJ118&lt;&gt;"",$BJ118/'Elements and ions'!$G$2,"")</f>
        <v>3.8572796509953169E-2</v>
      </c>
      <c r="CI118" s="91" t="str">
        <f>IF($BK118&lt;&gt;"",$BK118/'Elements and ions'!$B$15, "")</f>
        <v/>
      </c>
      <c r="CJ118" s="88" t="str">
        <f>IF($BL118&lt;&gt;"", $BL118/'Elements and ions'!$G$17,"")</f>
        <v/>
      </c>
      <c r="CK118" s="89">
        <f t="shared" si="762"/>
        <v>1.7378008287493752E-3</v>
      </c>
      <c r="CL118" s="163" t="str">
        <f>IF($BN118&lt;&gt;"", $BN118/'Elements and ions'!$G$19,"")</f>
        <v/>
      </c>
      <c r="CM118" s="89">
        <f>IF($BO118&lt;&gt;"",$BO118/'Elements and ions'!$G$4,"")</f>
        <v>2.9260458438614467E-2</v>
      </c>
      <c r="CN118" s="89">
        <f>IF($BP118&lt;&gt;"",$BP118/'Elements and ions'!$B$10,"")</f>
        <v>5.72153348129805E-3</v>
      </c>
      <c r="CO118" s="104">
        <f>IF($BQ118&lt;&gt;"",$BQ118/'Elements and ions'!$G$18,"")</f>
        <v>0</v>
      </c>
      <c r="CP118" s="242"/>
      <c r="CQ118" s="238">
        <f t="shared" si="771"/>
        <v>5.5707388116945896E-4</v>
      </c>
      <c r="CR118" s="239">
        <f t="shared" si="772"/>
        <v>6.8107820544627257E-5</v>
      </c>
      <c r="CS118" s="239">
        <f t="shared" si="773"/>
        <v>1.5841259543889414E-3</v>
      </c>
      <c r="CT118" s="241">
        <f t="shared" si="774"/>
        <v>5.1849825138860313E-4</v>
      </c>
      <c r="CU118" s="238">
        <f t="shared" si="775"/>
        <v>3.3595501322954283E-3</v>
      </c>
      <c r="CV118" s="239">
        <f t="shared" si="776"/>
        <v>5.6045468648633398E-4</v>
      </c>
      <c r="CW118" s="239">
        <f t="shared" si="777"/>
        <v>3.8990950715185412E-4</v>
      </c>
      <c r="CX118" s="241">
        <f t="shared" si="778"/>
        <v>1.4483680433384063E-4</v>
      </c>
      <c r="CY118" s="258">
        <f t="shared" si="763"/>
        <v>5.754399373371552E-9</v>
      </c>
      <c r="CZ118" s="259" t="str">
        <f t="shared" si="779"/>
        <v/>
      </c>
      <c r="DA118" s="260" t="str">
        <f t="shared" si="780"/>
        <v/>
      </c>
      <c r="DB118" s="261" t="str">
        <f t="shared" si="781"/>
        <v/>
      </c>
      <c r="DC118" s="262">
        <f t="shared" si="782"/>
        <v>0</v>
      </c>
      <c r="DD118" s="263" t="str">
        <f t="shared" si="783"/>
        <v/>
      </c>
      <c r="DE118" s="259" t="str">
        <f t="shared" si="784"/>
        <v/>
      </c>
      <c r="DF118" s="260">
        <f t="shared" si="785"/>
        <v>3.8572796509953171E-5</v>
      </c>
      <c r="DG118" s="260" t="str">
        <f t="shared" si="786"/>
        <v/>
      </c>
      <c r="DH118" s="264" t="str">
        <f t="shared" si="787"/>
        <v/>
      </c>
      <c r="DI118" s="258">
        <f t="shared" si="764"/>
        <v>1.7378008287493753E-6</v>
      </c>
      <c r="DJ118" s="260" t="str">
        <f t="shared" si="788"/>
        <v/>
      </c>
      <c r="DK118" s="260">
        <f t="shared" si="789"/>
        <v>2.9260458438614467E-5</v>
      </c>
      <c r="DL118" s="260">
        <f t="shared" si="790"/>
        <v>5.7215334812980497E-6</v>
      </c>
      <c r="DM118" s="265">
        <f t="shared" si="791"/>
        <v>0</v>
      </c>
      <c r="DN118" s="242"/>
      <c r="DO118" s="238">
        <f t="shared" si="792"/>
        <v>0.557073881169459</v>
      </c>
      <c r="DP118" s="239">
        <f t="shared" si="793"/>
        <v>6.8107820544627259E-2</v>
      </c>
      <c r="DQ118" s="239">
        <f t="shared" si="794"/>
        <v>3.1682519087778829</v>
      </c>
      <c r="DR118" s="241">
        <f t="shared" si="795"/>
        <v>1.0369965027772063</v>
      </c>
      <c r="DS118" s="238">
        <f t="shared" si="796"/>
        <v>-3.3595501322954284</v>
      </c>
      <c r="DT118" s="239">
        <f t="shared" si="797"/>
        <v>-0.56045468648633401</v>
      </c>
      <c r="DU118" s="239">
        <f t="shared" si="798"/>
        <v>-0.38990950715185413</v>
      </c>
      <c r="DV118" s="241">
        <f t="shared" si="799"/>
        <v>-0.28967360866768127</v>
      </c>
      <c r="DW118" s="91">
        <f t="shared" si="765"/>
        <v>5.7543993733715523E-6</v>
      </c>
      <c r="DX118" s="89">
        <f t="shared" si="800"/>
        <v>0</v>
      </c>
      <c r="DY118" s="89">
        <f t="shared" si="801"/>
        <v>0</v>
      </c>
      <c r="DZ118" s="89">
        <f t="shared" si="802"/>
        <v>0</v>
      </c>
      <c r="EA118" s="90">
        <f t="shared" si="803"/>
        <v>0</v>
      </c>
      <c r="EB118" s="91">
        <f t="shared" si="766"/>
        <v>-1.7378008287493752E-3</v>
      </c>
      <c r="EC118" s="89">
        <f t="shared" si="804"/>
        <v>0</v>
      </c>
      <c r="ED118" s="89">
        <f t="shared" si="805"/>
        <v>-5.8520916877228935E-2</v>
      </c>
      <c r="EE118" s="89">
        <f t="shared" si="806"/>
        <v>-5.72153348129805E-3</v>
      </c>
      <c r="EF118" s="90">
        <f t="shared" si="807"/>
        <v>0</v>
      </c>
      <c r="EG118" s="242"/>
      <c r="EH118" s="245">
        <f t="shared" si="808"/>
        <v>4.8304358676685482</v>
      </c>
      <c r="EI118" s="246">
        <f t="shared" si="809"/>
        <v>-4.6655681857885742</v>
      </c>
      <c r="EJ118" s="198">
        <f t="shared" si="810"/>
        <v>1.7361795651293139</v>
      </c>
      <c r="EK118" s="198">
        <f t="shared" si="811"/>
        <v>1.146025282101004E-2</v>
      </c>
      <c r="EL118" s="101">
        <f>IF(AND(CS118&lt;&gt;"",DK118&lt;&gt;""),LOG(CS118*DK118/Minerals!$C$6),"")</f>
        <v>1.1462428419084085</v>
      </c>
      <c r="EM118" s="94">
        <f>IF(AND(CS118&lt;&gt;"",DK118&lt;&gt;""),LOG(CS118*DK118/Minerals!$C$5),"")</f>
        <v>1.0157633125521908</v>
      </c>
      <c r="EN118" s="94">
        <f>IF(AND(CS118&lt;&gt;"",DL118&lt;&gt;""),LOG(CS118*DL118^2/Minerals!$C$2),"")</f>
        <v>-2.7152604586451869</v>
      </c>
      <c r="EO118" s="94">
        <f>IF(AND(CS118&lt;&gt;"",CX118&lt;&gt;""),LOG($CS118*$CX118/Minerals!$C$3),"")</f>
        <v>-2.039350991521601</v>
      </c>
      <c r="EP118" s="95">
        <f>IF(AND(CS118&lt;&gt;"",CX118&lt;&gt;""),LOG($CS118*$CX118/Minerals!$C$4),"")</f>
        <v>-2.2793355029875033</v>
      </c>
      <c r="EQ118" s="199"/>
      <c r="ER118" s="101">
        <f t="shared" si="843"/>
        <v>0.89464293152393815</v>
      </c>
      <c r="ES118" s="94">
        <f t="shared" si="843"/>
        <v>0.89464293152393815</v>
      </c>
      <c r="ET118" s="94">
        <f t="shared" si="844"/>
        <v>0.64061770885783675</v>
      </c>
      <c r="EU118" s="94">
        <f t="shared" si="844"/>
        <v>0.64061770885783675</v>
      </c>
      <c r="EV118" s="95">
        <f t="shared" si="844"/>
        <v>0.64061770885783675</v>
      </c>
      <c r="EW118" s="101">
        <f t="shared" si="845"/>
        <v>0.89464293152393815</v>
      </c>
      <c r="EX118" s="94">
        <f t="shared" si="758"/>
        <v>0.64061770885783675</v>
      </c>
      <c r="EY118" s="94">
        <f t="shared" si="845"/>
        <v>0.89464293152393815</v>
      </c>
      <c r="EZ118" s="94">
        <f t="shared" si="845"/>
        <v>0.89464293152393815</v>
      </c>
      <c r="FA118" s="94">
        <f t="shared" si="845"/>
        <v>0.89464293152393815</v>
      </c>
      <c r="FB118" s="95">
        <f t="shared" si="759"/>
        <v>0.64061770885783675</v>
      </c>
      <c r="FC118" s="199"/>
      <c r="FD118" s="101">
        <f t="shared" si="812"/>
        <v>4.9838221012486273E-4</v>
      </c>
      <c r="FE118" s="94">
        <f t="shared" si="813"/>
        <v>6.0932180231751627E-5</v>
      </c>
      <c r="FF118" s="94">
        <f t="shared" si="814"/>
        <v>1.0148191394428777E-3</v>
      </c>
      <c r="FG118" s="94">
        <f t="shared" si="815"/>
        <v>3.3215916185136163E-4</v>
      </c>
      <c r="FH118" s="95" t="str">
        <f t="shared" si="816"/>
        <v/>
      </c>
      <c r="FI118" s="101">
        <f t="shared" si="817"/>
        <v>3.005597778958416E-3</v>
      </c>
      <c r="FJ118" s="94">
        <f t="shared" si="818"/>
        <v>1.8744767845075156E-5</v>
      </c>
      <c r="FK118" s="94">
        <f t="shared" si="819"/>
        <v>5.014068237044635E-4</v>
      </c>
      <c r="FL118" s="94">
        <f t="shared" si="820"/>
        <v>3.4882978450738867E-4</v>
      </c>
      <c r="FM118" s="94">
        <f t="shared" si="821"/>
        <v>5.1187294865208501E-6</v>
      </c>
      <c r="FN118" s="95">
        <f t="shared" si="822"/>
        <v>9.2785021750635784E-5</v>
      </c>
      <c r="FO118" s="199"/>
      <c r="FP118" s="101">
        <f>IF(EL118&lt;&gt;"",LOG(FF118*FJ118/Minerals!$C$6),"")</f>
        <v>0.75944072165654508</v>
      </c>
      <c r="FQ118" s="94">
        <f>IF(EL118&lt;&gt;"",LOG(FF118*FJ118/Minerals!$C$5),"")</f>
        <v>0.62896119230032732</v>
      </c>
      <c r="FR118" s="94">
        <f>IF(EN118&lt;&gt;"",LOG(FF118*FM118^2/Minerals!$C$2),"")</f>
        <v>-3.0053620488340842</v>
      </c>
      <c r="FS118" s="94">
        <f>IF(EO118&lt;&gt;"",LOG($FF118*$FN118/Minerals!$C$3),"")</f>
        <v>-2.4261531117734645</v>
      </c>
      <c r="FT118" s="95">
        <f>IF(EP118&lt;&gt;"",LOG($FF118*$FN118/Minerals!$C$4),"")</f>
        <v>-2.6661376232393668</v>
      </c>
      <c r="FU118" s="96"/>
      <c r="FV118" s="101">
        <f>IF(FP118&lt;&gt;"",LOG(FF118*FJ118/(EXP(-1*Minerals!$E$6/'Other Constants'!$B$2*(1/(273.15+'ppm-mgL-1'!$D118)-1/298.15)+LN(Minerals!$C$6)))),"")</f>
        <v>-0.50212375228740103</v>
      </c>
      <c r="FW118" s="94">
        <f>IF(FP118&lt;&gt;"",LOG(FF118*FJ118/(EXP(-1*Minerals!$E$5/'Other Constants'!$B$2*(1/(273.15+'ppm-mgL-1'!$D118)-1/298.15)+LN(Minerals!$C$5)))),"")</f>
        <v>-0.63271733086000226</v>
      </c>
      <c r="FX118" s="94">
        <f>IF(FR118&lt;&gt;"",LOG(FF118*FM118^2/(EXP(-1*Minerals!$E$2/'Other Constants'!$B$2*(1/(273.15+'ppm-mgL-1'!$D118)-1/298.15)+LN(Minerals!$C$2)))),"")</f>
        <v>-2.9520250319718491</v>
      </c>
      <c r="FY118" s="94">
        <f>IF(FS118&lt;&gt;"",LOG($FF118*$FN118/(EXP(-1*Minerals!$E$3/'Other Constants'!$B$2*(1/(273.15+'ppm-mgL-1'!$D118)-1/298.15)+LN(Minerals!$C$3)))),"")</f>
        <v>-1.3386406105846991</v>
      </c>
      <c r="FZ118" s="95">
        <f>IF(FT118&lt;&gt;"",LOG($FF118*$FN118/(EXP(-1*Minerals!$E$4/'Other Constants'!$B$2*(1/(273.15+'ppm-mgL-1'!$D118)-1/298.15)+LN(Minerals!$C$4)))),"")</f>
        <v>-2.6972920675149203</v>
      </c>
      <c r="GA118" s="96"/>
      <c r="GB118" s="96"/>
      <c r="GC118" s="101">
        <f>10^(-1825000*(79.755*EXP(-0.0046*($D118-20))*($D118+273.15))^-1.5*$EK118^0.5/(1+'Elements and ions'!$D$12*$EK118^0.5/(2*(79.755*EXP(-0.0046*($D118-20))*($D118+273.15))^0.5)))</f>
        <v>0.89518654665128272</v>
      </c>
      <c r="GD118" s="94">
        <f>10^(-1825000*(79.755*EXP(-0.0046*($D118-20))*($D118+273.15))^-1.5*$EK118^0.5/(1+'Elements and ions'!$D$20*$EK118^0.5/(2*(79.755*EXP(-0.0046*($D118-20))*($D118+273.15))^0.5)))</f>
        <v>0.89204901782080315</v>
      </c>
      <c r="GE118" s="94">
        <f>10^(-1825000*(79.755*EXP(-0.0046*($D118-20))*($D118+273.15))^-1.5*4*$EK118^0.5/(1+'Elements and ions'!$D$21*$EK118^0.5/(2*(79.755*EXP(-0.0046*($D118-20))*($D118+273.15))^0.5)))</f>
        <v>0.65886001550470974</v>
      </c>
      <c r="GF118" s="94">
        <f>10^(-1825000*(79.755*EXP(-0.0046*($D118-20))*($D118+273.15))^-1.5*4*$EK118^0.5/(1+'Elements and ions'!$D$13*$EK118^0.5/(2*(79.755*EXP(-0.0046*($D118-20))*($D118+273.15))^0.5)))</f>
        <v>0.67408179856587469</v>
      </c>
      <c r="GG118" s="95">
        <f>10^(-1825000*(79.755*EXP(-0.0046*($D118-20))*($D118+273.15))^-1.5*4*$EK118^0.5/(1+'Elements and ions'!$D$27*$EK118^0.5/(2*(79.755*EXP(-0.0046*($D118-20))*($D118+273.15))^0.5)))</f>
        <v>0.65886001550470974</v>
      </c>
      <c r="GH118" s="101">
        <f>10^(-1825000*(79.755*EXP(-0.0046*($D118-20))*($D118+273.15))^-1.5*$EK118^0.5/(1+'Elements and ions'!$G$3*$EK118^0.5/(2*(79.755*EXP(-0.0046*($D118-20))*($D118+273.15))^0.5)))</f>
        <v>0.88373246744120515</v>
      </c>
      <c r="GI118" s="94">
        <f>10^(-1825000*(79.755*EXP(-0.0046*($D118-20))*($D118+273.15))^-1.5*4*$EK118^0.5/(1+'Elements and ions'!$G$4*$EK118^0.5/(2*(79.755*EXP(-0.0046*($D118-20))*($D118+273.15))^0.5)))</f>
        <v>0.60983024945740394</v>
      </c>
      <c r="GJ118" s="94">
        <f>10^(-1825000*(79.755*EXP(-0.0046*($D118-20))*($D118+273.15))^-1.5*$EK118^0.5/(1+'Elements and ions'!$D$18*$EK118^0.5/(2*(79.755*EXP(-0.0046*($D118-20))*($D118+273.15))^0.5)))</f>
        <v>0.89204901782080315</v>
      </c>
      <c r="GK118" s="94">
        <f>10^(-1825000*(79.755*EXP(-0.0046*($D118-20))*($D118+273.15))^-1.5*$EK118^0.5/(1+'Elements and ions'!$I$7*$EK118^0.5/(2*(79.755*EXP(-0.0046*($D118-20))*($D118+273.15))^0.5)))</f>
        <v>0.89204901782080315</v>
      </c>
      <c r="GL118" s="94">
        <f>10^(-1825000*(79.755*EXP(-0.0046*($D118-20))*($D118+273.15))^-1.5*$EK118^0.5/(1+'Elements and ions'!$D$10*$EK118^0.5/(2*(79.755*EXP(-0.0046*($D118-20))*($D118+273.15))^0.5)))</f>
        <v>0.8936408902098204</v>
      </c>
      <c r="GM118" s="95">
        <f>10^(-1825000*(79.755*EXP(-0.0046*($D118-20))*($D118+273.15))^-1.5*4*$EK118^0.5/(1+'Elements and ions'!$I$5*$EK118^0.5/(2*(79.755*EXP(-0.0046*($D118-20))*($D118+273.15))^0.5)))</f>
        <v>0.6421761720428053</v>
      </c>
      <c r="GN118" s="96"/>
      <c r="GO118" s="101">
        <f t="shared" si="823"/>
        <v>4.9868504391371502E-4</v>
      </c>
      <c r="GP118" s="94">
        <f t="shared" si="824"/>
        <v>6.0755514422750264E-5</v>
      </c>
      <c r="GQ118" s="94">
        <f t="shared" si="825"/>
        <v>1.0437172508701111E-3</v>
      </c>
      <c r="GR118" s="94">
        <f t="shared" si="826"/>
        <v>3.4951023384929061E-4</v>
      </c>
      <c r="GS118" s="95" t="str">
        <f t="shared" si="827"/>
        <v/>
      </c>
      <c r="GT118" s="101">
        <f t="shared" si="828"/>
        <v>2.9689435279058661E-3</v>
      </c>
      <c r="GU118" s="94">
        <f t="shared" si="829"/>
        <v>1.7843912668858262E-5</v>
      </c>
      <c r="GV118" s="94">
        <f t="shared" si="830"/>
        <v>4.9995305261320039E-4</v>
      </c>
      <c r="GW118" s="94">
        <f t="shared" si="831"/>
        <v>3.478183928938049E-4</v>
      </c>
      <c r="GX118" s="94">
        <f t="shared" si="832"/>
        <v>5.1129962735924821E-6</v>
      </c>
      <c r="GY118" s="102">
        <f t="shared" si="833"/>
        <v>9.3010744578018564E-5</v>
      </c>
      <c r="GZ118" s="199"/>
      <c r="HA118" s="92">
        <f>IF(AND(GQ118&lt;&gt;"",GU118&lt;&gt;""),LOG(GQ118*GU118/Minerals!$C$6),"")</f>
        <v>0.75024495696338533</v>
      </c>
      <c r="HB118" s="94">
        <f>IF(AND(GQ118&lt;&gt;"",GU118&lt;&gt;""),LOG(GQ118*GU118/Minerals!$C$5),"")</f>
        <v>0.61976542760716757</v>
      </c>
      <c r="HC118" s="94">
        <f>IF(AND(GQ118&lt;&gt;"",GX118&lt;&gt;""),LOG(GQ118*GX118^2/Minerals!$C$2),"")</f>
        <v>-2.994141241460416</v>
      </c>
      <c r="HD118" s="94">
        <f>IF(AND(GQ118&lt;&gt;"",GY118&lt;&gt;""),LOG($GQ118*$GY118/Minerals!$C$3),"")</f>
        <v>-2.4129036523476262</v>
      </c>
      <c r="HE118" s="102">
        <f>IF(AND(GQ118&lt;&gt;"",GY118&lt;&gt;""),LOG($GQ118*$GY118/Minerals!$C$3),"")</f>
        <v>-2.4129036523476262</v>
      </c>
      <c r="HF118" s="199"/>
      <c r="HG118" s="92">
        <f>IF(HA118&lt;&gt;"",LOG(GQ118*GU118/(EXP(-1*Minerals!$E$6/'Other Constants'!$B$2*(1/(273.15+'ppm-mgL-1'!$D118)-1/298.15)+LN(Minerals!$C$6)))),"")</f>
        <v>-0.51131951698056077</v>
      </c>
      <c r="HH118" s="94">
        <f>IF(HA118&lt;&gt;"",LOG(GQ118*GU118/(EXP(-1*Minerals!$E$5/'Other Constants'!$B$2*(1/(273.15+'ppm-mgL-1'!$D118)-1/298.15)+LN(Minerals!$C$5)))),"")</f>
        <v>-0.64191309555316201</v>
      </c>
      <c r="HI118" s="94">
        <f>IF(HC118&lt;&gt;"",LOG(GQ118*GX118^2/(EXP(-1*Minerals!$E$2/'Other Constants'!$B$2*(1/(273.15+'ppm-mgL-1'!$D118)-1/298.15)+LN(Minerals!$C$2)))),"")</f>
        <v>-2.9408042245981809</v>
      </c>
      <c r="HJ118" s="94">
        <f>IF(HD118&lt;&gt;"",LOG($FF118*$FN118/(EXP(-1*Minerals!$E$3/'Other Constants'!$B$2*(1/(273.15+'ppm-mgL-1'!$D118)-1/298.15)+LN(Minerals!$C$3)))),"")</f>
        <v>-1.3386406105846991</v>
      </c>
      <c r="HK118" s="95">
        <f>IF(HE118&lt;&gt;"",LOG($FF118*$FN118/(EXP(-1*Minerals!$E$4/'Other Constants'!$B$2*(1/(273.15+'ppm-mgL-1'!$D118)-1/298.15)+LN(Minerals!$C$4)))),"")</f>
        <v>-2.6972920675149203</v>
      </c>
      <c r="HL118" s="199"/>
      <c r="HM118" s="199"/>
    </row>
    <row r="119" spans="1:221" x14ac:dyDescent="0.25">
      <c r="A119" s="271" t="s">
        <v>373</v>
      </c>
      <c r="C119" s="277">
        <v>41530</v>
      </c>
      <c r="D119" s="278">
        <v>23.7</v>
      </c>
      <c r="E119">
        <v>8.5500000000000007</v>
      </c>
      <c r="F119"/>
      <c r="G119" s="278">
        <v>726.2</v>
      </c>
      <c r="H119" s="271"/>
      <c r="I119" s="278"/>
      <c r="AD119" s="83">
        <f>IF(E119&lt;&gt;"",10^(-2*$E119)/(10^(-2*$E119)+10^(-$E119-pKa!$B$2)+(10^(-pKa!$B$2-pKa!$C$2))),"")</f>
        <v>5.4948008049043552E-3</v>
      </c>
      <c r="AE119" s="84">
        <f>IF(E119&lt;&gt;"",10^(-$E119-pKa!$B$2)/(10^(-2*$E119)+10^(-$E119-pKa!$B$2)+10^(-pKa!$B$2-pKa!$C$2)),"")</f>
        <v>0.97712911336267139</v>
      </c>
      <c r="AF119" s="212">
        <f>IF(E119&lt;&gt;"",10^(-pKa!$B$2-pKa!$C$2)/(10^(-2*$E119)+10^(-$E119-pKa!$B$2)+10^(-pKa!$B$2-pKa!$C$2)),"")</f>
        <v>1.7376085832424313E-2</v>
      </c>
      <c r="AG119" s="152"/>
      <c r="AH119" s="163">
        <f>IF($AI119&lt;&gt;"",$AI119*1000*(AE119+2*AF119)+10^(-14+$E119)-10^(-$E119),IF($E119="","","Enter Alk(HCO3-)"))</f>
        <v>7.2473864826127485</v>
      </c>
      <c r="AI119" s="288">
        <f>86.0240658/1000/12.0107</f>
        <v>7.1622857785141585E-3</v>
      </c>
      <c r="AJ119" s="84">
        <f>IF(AI119&lt;&gt;"",AI119*1000*'Elements and ions'!$B$7,"")</f>
        <v>86.024065800000002</v>
      </c>
      <c r="AK119" s="89">
        <f>IF($AI119&lt;&gt;"",$AH119*'Elements and ions'!$G$3,IF($E119="","","Enter DIC"))</f>
        <v>442.21262142774481</v>
      </c>
      <c r="AL119" s="88">
        <f>IF($AK119&lt;&gt;"",$AK119/'Elements and ions'!$G$3*Minerals!$B$6/2,IF($E119="","","Enter Alk(HCO3-)"))</f>
        <v>362.68422307330695</v>
      </c>
      <c r="AM119" s="199"/>
      <c r="AN119" s="101">
        <f t="shared" ref="AN119:AN123" si="846">IF(AND($E119&lt;&gt;"",AI119&lt;&gt;""),AI119*AD119,"")</f>
        <v>3.9355333660734613E-5</v>
      </c>
      <c r="AO119" s="94">
        <f t="shared" ref="AO119:AO123" si="847">IF(AND($E119&lt;&gt;"",AI119&lt;&gt;""),AI119*AE119,"")</f>
        <v>6.9984779524096107E-3</v>
      </c>
      <c r="AP119" s="95">
        <f t="shared" ref="AP119:AP123" si="848">IF(AND($E119&lt;&gt;"",AI119&lt;&gt;""),AI119*AF119,"")</f>
        <v>1.2445249244381402E-4</v>
      </c>
      <c r="AQ119" s="199"/>
      <c r="AR119" s="199"/>
      <c r="AS119" s="83">
        <f t="shared" si="760"/>
        <v>0.1157509813551018</v>
      </c>
      <c r="AT119" s="83">
        <f>IF(AN119&lt;&gt;"",AN119/'Henrys law constants'!$B$7*1000000,"")</f>
        <v>1157.5098135510179</v>
      </c>
      <c r="AU119" s="268">
        <f>'WC samples'!K97</f>
        <v>0</v>
      </c>
      <c r="AV119" s="269">
        <f>'WC samples'!M97</f>
        <v>0</v>
      </c>
      <c r="AW119" s="269">
        <f>'WC samples'!O97</f>
        <v>0</v>
      </c>
      <c r="AX119" s="269">
        <f>'WC samples'!N97</f>
        <v>0</v>
      </c>
      <c r="AY119" s="226">
        <f>AO119*'Elements and ions'!$G$3*1000</f>
        <v>427.02500946570484</v>
      </c>
      <c r="AZ119" s="269">
        <f>'WC samples'!Q97</f>
        <v>0</v>
      </c>
      <c r="BA119" s="269">
        <f>'WC samples'!T97</f>
        <v>0</v>
      </c>
      <c r="BB119" s="270">
        <f>'WC samples'!V97</f>
        <v>0</v>
      </c>
      <c r="BC119" s="222">
        <f>IF($E119&lt;&gt;"",10^-$E119*'Elements and ions'!B130*1000,"")</f>
        <v>0</v>
      </c>
      <c r="BE119" s="6"/>
      <c r="BF119" s="6"/>
      <c r="BG119" s="270">
        <f>'WC samples'!L97</f>
        <v>0</v>
      </c>
      <c r="BH119" s="3"/>
      <c r="BJ119" s="92">
        <f>IF($AN119&lt;&gt;"",$AN119*'Elements and ions'!$G$2*1000,"")</f>
        <v>2.4410059121336585</v>
      </c>
      <c r="BK119" s="229"/>
      <c r="BL119" s="230"/>
      <c r="BM119" s="101">
        <f>IF($E119&lt;&gt;"",(10^-14+$E119)*'Elements and ions'!$G$8,"")</f>
        <v>145.4127570000002</v>
      </c>
      <c r="BO119" s="102">
        <f>IF($AP119&lt;&gt;"",$AP119*'Elements and ions'!$G$4*1000,"")</f>
        <v>7.4682571738115913</v>
      </c>
      <c r="BP119" s="269">
        <f>'WC samples'!P97</f>
        <v>0</v>
      </c>
      <c r="BQ119" s="270">
        <f>'WC samples'!R97</f>
        <v>0</v>
      </c>
      <c r="BR119" s="195"/>
      <c r="BS119" s="238">
        <f>IF($AU119&lt;&gt;"",$AU119/'Elements and ions'!$B$12,"")</f>
        <v>0</v>
      </c>
      <c r="BT119" s="239">
        <f>IF($AV119&lt;&gt;"",$AV119/'Elements and ions'!$B$20,"")</f>
        <v>0</v>
      </c>
      <c r="BU119" s="239">
        <f>IF($AW119&lt;&gt;"",$AW119/'Elements and ions'!$B$21, "")</f>
        <v>0</v>
      </c>
      <c r="BV119" s="240">
        <f>IF($AX119&lt;&gt;"",$AX119/'Elements and ions'!$B$13, "")</f>
        <v>0</v>
      </c>
      <c r="BW119" s="238">
        <f>IF($AY119&lt;&gt;"",$AY119/'Elements and ions'!$G$3,"")</f>
        <v>6.998477952409611</v>
      </c>
      <c r="BX119" s="239">
        <f>IF($AZ119&lt;&gt;"",$AZ119/'Elements and ions'!$B$18,"")</f>
        <v>0</v>
      </c>
      <c r="BY119" s="239">
        <f>IF($BA119&lt;&gt;"",$BA119/'Elements and ions'!$G$7,"")</f>
        <v>0</v>
      </c>
      <c r="BZ119" s="241">
        <f>IF($BB119&lt;&gt;"",$BB119/'Elements and ions'!$G$5,"")</f>
        <v>0</v>
      </c>
      <c r="CA119" s="91">
        <f t="shared" si="761"/>
        <v>2.8183829312644441E-6</v>
      </c>
      <c r="CB119" s="163" t="str">
        <f>IF($BD119&lt;&gt;"",$BD119/'Elements and ions'!$B$14,"")</f>
        <v/>
      </c>
      <c r="CC119" s="89" t="str">
        <f>IF($BE119&lt;&gt;"",$BE119/'Elements and ions'!$B$27, "")</f>
        <v/>
      </c>
      <c r="CD119" s="249" t="str">
        <f>IF($BF119&lt;&gt;"",$BF119/'Elements and ions'!$B$26,"")</f>
        <v/>
      </c>
      <c r="CE119" s="250">
        <f>IF($BG119&lt;&gt;"",$BG119/'Elements and ions'!$G$6,"")</f>
        <v>0</v>
      </c>
      <c r="CF119" s="91" t="str">
        <f>IF($BH119&lt;&gt;"",$BH119/'Elements and ions'!$G$15,"")</f>
        <v/>
      </c>
      <c r="CG119" s="89" t="str">
        <f>IF($BI119&lt;&gt;"",$BI119/'Elements and ions'!$G$16,"")</f>
        <v/>
      </c>
      <c r="CH119" s="90">
        <f>IF($BJ119&lt;&gt;"",$BJ119/'Elements and ions'!$G$2,"")</f>
        <v>3.9355333660734612E-2</v>
      </c>
      <c r="CI119" s="91" t="str">
        <f>IF($BK119&lt;&gt;"",$BK119/'Elements and ions'!$B$15, "")</f>
        <v/>
      </c>
      <c r="CJ119" s="88" t="str">
        <f>IF($BL119&lt;&gt;"", $BL119/'Elements and ions'!$G$17,"")</f>
        <v/>
      </c>
      <c r="CK119" s="89">
        <f t="shared" si="762"/>
        <v>3.5481338923357567E-3</v>
      </c>
      <c r="CL119" s="163" t="str">
        <f>IF($BN119&lt;&gt;"", $BN119/'Elements and ions'!$G$19,"")</f>
        <v/>
      </c>
      <c r="CM119" s="89">
        <f>IF($BO119&lt;&gt;"",$BO119/'Elements and ions'!$G$4,"")</f>
        <v>0.12445249244381403</v>
      </c>
      <c r="CN119" s="89">
        <f>IF($BP119&lt;&gt;"",$BP119/'Elements and ions'!$B$10,"")</f>
        <v>0</v>
      </c>
      <c r="CO119" s="104">
        <f>IF($BQ119&lt;&gt;"",$BQ119/'Elements and ions'!$G$18,"")</f>
        <v>0</v>
      </c>
      <c r="CP119" s="242"/>
      <c r="CQ119" s="238">
        <f t="shared" ref="CQ119:CQ131" si="849">IF($BS119&lt;&gt;"",BS119/1000,"")</f>
        <v>0</v>
      </c>
      <c r="CR119" s="239">
        <f t="shared" ref="CR119:CR131" si="850">IF($BT119&lt;&gt;"",BT119/1000,"")</f>
        <v>0</v>
      </c>
      <c r="CS119" s="239">
        <f t="shared" ref="CS119:CS131" si="851">IF($BU119&lt;&gt;"",BU119/1000,"")</f>
        <v>0</v>
      </c>
      <c r="CT119" s="241">
        <f t="shared" ref="CT119:CT131" si="852">IF($BV119&lt;&gt;"",BV119/1000,"")</f>
        <v>0</v>
      </c>
      <c r="CU119" s="238">
        <f t="shared" ref="CU119:CU131" si="853">IF($BW119&lt;&gt;"",BW119/1000,"")</f>
        <v>6.9984779524096107E-3</v>
      </c>
      <c r="CV119" s="239">
        <f t="shared" ref="CV119:CV131" si="854">IF($BX119&lt;&gt;"",BX119/1000,"")</f>
        <v>0</v>
      </c>
      <c r="CW119" s="239">
        <f t="shared" ref="CW119:CW131" si="855">IF($BY119&lt;&gt;"",BY119/1000,"")</f>
        <v>0</v>
      </c>
      <c r="CX119" s="241">
        <f t="shared" ref="CX119:CX131" si="856">IF(BZ119&lt;&gt;"",BZ119/1000,"")</f>
        <v>0</v>
      </c>
      <c r="CY119" s="258">
        <f t="shared" si="763"/>
        <v>2.818382931264444E-9</v>
      </c>
      <c r="CZ119" s="259" t="str">
        <f t="shared" ref="CZ119:CZ131" si="857">IF(CB119&lt;&gt;"",CB119/1000,"")</f>
        <v/>
      </c>
      <c r="DA119" s="260" t="str">
        <f t="shared" ref="DA119:DA131" si="858">IF(CC119&lt;&gt;"",CC119/1000,"")</f>
        <v/>
      </c>
      <c r="DB119" s="261" t="str">
        <f t="shared" ref="DB119:DB131" si="859">IF(CD119&lt;&gt;"",CD119/1000,"")</f>
        <v/>
      </c>
      <c r="DC119" s="262">
        <f t="shared" ref="DC119:DC131" si="860">IF(CE119&lt;&gt;"",CE119/1000,"")</f>
        <v>0</v>
      </c>
      <c r="DD119" s="263" t="str">
        <f t="shared" ref="DD119:DD131" si="861">IF(CF119&lt;&gt;"",CF119/1000,"")</f>
        <v/>
      </c>
      <c r="DE119" s="259" t="str">
        <f t="shared" ref="DE119:DE131" si="862">IF(CG119&lt;&gt;"",CG119/1000,"")</f>
        <v/>
      </c>
      <c r="DF119" s="260">
        <f t="shared" ref="DF119:DF131" si="863">IF(CH119&lt;&gt;"",CH119/1000,"")</f>
        <v>3.9355333660734613E-5</v>
      </c>
      <c r="DG119" s="260" t="str">
        <f t="shared" ref="DG119:DG131" si="864">IF(CI119&lt;&gt;"",CI119/1000,"")</f>
        <v/>
      </c>
      <c r="DH119" s="264" t="str">
        <f t="shared" ref="DH119:DH131" si="865">IF(CJ119&lt;&gt;"",CJ119/1000,"")</f>
        <v/>
      </c>
      <c r="DI119" s="258">
        <f t="shared" si="764"/>
        <v>3.5481338923357567E-6</v>
      </c>
      <c r="DJ119" s="260" t="str">
        <f t="shared" ref="DJ119:DJ131" si="866">IF(CL119&lt;&gt;"",CL119/1000,"")</f>
        <v/>
      </c>
      <c r="DK119" s="260">
        <f t="shared" ref="DK119:DK131" si="867">IF(CM119&lt;&gt;"",CM119/1000,"")</f>
        <v>1.2445249244381402E-4</v>
      </c>
      <c r="DL119" s="260">
        <f t="shared" ref="DL119:DL131" si="868">IF(CN119&lt;&gt;"",CN119/1000,"")</f>
        <v>0</v>
      </c>
      <c r="DM119" s="265">
        <f t="shared" ref="DM119:DM131" si="869">IF(CO119&lt;&gt;"",CO119/1000,"")</f>
        <v>0</v>
      </c>
      <c r="DN119" s="242"/>
      <c r="DO119" s="238">
        <f t="shared" ref="DO119:DO131" si="870">IF($BS119&lt;&gt;"",BS119,0)</f>
        <v>0</v>
      </c>
      <c r="DP119" s="239">
        <f t="shared" ref="DP119:DP131" si="871">IF($BT119&lt;&gt;"",BT119,0)</f>
        <v>0</v>
      </c>
      <c r="DQ119" s="239">
        <f t="shared" ref="DQ119:DQ131" si="872">IF($BU119&lt;&gt;"",BU119*2,0)</f>
        <v>0</v>
      </c>
      <c r="DR119" s="241">
        <f t="shared" ref="DR119:DR131" si="873">IF($BV119&lt;&gt;"",BV119*2,0)</f>
        <v>0</v>
      </c>
      <c r="DS119" s="238">
        <f t="shared" ref="DS119:DS131" si="874">IF($BW119&lt;&gt;"",BW119*-1,0)</f>
        <v>-6.998477952409611</v>
      </c>
      <c r="DT119" s="239">
        <f t="shared" ref="DT119:DT131" si="875">IF($BX119&lt;&gt;"",BX119*-1,0)</f>
        <v>0</v>
      </c>
      <c r="DU119" s="239">
        <f t="shared" ref="DU119:DU131" si="876">IF($BY119&lt;&gt;"",BY119*-1,0)</f>
        <v>0</v>
      </c>
      <c r="DV119" s="241">
        <f t="shared" ref="DV119:DV131" si="877">IF($BZ119&lt;&gt;"",BZ119*-2,0)</f>
        <v>0</v>
      </c>
      <c r="DW119" s="91">
        <f t="shared" si="765"/>
        <v>2.8183829312644441E-6</v>
      </c>
      <c r="DX119" s="89">
        <f t="shared" ref="DX119:DX131" si="878">IF(CB119&lt;&gt;"",CB119*3,0)</f>
        <v>0</v>
      </c>
      <c r="DY119" s="89">
        <f t="shared" ref="DY119:DY131" si="879">IF(CC119&lt;&gt;"",CC119*2,0)</f>
        <v>0</v>
      </c>
      <c r="DZ119" s="89">
        <f t="shared" ref="DZ119:DZ131" si="880">IF(CD119&lt;&gt;"",CD119*2,0)</f>
        <v>0</v>
      </c>
      <c r="EA119" s="90">
        <f t="shared" ref="EA119:EA131" si="881">IF(CE119&lt;&gt;"",CE119,0)</f>
        <v>0</v>
      </c>
      <c r="EB119" s="91">
        <f t="shared" si="766"/>
        <v>-3.5481338923357567E-3</v>
      </c>
      <c r="EC119" s="89">
        <f t="shared" ref="EC119:EC131" si="882">IF(CL119&lt;&gt;"",CL119*-1,0)</f>
        <v>0</v>
      </c>
      <c r="ED119" s="89">
        <f t="shared" ref="ED119:ED131" si="883">IF(CM119&lt;&gt;"",CM119*-2,0)</f>
        <v>-0.24890498488762805</v>
      </c>
      <c r="EE119" s="89">
        <f t="shared" ref="EE119:EE131" si="884">IF(CN119&lt;&gt;"",CN119*-1,0)</f>
        <v>0</v>
      </c>
      <c r="EF119" s="90">
        <f t="shared" ref="EF119:EF131" si="885">IF(CO119&lt;&gt;"",CO119*-2,0)</f>
        <v>0</v>
      </c>
      <c r="EG119" s="242"/>
      <c r="EH119" s="245">
        <f t="shared" ref="EH119:EH131" si="886">SUM(DO119:DR119,DW119:EA119)</f>
        <v>2.8183829312644441E-6</v>
      </c>
      <c r="EI119" s="246">
        <f t="shared" ref="EI119:EI131" si="887">SUM(DS119:DV119,EB119:EF119)</f>
        <v>-7.2509310711895747</v>
      </c>
      <c r="EJ119" s="198">
        <f t="shared" ref="EJ119:EJ131" si="888">IF(EH119&lt;&gt;EI119,(EH119+EI119)/(EH119-EI119)*100,0)</f>
        <v>-99.999922261519018</v>
      </c>
      <c r="EK119" s="198">
        <f t="shared" ref="EK119:EK131" si="889">0.5*(DO119+DP119+4*DQ119+4*DR119+4*DY119-DS119-DT119-4*DV119-DU119-EE119)/1000</f>
        <v>3.4992389762048054E-3</v>
      </c>
      <c r="EL119" s="101" t="e">
        <f>IF(AND(CS119&lt;&gt;"",DK119&lt;&gt;""),LOG(CS119*DK119/Minerals!$C$6),"")</f>
        <v>#NUM!</v>
      </c>
      <c r="EM119" s="94" t="e">
        <f>IF(AND(CS119&lt;&gt;"",DK119&lt;&gt;""),LOG(CS119*DK119/Minerals!$C$5),"")</f>
        <v>#NUM!</v>
      </c>
      <c r="EN119" s="94" t="e">
        <f>IF(AND(CS119&lt;&gt;"",DL119&lt;&gt;""),LOG(CS119*DL119^2/Minerals!$C$2),"")</f>
        <v>#NUM!</v>
      </c>
      <c r="EO119" s="94" t="e">
        <f>IF(AND(CS119&lt;&gt;"",CX119&lt;&gt;""),LOG($CS119*$CX119/Minerals!$C$3),"")</f>
        <v>#NUM!</v>
      </c>
      <c r="EP119" s="95" t="e">
        <f>IF(AND(CS119&lt;&gt;"",CX119&lt;&gt;""),LOG($CS119*$CX119/Minerals!$C$4),"")</f>
        <v>#NUM!</v>
      </c>
      <c r="EQ119" s="199"/>
      <c r="ER119" s="101">
        <f t="shared" si="843"/>
        <v>0.9377233263257182</v>
      </c>
      <c r="ES119" s="94">
        <f t="shared" si="843"/>
        <v>0.9377233263257182</v>
      </c>
      <c r="ET119" s="94">
        <f t="shared" si="844"/>
        <v>0.77321252022965892</v>
      </c>
      <c r="EU119" s="94">
        <f t="shared" si="844"/>
        <v>0.77321252022965892</v>
      </c>
      <c r="EV119" s="95">
        <f t="shared" si="844"/>
        <v>0.77321252022965892</v>
      </c>
      <c r="EW119" s="101">
        <f t="shared" si="845"/>
        <v>0.9377233263257182</v>
      </c>
      <c r="EX119" s="94">
        <f t="shared" si="758"/>
        <v>0.77321252022965892</v>
      </c>
      <c r="EY119" s="94">
        <f t="shared" si="845"/>
        <v>0.9377233263257182</v>
      </c>
      <c r="EZ119" s="94">
        <f t="shared" si="845"/>
        <v>0.9377233263257182</v>
      </c>
      <c r="FA119" s="94">
        <f t="shared" si="845"/>
        <v>0.9377233263257182</v>
      </c>
      <c r="FB119" s="95">
        <f t="shared" si="759"/>
        <v>0.77321252022965892</v>
      </c>
      <c r="FC119" s="199"/>
      <c r="FD119" s="101">
        <f t="shared" ref="FD119:FD131" si="890">IF($CQ119&lt;&gt;"",ER119*$CQ119,"")</f>
        <v>0</v>
      </c>
      <c r="FE119" s="94">
        <f t="shared" ref="FE119:FE131" si="891">IF($CR119&lt;&gt;"",ES119*$CR119,"")</f>
        <v>0</v>
      </c>
      <c r="FF119" s="94">
        <f t="shared" ref="FF119:FF131" si="892">IF($CS119&lt;&gt;"",ET119*$CS119,"")</f>
        <v>0</v>
      </c>
      <c r="FG119" s="94">
        <f t="shared" ref="FG119:FG131" si="893">IF($CT119&lt;&gt;"",EU119*$CT119,"")</f>
        <v>0</v>
      </c>
      <c r="FH119" s="95" t="str">
        <f t="shared" ref="FH119:FH131" si="894">IF($DA119&lt;&gt;"",EV119*$DA119,"")</f>
        <v/>
      </c>
      <c r="FI119" s="101">
        <f t="shared" ref="FI119:FI131" si="895">IF($CU119&lt;&gt;"",EW119*$CU119,"")</f>
        <v>6.5626360247507416E-3</v>
      </c>
      <c r="FJ119" s="94">
        <f t="shared" ref="FJ119:FJ131" si="896">IF($DK119&lt;&gt;"",EX119*$DK119,"")</f>
        <v>9.6228225331344025E-5</v>
      </c>
      <c r="FK119" s="94">
        <f t="shared" ref="FK119:FK131" si="897">IF($CV119&lt;&gt;"",EY119*$CV119,"")</f>
        <v>0</v>
      </c>
      <c r="FL119" s="94">
        <f t="shared" ref="FL119:FL131" si="898">IF($CW119&lt;&gt;"",EZ119*$CW119,"")</f>
        <v>0</v>
      </c>
      <c r="FM119" s="94">
        <f t="shared" ref="FM119:FM131" si="899">IF($DL119&lt;&gt;"",FA119*$DL119,"")</f>
        <v>0</v>
      </c>
      <c r="FN119" s="95">
        <f t="shared" ref="FN119:FN131" si="900">IF($CX119&lt;&gt;"",FB119*$CX119,"")</f>
        <v>0</v>
      </c>
      <c r="FO119" s="199"/>
      <c r="FP119" s="101" t="e">
        <f>IF(EL119&lt;&gt;"",LOG(FF119*FJ119/Minerals!$C$6),"")</f>
        <v>#NUM!</v>
      </c>
      <c r="FQ119" s="94" t="e">
        <f>IF(EL119&lt;&gt;"",LOG(FF119*FJ119/Minerals!$C$5),"")</f>
        <v>#NUM!</v>
      </c>
      <c r="FR119" s="94" t="e">
        <f>IF(EN119&lt;&gt;"",LOG(FF119*FM119^2/Minerals!$C$2),"")</f>
        <v>#NUM!</v>
      </c>
      <c r="FS119" s="94" t="e">
        <f>IF(EO119&lt;&gt;"",LOG($FF119*$FN119/Minerals!$C$3),"")</f>
        <v>#NUM!</v>
      </c>
      <c r="FT119" s="95" t="e">
        <f>IF(EP119&lt;&gt;"",LOG($FF119*$FN119/Minerals!$C$4),"")</f>
        <v>#NUM!</v>
      </c>
      <c r="FU119" s="96"/>
      <c r="FV119" s="101" t="e">
        <f>IF(FP119&lt;&gt;"",LOG(FF119*FJ119/(EXP(-1*Minerals!$E$6/'Other Constants'!$B$2*(1/(273.15+'ppm-mgL-1'!$D119)-1/298.15)+LN(Minerals!$C$6)))),"")</f>
        <v>#NUM!</v>
      </c>
      <c r="FW119" s="94" t="e">
        <f>IF(FP119&lt;&gt;"",LOG(FF119*FJ119/(EXP(-1*Minerals!$E$5/'Other Constants'!$B$2*(1/(273.15+'ppm-mgL-1'!$D119)-1/298.15)+LN(Minerals!$C$5)))),"")</f>
        <v>#NUM!</v>
      </c>
      <c r="FX119" s="94" t="e">
        <f>IF(FR119&lt;&gt;"",LOG(FF119*FM119^2/(EXP(-1*Minerals!$E$2/'Other Constants'!$B$2*(1/(273.15+'ppm-mgL-1'!$D119)-1/298.15)+LN(Minerals!$C$2)))),"")</f>
        <v>#NUM!</v>
      </c>
      <c r="FY119" s="94" t="e">
        <f>IF(FS119&lt;&gt;"",LOG($FF119*$FN119/(EXP(-1*Minerals!$E$3/'Other Constants'!$B$2*(1/(273.15+'ppm-mgL-1'!$D119)-1/298.15)+LN(Minerals!$C$3)))),"")</f>
        <v>#NUM!</v>
      </c>
      <c r="FZ119" s="95" t="e">
        <f>IF(FT119&lt;&gt;"",LOG($FF119*$FN119/(EXP(-1*Minerals!$E$4/'Other Constants'!$B$2*(1/(273.15+'ppm-mgL-1'!$D119)-1/298.15)+LN(Minerals!$C$4)))),"")</f>
        <v>#NUM!</v>
      </c>
      <c r="GA119" s="96"/>
      <c r="GB119" s="96"/>
      <c r="GC119" s="101">
        <f>10^(-1825000*(79.755*EXP(-0.0046*($D119-20))*($D119+273.15))^-1.5*$EK119^0.5/(1+'Elements and ions'!$D$12*$EK119^0.5/(2*(79.755*EXP(-0.0046*($D119-20))*($D119+273.15))^0.5)))</f>
        <v>0.93710099554827309</v>
      </c>
      <c r="GD119" s="94">
        <f>10^(-1825000*(79.755*EXP(-0.0046*($D119-20))*($D119+273.15))^-1.5*$EK119^0.5/(1+'Elements and ions'!$D$20*$EK119^0.5/(2*(79.755*EXP(-0.0046*($D119-20))*($D119+273.15))^0.5)))</f>
        <v>0.93598630096608737</v>
      </c>
      <c r="GE119" s="94">
        <f>10^(-1825000*(79.755*EXP(-0.0046*($D119-20))*($D119+273.15))^-1.5*4*$EK119^0.5/(1+'Elements and ions'!$D$21*$EK119^0.5/(2*(79.755*EXP(-0.0046*($D119-20))*($D119+273.15))^0.5)))</f>
        <v>0.7781537320084162</v>
      </c>
      <c r="GF119" s="94">
        <f>10^(-1825000*(79.755*EXP(-0.0046*($D119-20))*($D119+273.15))^-1.5*4*$EK119^0.5/(1+'Elements and ions'!$D$13*$EK119^0.5/(2*(79.755*EXP(-0.0046*($D119-20))*($D119+273.15))^0.5)))</f>
        <v>0.78473325394295612</v>
      </c>
      <c r="GG119" s="95">
        <f>10^(-1825000*(79.755*EXP(-0.0046*($D119-20))*($D119+273.15))^-1.5*4*$EK119^0.5/(1+'Elements and ions'!$D$27*$EK119^0.5/(2*(79.755*EXP(-0.0046*($D119-20))*($D119+273.15))^0.5)))</f>
        <v>0.7781537320084162</v>
      </c>
      <c r="GH119" s="101">
        <f>10^(-1825000*(79.755*EXP(-0.0046*($D119-20))*($D119+273.15))^-1.5*$EK119^0.5/(1+'Elements and ions'!$G$3*$EK119^0.5/(2*(79.755*EXP(-0.0046*($D119-20))*($D119+273.15))^0.5)))</f>
        <v>0.93315532533746015</v>
      </c>
      <c r="GI119" s="94">
        <f>10^(-1825000*(79.755*EXP(-0.0046*($D119-20))*($D119+273.15))^-1.5*4*$EK119^0.5/(1+'Elements and ions'!$G$4*$EK119^0.5/(2*(79.755*EXP(-0.0046*($D119-20))*($D119+273.15))^0.5)))</f>
        <v>0.75821529444183955</v>
      </c>
      <c r="GJ119" s="94">
        <f>10^(-1825000*(79.755*EXP(-0.0046*($D119-20))*($D119+273.15))^-1.5*$EK119^0.5/(1+'Elements and ions'!$D$18*$EK119^0.5/(2*(79.755*EXP(-0.0046*($D119-20))*($D119+273.15))^0.5)))</f>
        <v>0.93598630096608737</v>
      </c>
      <c r="GK119" s="94">
        <f>10^(-1825000*(79.755*EXP(-0.0046*($D119-20))*($D119+273.15))^-1.5*$EK119^0.5/(1+'Elements and ions'!$I$7*$EK119^0.5/(2*(79.755*EXP(-0.0046*($D119-20))*($D119+273.15))^0.5)))</f>
        <v>0.93598630096608737</v>
      </c>
      <c r="GL119" s="94">
        <f>10^(-1825000*(79.755*EXP(-0.0046*($D119-20))*($D119+273.15))^-1.5*$EK119^0.5/(1+'Elements and ions'!$D$10*$EK119^0.5/(2*(79.755*EXP(-0.0046*($D119-20))*($D119+273.15))^0.5)))</f>
        <v>0.93654854171595991</v>
      </c>
      <c r="GM119" s="95">
        <f>10^(-1825000*(79.755*EXP(-0.0046*($D119-20))*($D119+273.15))^-1.5*4*$EK119^0.5/(1+'Elements and ions'!$I$5*$EK119^0.5/(2*(79.755*EXP(-0.0046*($D119-20))*($D119+273.15))^0.5)))</f>
        <v>0.77116195745713045</v>
      </c>
      <c r="GN119" s="96"/>
      <c r="GO119" s="101">
        <f t="shared" ref="GO119:GO131" si="901">IF($CQ119&lt;&gt;"",GC119*$CQ119,"")</f>
        <v>0</v>
      </c>
      <c r="GP119" s="94">
        <f t="shared" ref="GP119:GP131" si="902">IF($CR119&lt;&gt;"",GD119*$CR119,"")</f>
        <v>0</v>
      </c>
      <c r="GQ119" s="94">
        <f t="shared" ref="GQ119:GQ131" si="903">IF($CS119&lt;&gt;"",GE119*$CS119,"")</f>
        <v>0</v>
      </c>
      <c r="GR119" s="94">
        <f t="shared" ref="GR119:GR131" si="904">IF($CT119&lt;&gt;"",GF119*$CT119,"")</f>
        <v>0</v>
      </c>
      <c r="GS119" s="95" t="str">
        <f t="shared" ref="GS119:GS131" si="905">IF($DA119&lt;&gt;"",GG119*$DA119,"")</f>
        <v/>
      </c>
      <c r="GT119" s="101">
        <f t="shared" ref="GT119:GT131" si="906">IF($CU119&lt;&gt;"",GH119*$CU119,"")</f>
        <v>6.5306669705478323E-3</v>
      </c>
      <c r="GU119" s="94">
        <f t="shared" ref="GU119:GU131" si="907">IF($DK119&lt;&gt;"",GI119*$DK119,"")</f>
        <v>9.4361783202307262E-5</v>
      </c>
      <c r="GV119" s="94">
        <f t="shared" ref="GV119:GV131" si="908">IF($CV119&lt;&gt;"",GJ119*$CV119,"")</f>
        <v>0</v>
      </c>
      <c r="GW119" s="94">
        <f t="shared" ref="GW119:GW131" si="909">IF($CW119&lt;&gt;"",GK119*$CW119,"")</f>
        <v>0</v>
      </c>
      <c r="GX119" s="94">
        <f t="shared" ref="GX119:GX131" si="910">IF($DL119&lt;&gt;"",GL119*$DL119,"")</f>
        <v>0</v>
      </c>
      <c r="GY119" s="102">
        <f t="shared" ref="GY119:GY131" si="911">IF($CX119&lt;&gt;"",GM119*$CX119,"")</f>
        <v>0</v>
      </c>
      <c r="GZ119" s="199"/>
      <c r="HA119" s="92" t="e">
        <f>IF(AND(GQ119&lt;&gt;"",GU119&lt;&gt;""),LOG(GQ119*GU119/Minerals!$C$6),"")</f>
        <v>#NUM!</v>
      </c>
      <c r="HB119" s="94" t="e">
        <f>IF(AND(GQ119&lt;&gt;"",GU119&lt;&gt;""),LOG(GQ119*GU119/Minerals!$C$5),"")</f>
        <v>#NUM!</v>
      </c>
      <c r="HC119" s="94" t="e">
        <f>IF(AND(GQ119&lt;&gt;"",GX119&lt;&gt;""),LOG(GQ119*GX119^2/Minerals!$C$2),"")</f>
        <v>#NUM!</v>
      </c>
      <c r="HD119" s="94" t="e">
        <f>IF(AND(GQ119&lt;&gt;"",GY119&lt;&gt;""),LOG($GQ119*$GY119/Minerals!$C$3),"")</f>
        <v>#NUM!</v>
      </c>
      <c r="HE119" s="102" t="e">
        <f>IF(AND(GQ119&lt;&gt;"",GY119&lt;&gt;""),LOG($GQ119*$GY119/Minerals!$C$3),"")</f>
        <v>#NUM!</v>
      </c>
      <c r="HF119" s="199"/>
      <c r="HG119" s="92" t="e">
        <f>IF(HA119&lt;&gt;"",LOG(GQ119*GU119/(EXP(-1*Minerals!$E$6/'Other Constants'!$B$2*(1/(273.15+'ppm-mgL-1'!$D119)-1/298.15)+LN(Minerals!$C$6)))),"")</f>
        <v>#NUM!</v>
      </c>
      <c r="HH119" s="94" t="e">
        <f>IF(HA119&lt;&gt;"",LOG(GQ119*GU119/(EXP(-1*Minerals!$E$5/'Other Constants'!$B$2*(1/(273.15+'ppm-mgL-1'!$D119)-1/298.15)+LN(Minerals!$C$5)))),"")</f>
        <v>#NUM!</v>
      </c>
      <c r="HI119" s="94" t="e">
        <f>IF(HC119&lt;&gt;"",LOG(GQ119*GX119^2/(EXP(-1*Minerals!$E$2/'Other Constants'!$B$2*(1/(273.15+'ppm-mgL-1'!$D119)-1/298.15)+LN(Minerals!$C$2)))),"")</f>
        <v>#NUM!</v>
      </c>
      <c r="HJ119" s="94" t="e">
        <f>IF(HD119&lt;&gt;"",LOG($FF119*$FN119/(EXP(-1*Minerals!$E$3/'Other Constants'!$B$2*(1/(273.15+'ppm-mgL-1'!$D119)-1/298.15)+LN(Minerals!$C$3)))),"")</f>
        <v>#NUM!</v>
      </c>
      <c r="HK119" s="95" t="e">
        <f>IF(HE119&lt;&gt;"",LOG($FF119*$FN119/(EXP(-1*Minerals!$E$4/'Other Constants'!$B$2*(1/(273.15+'ppm-mgL-1'!$D119)-1/298.15)+LN(Minerals!$C$4)))),"")</f>
        <v>#NUM!</v>
      </c>
      <c r="HL119" s="199"/>
      <c r="HM119" s="199"/>
    </row>
    <row r="120" spans="1:221" x14ac:dyDescent="0.25">
      <c r="A120" s="271" t="s">
        <v>373</v>
      </c>
      <c r="C120" s="277">
        <v>41572</v>
      </c>
      <c r="D120" s="278">
        <v>16.399999999999999</v>
      </c>
      <c r="E120">
        <v>8.43</v>
      </c>
      <c r="F120"/>
      <c r="G120" s="278">
        <v>729.6</v>
      </c>
      <c r="H120" s="271"/>
      <c r="I120" s="278"/>
      <c r="AD120" s="83">
        <f>IF(E120&lt;&gt;"",10^(-2*$E120)/(10^(-2*$E120)+10^(-$E120-pKa!$B$2)+(10^(-pKa!$B$2-pKa!$C$2))),"")</f>
        <v>7.261320972285901E-3</v>
      </c>
      <c r="AE120" s="84">
        <f>IF(E120&lt;&gt;"",10^(-$E120-pKa!$B$2)/(10^(-2*$E120)+10^(-$E120-pKa!$B$2)+10^(-pKa!$B$2-pKa!$C$2)),"")</f>
        <v>0.97952524701980281</v>
      </c>
      <c r="AF120" s="212">
        <f>IF(E120&lt;&gt;"",10^(-pKa!$B$2-pKa!$C$2)/(10^(-2*$E120)+10^(-$E120-pKa!$B$2)+10^(-pKa!$B$2-pKa!$C$2)),"")</f>
        <v>1.3213432007911301E-2</v>
      </c>
      <c r="AG120" s="152"/>
      <c r="AH120" s="163">
        <f>IF($AI120&lt;&gt;"",$AI120*1000*(AE120+2*AF120)+10^(-14+$E120)-10^(-$E120),IF($E120="","","Enter Alk(HCO3-)"))</f>
        <v>7.6855555019608701</v>
      </c>
      <c r="AI120" s="288">
        <f>91.76268748/1000/12.0107</f>
        <v>7.6400782202536068E-3</v>
      </c>
      <c r="AJ120" s="84">
        <f>IF(AI120&lt;&gt;"",AI120*1000*'Elements and ions'!$B$7,"")</f>
        <v>91.762687479999997</v>
      </c>
      <c r="AK120" s="89">
        <f>IF($AI120&lt;&gt;"",$AH120*'Elements and ions'!$G$3,IF($E120="","","Enter DIC"))</f>
        <v>468.94831037426604</v>
      </c>
      <c r="AL120" s="88">
        <f>IF($AK120&lt;&gt;"",$AK120/'Elements and ions'!$G$3*Minerals!$B$6/2,IF($E120="","","Enter Alk(HCO3-)"))</f>
        <v>384.61171248460369</v>
      </c>
      <c r="AM120" s="199"/>
      <c r="AN120" s="101">
        <f t="shared" si="846"/>
        <v>5.5477060210632254E-5</v>
      </c>
      <c r="AO120" s="94">
        <f t="shared" si="847"/>
        <v>7.4836495059445295E-3</v>
      </c>
      <c r="AP120" s="95">
        <f t="shared" si="848"/>
        <v>1.0095165409844501E-4</v>
      </c>
      <c r="AQ120" s="199"/>
      <c r="AR120" s="199"/>
      <c r="AS120" s="83">
        <f t="shared" si="760"/>
        <v>0.16316782414891839</v>
      </c>
      <c r="AT120" s="83">
        <f>IF(AN120&lt;&gt;"",AN120/'Henrys law constants'!$B$7*1000000,"")</f>
        <v>1631.6782414891838</v>
      </c>
      <c r="AU120" s="268">
        <f>'WC samples'!K98</f>
        <v>0</v>
      </c>
      <c r="AV120" s="269">
        <f>'WC samples'!M98</f>
        <v>0</v>
      </c>
      <c r="AW120" s="269">
        <f>'WC samples'!O98</f>
        <v>0</v>
      </c>
      <c r="AX120" s="269">
        <f>'WC samples'!N98</f>
        <v>0</v>
      </c>
      <c r="AY120" s="226">
        <f>AO120*'Elements and ions'!$G$3*1000</f>
        <v>456.6286445202964</v>
      </c>
      <c r="AZ120" s="269">
        <f>'WC samples'!Q98</f>
        <v>0</v>
      </c>
      <c r="BA120" s="269">
        <f>'WC samples'!T98</f>
        <v>0</v>
      </c>
      <c r="BB120" s="270">
        <f>'WC samples'!V98</f>
        <v>0</v>
      </c>
      <c r="BC120" s="222">
        <f>IF($E120&lt;&gt;"",10^-$E120*'Elements and ions'!B131*1000,"")</f>
        <v>0</v>
      </c>
      <c r="BE120" s="6"/>
      <c r="BF120" s="6"/>
      <c r="BG120" s="270">
        <f>'WC samples'!L98</f>
        <v>0</v>
      </c>
      <c r="BH120" s="3"/>
      <c r="BJ120" s="92">
        <f>IF($AN120&lt;&gt;"",$AN120*'Elements and ions'!$G$2*1000,"")</f>
        <v>3.4409524546112187</v>
      </c>
      <c r="BK120" s="229"/>
      <c r="BL120" s="230"/>
      <c r="BM120" s="101">
        <f>IF($E120&lt;&gt;"",(10^-14+$E120)*'Elements and ions'!$G$8,"")</f>
        <v>143.37187620000017</v>
      </c>
      <c r="BO120" s="102">
        <f>IF($AP120&lt;&gt;"",$AP120*'Elements and ions'!$G$4*1000,"")</f>
        <v>6.0579977156281766</v>
      </c>
      <c r="BP120" s="269">
        <f>'WC samples'!P98</f>
        <v>0</v>
      </c>
      <c r="BQ120" s="270">
        <f>'WC samples'!R98</f>
        <v>0</v>
      </c>
      <c r="BR120" s="195"/>
      <c r="BS120" s="238">
        <f>IF($AU120&lt;&gt;"",$AU120/'Elements and ions'!$B$12,"")</f>
        <v>0</v>
      </c>
      <c r="BT120" s="239">
        <f>IF($AV120&lt;&gt;"",$AV120/'Elements and ions'!$B$20,"")</f>
        <v>0</v>
      </c>
      <c r="BU120" s="239">
        <f>IF($AW120&lt;&gt;"",$AW120/'Elements and ions'!$B$21, "")</f>
        <v>0</v>
      </c>
      <c r="BV120" s="240">
        <f>IF($AX120&lt;&gt;"",$AX120/'Elements and ions'!$B$13, "")</f>
        <v>0</v>
      </c>
      <c r="BW120" s="238">
        <f>IF($AY120&lt;&gt;"",$AY120/'Elements and ions'!$G$3,"")</f>
        <v>7.4836495059445305</v>
      </c>
      <c r="BX120" s="239">
        <f>IF($AZ120&lt;&gt;"",$AZ120/'Elements and ions'!$B$18,"")</f>
        <v>0</v>
      </c>
      <c r="BY120" s="239">
        <f>IF($BA120&lt;&gt;"",$BA120/'Elements and ions'!$G$7,"")</f>
        <v>0</v>
      </c>
      <c r="BZ120" s="241">
        <f>IF($BB120&lt;&gt;"",$BB120/'Elements and ions'!$G$5,"")</f>
        <v>0</v>
      </c>
      <c r="CA120" s="91">
        <f t="shared" si="761"/>
        <v>3.7153522909717204E-6</v>
      </c>
      <c r="CB120" s="163" t="str">
        <f>IF($BD120&lt;&gt;"",$BD120/'Elements and ions'!$B$14,"")</f>
        <v/>
      </c>
      <c r="CC120" s="89" t="str">
        <f>IF($BE120&lt;&gt;"",$BE120/'Elements and ions'!$B$27, "")</f>
        <v/>
      </c>
      <c r="CD120" s="249" t="str">
        <f>IF($BF120&lt;&gt;"",$BF120/'Elements and ions'!$B$26,"")</f>
        <v/>
      </c>
      <c r="CE120" s="250">
        <f>IF($BG120&lt;&gt;"",$BG120/'Elements and ions'!$G$6,"")</f>
        <v>0</v>
      </c>
      <c r="CF120" s="91" t="str">
        <f>IF($BH120&lt;&gt;"",$BH120/'Elements and ions'!$G$15,"")</f>
        <v/>
      </c>
      <c r="CG120" s="89" t="str">
        <f>IF($BI120&lt;&gt;"",$BI120/'Elements and ions'!$G$16,"")</f>
        <v/>
      </c>
      <c r="CH120" s="90">
        <f>IF($BJ120&lt;&gt;"",$BJ120/'Elements and ions'!$G$2,"")</f>
        <v>5.5477060210632249E-2</v>
      </c>
      <c r="CI120" s="91" t="str">
        <f>IF($BK120&lt;&gt;"",$BK120/'Elements and ions'!$B$15, "")</f>
        <v/>
      </c>
      <c r="CJ120" s="88" t="str">
        <f>IF($BL120&lt;&gt;"", $BL120/'Elements and ions'!$G$17,"")</f>
        <v/>
      </c>
      <c r="CK120" s="89">
        <f t="shared" si="762"/>
        <v>2.6915348039269109E-3</v>
      </c>
      <c r="CL120" s="163" t="str">
        <f>IF($BN120&lt;&gt;"", $BN120/'Elements and ions'!$G$19,"")</f>
        <v/>
      </c>
      <c r="CM120" s="89">
        <f>IF($BO120&lt;&gt;"",$BO120/'Elements and ions'!$G$4,"")</f>
        <v>0.10095165409844502</v>
      </c>
      <c r="CN120" s="89">
        <f>IF($BP120&lt;&gt;"",$BP120/'Elements and ions'!$B$10,"")</f>
        <v>0</v>
      </c>
      <c r="CO120" s="104">
        <f>IF($BQ120&lt;&gt;"",$BQ120/'Elements and ions'!$G$18,"")</f>
        <v>0</v>
      </c>
      <c r="CP120" s="242"/>
      <c r="CQ120" s="238">
        <f t="shared" si="849"/>
        <v>0</v>
      </c>
      <c r="CR120" s="239">
        <f t="shared" si="850"/>
        <v>0</v>
      </c>
      <c r="CS120" s="239">
        <f t="shared" si="851"/>
        <v>0</v>
      </c>
      <c r="CT120" s="241">
        <f t="shared" si="852"/>
        <v>0</v>
      </c>
      <c r="CU120" s="238">
        <f t="shared" si="853"/>
        <v>7.4836495059445304E-3</v>
      </c>
      <c r="CV120" s="239">
        <f t="shared" si="854"/>
        <v>0</v>
      </c>
      <c r="CW120" s="239">
        <f t="shared" si="855"/>
        <v>0</v>
      </c>
      <c r="CX120" s="241">
        <f t="shared" si="856"/>
        <v>0</v>
      </c>
      <c r="CY120" s="258">
        <f t="shared" si="763"/>
        <v>3.7153522909717206E-9</v>
      </c>
      <c r="CZ120" s="259" t="str">
        <f t="shared" si="857"/>
        <v/>
      </c>
      <c r="DA120" s="260" t="str">
        <f t="shared" si="858"/>
        <v/>
      </c>
      <c r="DB120" s="261" t="str">
        <f t="shared" si="859"/>
        <v/>
      </c>
      <c r="DC120" s="262">
        <f t="shared" si="860"/>
        <v>0</v>
      </c>
      <c r="DD120" s="263" t="str">
        <f t="shared" si="861"/>
        <v/>
      </c>
      <c r="DE120" s="259" t="str">
        <f t="shared" si="862"/>
        <v/>
      </c>
      <c r="DF120" s="260">
        <f t="shared" si="863"/>
        <v>5.5477060210632247E-5</v>
      </c>
      <c r="DG120" s="260" t="str">
        <f t="shared" si="864"/>
        <v/>
      </c>
      <c r="DH120" s="264" t="str">
        <f t="shared" si="865"/>
        <v/>
      </c>
      <c r="DI120" s="258">
        <f t="shared" si="764"/>
        <v>2.6915348039269108E-6</v>
      </c>
      <c r="DJ120" s="260" t="str">
        <f t="shared" si="866"/>
        <v/>
      </c>
      <c r="DK120" s="260">
        <f t="shared" si="867"/>
        <v>1.0095165409844502E-4</v>
      </c>
      <c r="DL120" s="260">
        <f t="shared" si="868"/>
        <v>0</v>
      </c>
      <c r="DM120" s="265">
        <f t="shared" si="869"/>
        <v>0</v>
      </c>
      <c r="DN120" s="242"/>
      <c r="DO120" s="238">
        <f t="shared" si="870"/>
        <v>0</v>
      </c>
      <c r="DP120" s="239">
        <f t="shared" si="871"/>
        <v>0</v>
      </c>
      <c r="DQ120" s="239">
        <f t="shared" si="872"/>
        <v>0</v>
      </c>
      <c r="DR120" s="241">
        <f t="shared" si="873"/>
        <v>0</v>
      </c>
      <c r="DS120" s="238">
        <f t="shared" si="874"/>
        <v>-7.4836495059445305</v>
      </c>
      <c r="DT120" s="239">
        <f t="shared" si="875"/>
        <v>0</v>
      </c>
      <c r="DU120" s="239">
        <f t="shared" si="876"/>
        <v>0</v>
      </c>
      <c r="DV120" s="241">
        <f t="shared" si="877"/>
        <v>0</v>
      </c>
      <c r="DW120" s="91">
        <f t="shared" si="765"/>
        <v>3.7153522909717204E-6</v>
      </c>
      <c r="DX120" s="89">
        <f t="shared" si="878"/>
        <v>0</v>
      </c>
      <c r="DY120" s="89">
        <f t="shared" si="879"/>
        <v>0</v>
      </c>
      <c r="DZ120" s="89">
        <f t="shared" si="880"/>
        <v>0</v>
      </c>
      <c r="EA120" s="90">
        <f t="shared" si="881"/>
        <v>0</v>
      </c>
      <c r="EB120" s="91">
        <f t="shared" si="766"/>
        <v>-2.6915348039269109E-3</v>
      </c>
      <c r="EC120" s="89">
        <f t="shared" si="882"/>
        <v>0</v>
      </c>
      <c r="ED120" s="89">
        <f t="shared" si="883"/>
        <v>-0.20190330819689004</v>
      </c>
      <c r="EE120" s="89">
        <f t="shared" si="884"/>
        <v>0</v>
      </c>
      <c r="EF120" s="90">
        <f t="shared" si="885"/>
        <v>0</v>
      </c>
      <c r="EG120" s="242"/>
      <c r="EH120" s="245">
        <f t="shared" si="886"/>
        <v>3.7153522909717204E-6</v>
      </c>
      <c r="EI120" s="246">
        <f t="shared" si="887"/>
        <v>-7.6882443489453474</v>
      </c>
      <c r="EJ120" s="198">
        <f t="shared" si="888"/>
        <v>-99.999903349833147</v>
      </c>
      <c r="EK120" s="198">
        <f t="shared" si="889"/>
        <v>3.7418247529722652E-3</v>
      </c>
      <c r="EL120" s="101" t="e">
        <f>IF(AND(CS120&lt;&gt;"",DK120&lt;&gt;""),LOG(CS120*DK120/Minerals!$C$6),"")</f>
        <v>#NUM!</v>
      </c>
      <c r="EM120" s="94" t="e">
        <f>IF(AND(CS120&lt;&gt;"",DK120&lt;&gt;""),LOG(CS120*DK120/Minerals!$C$5),"")</f>
        <v>#NUM!</v>
      </c>
      <c r="EN120" s="94" t="e">
        <f>IF(AND(CS120&lt;&gt;"",DL120&lt;&gt;""),LOG(CS120*DL120^2/Minerals!$C$2),"")</f>
        <v>#NUM!</v>
      </c>
      <c r="EO120" s="94" t="e">
        <f>IF(AND(CS120&lt;&gt;"",CX120&lt;&gt;""),LOG($CS120*$CX120/Minerals!$C$3),"")</f>
        <v>#NUM!</v>
      </c>
      <c r="EP120" s="95" t="e">
        <f>IF(AND(CS120&lt;&gt;"",CX120&lt;&gt;""),LOG($CS120*$CX120/Minerals!$C$4),"")</f>
        <v>#NUM!</v>
      </c>
      <c r="EQ120" s="199"/>
      <c r="ER120" s="101">
        <f t="shared" si="843"/>
        <v>0.93578878619938632</v>
      </c>
      <c r="ES120" s="94">
        <f t="shared" si="843"/>
        <v>0.93578878619938632</v>
      </c>
      <c r="ET120" s="94">
        <f t="shared" si="844"/>
        <v>0.76685163257266409</v>
      </c>
      <c r="EU120" s="94">
        <f t="shared" si="844"/>
        <v>0.76685163257266409</v>
      </c>
      <c r="EV120" s="95">
        <f t="shared" si="844"/>
        <v>0.76685163257266409</v>
      </c>
      <c r="EW120" s="101">
        <f t="shared" si="845"/>
        <v>0.93578878619938632</v>
      </c>
      <c r="EX120" s="94">
        <f t="shared" si="758"/>
        <v>0.76685163257266409</v>
      </c>
      <c r="EY120" s="94">
        <f t="shared" si="845"/>
        <v>0.93578878619938632</v>
      </c>
      <c r="EZ120" s="94">
        <f t="shared" si="845"/>
        <v>0.93578878619938632</v>
      </c>
      <c r="FA120" s="94">
        <f t="shared" si="845"/>
        <v>0.93578878619938632</v>
      </c>
      <c r="FB120" s="95">
        <f t="shared" si="759"/>
        <v>0.76685163257266409</v>
      </c>
      <c r="FC120" s="199"/>
      <c r="FD120" s="101">
        <f t="shared" si="890"/>
        <v>0</v>
      </c>
      <c r="FE120" s="94">
        <f t="shared" si="891"/>
        <v>0</v>
      </c>
      <c r="FF120" s="94">
        <f t="shared" si="892"/>
        <v>0</v>
      </c>
      <c r="FG120" s="94">
        <f t="shared" si="893"/>
        <v>0</v>
      </c>
      <c r="FH120" s="95" t="str">
        <f t="shared" si="894"/>
        <v/>
      </c>
      <c r="FI120" s="101">
        <f t="shared" si="895"/>
        <v>7.0031152875094692E-3</v>
      </c>
      <c r="FJ120" s="94">
        <f t="shared" si="896"/>
        <v>7.7414940756303439E-5</v>
      </c>
      <c r="FK120" s="94">
        <f t="shared" si="897"/>
        <v>0</v>
      </c>
      <c r="FL120" s="94">
        <f t="shared" si="898"/>
        <v>0</v>
      </c>
      <c r="FM120" s="94">
        <f t="shared" si="899"/>
        <v>0</v>
      </c>
      <c r="FN120" s="95">
        <f t="shared" si="900"/>
        <v>0</v>
      </c>
      <c r="FO120" s="199"/>
      <c r="FP120" s="101" t="e">
        <f>IF(EL120&lt;&gt;"",LOG(FF120*FJ120/Minerals!$C$6),"")</f>
        <v>#NUM!</v>
      </c>
      <c r="FQ120" s="94" t="e">
        <f>IF(EL120&lt;&gt;"",LOG(FF120*FJ120/Minerals!$C$5),"")</f>
        <v>#NUM!</v>
      </c>
      <c r="FR120" s="94" t="e">
        <f>IF(EN120&lt;&gt;"",LOG(FF120*FM120^2/Minerals!$C$2),"")</f>
        <v>#NUM!</v>
      </c>
      <c r="FS120" s="94" t="e">
        <f>IF(EO120&lt;&gt;"",LOG($FF120*$FN120/Minerals!$C$3),"")</f>
        <v>#NUM!</v>
      </c>
      <c r="FT120" s="95" t="e">
        <f>IF(EP120&lt;&gt;"",LOG($FF120*$FN120/Minerals!$C$4),"")</f>
        <v>#NUM!</v>
      </c>
      <c r="FU120" s="96"/>
      <c r="FV120" s="101" t="e">
        <f>IF(FP120&lt;&gt;"",LOG(FF120*FJ120/(EXP(-1*Minerals!$E$6/'Other Constants'!$B$2*(1/(273.15+'ppm-mgL-1'!$D120)-1/298.15)+LN(Minerals!$C$6)))),"")</f>
        <v>#NUM!</v>
      </c>
      <c r="FW120" s="94" t="e">
        <f>IF(FP120&lt;&gt;"",LOG(FF120*FJ120/(EXP(-1*Minerals!$E$5/'Other Constants'!$B$2*(1/(273.15+'ppm-mgL-1'!$D120)-1/298.15)+LN(Minerals!$C$5)))),"")</f>
        <v>#NUM!</v>
      </c>
      <c r="FX120" s="94" t="e">
        <f>IF(FR120&lt;&gt;"",LOG(FF120*FM120^2/(EXP(-1*Minerals!$E$2/'Other Constants'!$B$2*(1/(273.15+'ppm-mgL-1'!$D120)-1/298.15)+LN(Minerals!$C$2)))),"")</f>
        <v>#NUM!</v>
      </c>
      <c r="FY120" s="94" t="e">
        <f>IF(FS120&lt;&gt;"",LOG($FF120*$FN120/(EXP(-1*Minerals!$E$3/'Other Constants'!$B$2*(1/(273.15+'ppm-mgL-1'!$D120)-1/298.15)+LN(Minerals!$C$3)))),"")</f>
        <v>#NUM!</v>
      </c>
      <c r="FZ120" s="95" t="e">
        <f>IF(FT120&lt;&gt;"",LOG($FF120*$FN120/(EXP(-1*Minerals!$E$4/'Other Constants'!$B$2*(1/(273.15+'ppm-mgL-1'!$D120)-1/298.15)+LN(Minerals!$C$4)))),"")</f>
        <v>#NUM!</v>
      </c>
      <c r="GA120" s="96"/>
      <c r="GB120" s="96"/>
      <c r="GC120" s="101">
        <f>10^(-1825000*(79.755*EXP(-0.0046*($D120-20))*($D120+273.15))^-1.5*$EK120^0.5/(1+'Elements and ions'!$D$12*$EK120^0.5/(2*(79.755*EXP(-0.0046*($D120-20))*($D120+273.15))^0.5)))</f>
        <v>0.93597336770309636</v>
      </c>
      <c r="GD120" s="94">
        <f>10^(-1825000*(79.755*EXP(-0.0046*($D120-20))*($D120+273.15))^-1.5*$EK120^0.5/(1+'Elements and ions'!$D$20*$EK120^0.5/(2*(79.755*EXP(-0.0046*($D120-20))*($D120+273.15))^0.5)))</f>
        <v>0.93480773930129146</v>
      </c>
      <c r="GE120" s="94">
        <f>10^(-1825000*(79.755*EXP(-0.0046*($D120-20))*($D120+273.15))^-1.5*4*$EK120^0.5/(1+'Elements and ions'!$D$21*$EK120^0.5/(2*(79.755*EXP(-0.0046*($D120-20))*($D120+273.15))^0.5)))</f>
        <v>0.77473284976827483</v>
      </c>
      <c r="GF120" s="94">
        <f>10^(-1825000*(79.755*EXP(-0.0046*($D120-20))*($D120+273.15))^-1.5*4*$EK120^0.5/(1+'Elements and ions'!$D$13*$EK120^0.5/(2*(79.755*EXP(-0.0046*($D120-20))*($D120+273.15))^0.5)))</f>
        <v>0.78156991653016816</v>
      </c>
      <c r="GG120" s="95">
        <f>10^(-1825000*(79.755*EXP(-0.0046*($D120-20))*($D120+273.15))^-1.5*4*$EK120^0.5/(1+'Elements and ions'!$D$27*$EK120^0.5/(2*(79.755*EXP(-0.0046*($D120-20))*($D120+273.15))^0.5)))</f>
        <v>0.77473284976827483</v>
      </c>
      <c r="GH120" s="101">
        <f>10^(-1825000*(79.755*EXP(-0.0046*($D120-20))*($D120+273.15))^-1.5*$EK120^0.5/(1+'Elements and ions'!$G$3*$EK120^0.5/(2*(79.755*EXP(-0.0046*($D120-20))*($D120+273.15))^0.5)))</f>
        <v>0.93184242951150165</v>
      </c>
      <c r="GI120" s="94">
        <f>10^(-1825000*(79.755*EXP(-0.0046*($D120-20))*($D120+273.15))^-1.5*4*$EK120^0.5/(1+'Elements and ions'!$G$4*$EK120^0.5/(2*(79.755*EXP(-0.0046*($D120-20))*($D120+273.15))^0.5)))</f>
        <v>0.75395520706488517</v>
      </c>
      <c r="GJ120" s="94">
        <f>10^(-1825000*(79.755*EXP(-0.0046*($D120-20))*($D120+273.15))^-1.5*$EK120^0.5/(1+'Elements and ions'!$D$18*$EK120^0.5/(2*(79.755*EXP(-0.0046*($D120-20))*($D120+273.15))^0.5)))</f>
        <v>0.93480773930129146</v>
      </c>
      <c r="GK120" s="94">
        <f>10^(-1825000*(79.755*EXP(-0.0046*($D120-20))*($D120+273.15))^-1.5*$EK120^0.5/(1+'Elements and ions'!$I$7*$EK120^0.5/(2*(79.755*EXP(-0.0046*($D120-20))*($D120+273.15))^0.5)))</f>
        <v>0.93480773930129146</v>
      </c>
      <c r="GL120" s="94">
        <f>10^(-1825000*(79.755*EXP(-0.0046*($D120-20))*($D120+273.15))^-1.5*$EK120^0.5/(1+'Elements and ions'!$D$10*$EK120^0.5/(2*(79.755*EXP(-0.0046*($D120-20))*($D120+273.15))^0.5)))</f>
        <v>0.93539580879929363</v>
      </c>
      <c r="GM120" s="95">
        <f>10^(-1825000*(79.755*EXP(-0.0046*($D120-20))*($D120+273.15))^-1.5*4*$EK120^0.5/(1+'Elements and ions'!$I$5*$EK120^0.5/(2*(79.755*EXP(-0.0046*($D120-20))*($D120+273.15))^0.5)))</f>
        <v>0.76745684825604665</v>
      </c>
      <c r="GN120" s="96"/>
      <c r="GO120" s="101">
        <f t="shared" si="901"/>
        <v>0</v>
      </c>
      <c r="GP120" s="94">
        <f t="shared" si="902"/>
        <v>0</v>
      </c>
      <c r="GQ120" s="94">
        <f t="shared" si="903"/>
        <v>0</v>
      </c>
      <c r="GR120" s="94">
        <f t="shared" si="904"/>
        <v>0</v>
      </c>
      <c r="GS120" s="95" t="str">
        <f t="shared" si="905"/>
        <v/>
      </c>
      <c r="GT120" s="101">
        <f t="shared" si="906"/>
        <v>6.9735821372319002E-3</v>
      </c>
      <c r="GU120" s="94">
        <f t="shared" si="907"/>
        <v>7.6113025269335786E-5</v>
      </c>
      <c r="GV120" s="94">
        <f t="shared" si="908"/>
        <v>0</v>
      </c>
      <c r="GW120" s="94">
        <f t="shared" si="909"/>
        <v>0</v>
      </c>
      <c r="GX120" s="94">
        <f t="shared" si="910"/>
        <v>0</v>
      </c>
      <c r="GY120" s="102">
        <f t="shared" si="911"/>
        <v>0</v>
      </c>
      <c r="GZ120" s="199"/>
      <c r="HA120" s="92" t="e">
        <f>IF(AND(GQ120&lt;&gt;"",GU120&lt;&gt;""),LOG(GQ120*GU120/Minerals!$C$6),"")</f>
        <v>#NUM!</v>
      </c>
      <c r="HB120" s="94" t="e">
        <f>IF(AND(GQ120&lt;&gt;"",GU120&lt;&gt;""),LOG(GQ120*GU120/Minerals!$C$5),"")</f>
        <v>#NUM!</v>
      </c>
      <c r="HC120" s="94" t="e">
        <f>IF(AND(GQ120&lt;&gt;"",GX120&lt;&gt;""),LOG(GQ120*GX120^2/Minerals!$C$2),"")</f>
        <v>#NUM!</v>
      </c>
      <c r="HD120" s="94" t="e">
        <f>IF(AND(GQ120&lt;&gt;"",GY120&lt;&gt;""),LOG($GQ120*$GY120/Minerals!$C$3),"")</f>
        <v>#NUM!</v>
      </c>
      <c r="HE120" s="102" t="e">
        <f>IF(AND(GQ120&lt;&gt;"",GY120&lt;&gt;""),LOG($GQ120*$GY120/Minerals!$C$3),"")</f>
        <v>#NUM!</v>
      </c>
      <c r="HF120" s="199"/>
      <c r="HG120" s="92" t="e">
        <f>IF(HA120&lt;&gt;"",LOG(GQ120*GU120/(EXP(-1*Minerals!$E$6/'Other Constants'!$B$2*(1/(273.15+'ppm-mgL-1'!$D120)-1/298.15)+LN(Minerals!$C$6)))),"")</f>
        <v>#NUM!</v>
      </c>
      <c r="HH120" s="94" t="e">
        <f>IF(HA120&lt;&gt;"",LOG(GQ120*GU120/(EXP(-1*Minerals!$E$5/'Other Constants'!$B$2*(1/(273.15+'ppm-mgL-1'!$D120)-1/298.15)+LN(Minerals!$C$5)))),"")</f>
        <v>#NUM!</v>
      </c>
      <c r="HI120" s="94" t="e">
        <f>IF(HC120&lt;&gt;"",LOG(GQ120*GX120^2/(EXP(-1*Minerals!$E$2/'Other Constants'!$B$2*(1/(273.15+'ppm-mgL-1'!$D120)-1/298.15)+LN(Minerals!$C$2)))),"")</f>
        <v>#NUM!</v>
      </c>
      <c r="HJ120" s="94" t="e">
        <f>IF(HD120&lt;&gt;"",LOG($FF120*$FN120/(EXP(-1*Minerals!$E$3/'Other Constants'!$B$2*(1/(273.15+'ppm-mgL-1'!$D120)-1/298.15)+LN(Minerals!$C$3)))),"")</f>
        <v>#NUM!</v>
      </c>
      <c r="HK120" s="95" t="e">
        <f>IF(HE120&lt;&gt;"",LOG($FF120*$FN120/(EXP(-1*Minerals!$E$4/'Other Constants'!$B$2*(1/(273.15+'ppm-mgL-1'!$D120)-1/298.15)+LN(Minerals!$C$4)))),"")</f>
        <v>#NUM!</v>
      </c>
      <c r="HL120" s="199"/>
      <c r="HM120" s="199"/>
    </row>
    <row r="121" spans="1:221" x14ac:dyDescent="0.25">
      <c r="A121" s="271" t="s">
        <v>373</v>
      </c>
      <c r="C121" s="277">
        <v>41600</v>
      </c>
      <c r="D121" s="271">
        <v>10.6</v>
      </c>
      <c r="E121" s="271">
        <v>8.33</v>
      </c>
      <c r="F121" s="271"/>
      <c r="G121" s="271">
        <v>722.1</v>
      </c>
      <c r="H121" s="271"/>
      <c r="I121" s="271"/>
      <c r="AD121" s="83">
        <f>IF(E121&lt;&gt;"",10^(-2*$E121)/(10^(-2*$E121)+10^(-$E121-pKa!$B$2)+(10^(-pKa!$B$2-pKa!$C$2))),"")</f>
        <v>9.149123789063322E-3</v>
      </c>
      <c r="AE121" s="84">
        <f>IF(E121&lt;&gt;"",10^(-$E121-pKa!$B$2)/(10^(-2*$E121)+10^(-$E121-pKa!$B$2)+10^(-pKa!$B$2-pKa!$C$2)),"")</f>
        <v>0.98034627659900042</v>
      </c>
      <c r="AF121" s="212">
        <f>IF(E121&lt;&gt;"",10^(-pKa!$B$2-pKa!$C$2)/(10^(-2*$E121)+10^(-$E121-pKa!$B$2)+10^(-pKa!$B$2-pKa!$C$2)),"")</f>
        <v>1.0504599611936328E-2</v>
      </c>
      <c r="AG121" s="152"/>
      <c r="AH121" s="163">
        <f>IF($AI121&lt;&gt;"",$AI121*1000*(AE121+2*AF121)+10^(-14+$E121)-10^(-$E121),IF($E121="","","Enter Alk(HCO3-)"))</f>
        <v>6.3306039685816069</v>
      </c>
      <c r="AI121" s="288">
        <f>75.932035425/1000/12.0107</f>
        <v>6.3220324731281261E-3</v>
      </c>
      <c r="AJ121" s="84">
        <f>IF(AI121&lt;&gt;"",AI121*1000*'Elements and ions'!$B$7,"")</f>
        <v>75.932035424999981</v>
      </c>
      <c r="AK121" s="89">
        <f>IF($AI121&lt;&gt;"",$AH121*'Elements and ions'!$G$3,IF($E121="","","Enter DIC"))</f>
        <v>386.27344945430889</v>
      </c>
      <c r="AL121" s="88">
        <f>IF($AK121&lt;&gt;"",$AK121/'Elements and ions'!$G$3*Minerals!$B$6/2,IF($E121="","","Enter Alk(HCO3-)"))</f>
        <v>316.80526317151521</v>
      </c>
      <c r="AM121" s="199"/>
      <c r="AN121" s="101">
        <f t="shared" si="846"/>
        <v>5.7841057695127366E-5</v>
      </c>
      <c r="AO121" s="94">
        <f t="shared" si="847"/>
        <v>6.1977809955691288E-3</v>
      </c>
      <c r="AP121" s="95">
        <f t="shared" si="848"/>
        <v>6.6410419863870582E-5</v>
      </c>
      <c r="AQ121" s="199"/>
      <c r="AR121" s="199"/>
      <c r="AS121" s="83">
        <f t="shared" si="760"/>
        <v>0.17012075792684517</v>
      </c>
      <c r="AT121" s="83">
        <f>IF(AN121&lt;&gt;"",AN121/'Henrys law constants'!$B$7*1000000,"")</f>
        <v>1701.2075792684518</v>
      </c>
      <c r="AU121" s="268">
        <f>'WC samples'!K99</f>
        <v>0</v>
      </c>
      <c r="AV121" s="269">
        <f>'WC samples'!M99</f>
        <v>0</v>
      </c>
      <c r="AW121" s="269">
        <f>'WC samples'!O99</f>
        <v>0</v>
      </c>
      <c r="AX121" s="269">
        <f>'WC samples'!N99</f>
        <v>0</v>
      </c>
      <c r="AY121" s="226">
        <f>AO121*'Elements and ions'!$G$3*1000</f>
        <v>378.16901136168218</v>
      </c>
      <c r="AZ121" s="269">
        <f>'WC samples'!Q99</f>
        <v>0</v>
      </c>
      <c r="BA121" s="269">
        <f>'WC samples'!T99</f>
        <v>0</v>
      </c>
      <c r="BB121" s="270">
        <f>'WC samples'!V99</f>
        <v>0</v>
      </c>
      <c r="BC121" s="222">
        <f>IF($E121&lt;&gt;"",10^-$E121*'Elements and ions'!B132*1000,"")</f>
        <v>0</v>
      </c>
      <c r="BE121" s="6"/>
      <c r="BF121" s="6"/>
      <c r="BG121" s="270">
        <f>'WC samples'!L99</f>
        <v>0</v>
      </c>
      <c r="BH121" s="3"/>
      <c r="BJ121" s="92">
        <f>IF($AN121&lt;&gt;"",$AN121*'Elements and ions'!$G$2*1000,"")</f>
        <v>3.5875788785075815</v>
      </c>
      <c r="BK121" s="229"/>
      <c r="BL121" s="230"/>
      <c r="BM121" s="101">
        <f>IF($E121&lt;&gt;"",(10^-14+$E121)*'Elements and ions'!$G$8,"")</f>
        <v>141.67114220000019</v>
      </c>
      <c r="BO121" s="102">
        <f>IF($AP121&lt;&gt;"",$AP121*'Elements and ions'!$G$4*1000,"")</f>
        <v>3.9852162445690227</v>
      </c>
      <c r="BP121" s="269">
        <f>'WC samples'!P99</f>
        <v>0</v>
      </c>
      <c r="BQ121" s="270">
        <f>'WC samples'!R99</f>
        <v>0</v>
      </c>
      <c r="BR121" s="195"/>
      <c r="BS121" s="238">
        <f>IF($AU121&lt;&gt;"",$AU121/'Elements and ions'!$B$12,"")</f>
        <v>0</v>
      </c>
      <c r="BT121" s="239">
        <f>IF($AV121&lt;&gt;"",$AV121/'Elements and ions'!$B$20,"")</f>
        <v>0</v>
      </c>
      <c r="BU121" s="239">
        <f>IF($AW121&lt;&gt;"",$AW121/'Elements and ions'!$B$21, "")</f>
        <v>0</v>
      </c>
      <c r="BV121" s="240">
        <f>IF($AX121&lt;&gt;"",$AX121/'Elements and ions'!$B$13, "")</f>
        <v>0</v>
      </c>
      <c r="BW121" s="238">
        <f>IF($AY121&lt;&gt;"",$AY121/'Elements and ions'!$G$3,"")</f>
        <v>6.1977809955691283</v>
      </c>
      <c r="BX121" s="239">
        <f>IF($AZ121&lt;&gt;"",$AZ121/'Elements and ions'!$B$18,"")</f>
        <v>0</v>
      </c>
      <c r="BY121" s="239">
        <f>IF($BA121&lt;&gt;"",$BA121/'Elements and ions'!$G$7,"")</f>
        <v>0</v>
      </c>
      <c r="BZ121" s="241">
        <f>IF($BB121&lt;&gt;"",$BB121/'Elements and ions'!$G$5,"")</f>
        <v>0</v>
      </c>
      <c r="CA121" s="91">
        <f t="shared" si="761"/>
        <v>4.6773514128719728E-6</v>
      </c>
      <c r="CB121" s="163" t="str">
        <f>IF($BD121&lt;&gt;"",$BD121/'Elements and ions'!$B$14,"")</f>
        <v/>
      </c>
      <c r="CC121" s="89" t="str">
        <f>IF($BE121&lt;&gt;"",$BE121/'Elements and ions'!$B$27, "")</f>
        <v/>
      </c>
      <c r="CD121" s="249" t="str">
        <f>IF($BF121&lt;&gt;"",$BF121/'Elements and ions'!$B$26,"")</f>
        <v/>
      </c>
      <c r="CE121" s="250">
        <f>IF($BG121&lt;&gt;"",$BG121/'Elements and ions'!$G$6,"")</f>
        <v>0</v>
      </c>
      <c r="CF121" s="91" t="str">
        <f>IF($BH121&lt;&gt;"",$BH121/'Elements and ions'!$G$15,"")</f>
        <v/>
      </c>
      <c r="CG121" s="89" t="str">
        <f>IF($BI121&lt;&gt;"",$BI121/'Elements and ions'!$G$16,"")</f>
        <v/>
      </c>
      <c r="CH121" s="90">
        <f>IF($BJ121&lt;&gt;"",$BJ121/'Elements and ions'!$G$2,"")</f>
        <v>5.7841057695127367E-2</v>
      </c>
      <c r="CI121" s="91" t="str">
        <f>IF($BK121&lt;&gt;"",$BK121/'Elements and ions'!$B$15, "")</f>
        <v/>
      </c>
      <c r="CJ121" s="88" t="str">
        <f>IF($BL121&lt;&gt;"", $BL121/'Elements and ions'!$G$17,"")</f>
        <v/>
      </c>
      <c r="CK121" s="89">
        <f t="shared" si="762"/>
        <v>2.13796208950223E-3</v>
      </c>
      <c r="CL121" s="163" t="str">
        <f>IF($BN121&lt;&gt;"", $BN121/'Elements and ions'!$G$19,"")</f>
        <v/>
      </c>
      <c r="CM121" s="89">
        <f>IF($BO121&lt;&gt;"",$BO121/'Elements and ions'!$G$4,"")</f>
        <v>6.6410419863870571E-2</v>
      </c>
      <c r="CN121" s="89">
        <f>IF($BP121&lt;&gt;"",$BP121/'Elements and ions'!$B$10,"")</f>
        <v>0</v>
      </c>
      <c r="CO121" s="104">
        <f>IF($BQ121&lt;&gt;"",$BQ121/'Elements and ions'!$G$18,"")</f>
        <v>0</v>
      </c>
      <c r="CP121" s="242"/>
      <c r="CQ121" s="238">
        <f t="shared" si="849"/>
        <v>0</v>
      </c>
      <c r="CR121" s="239">
        <f t="shared" si="850"/>
        <v>0</v>
      </c>
      <c r="CS121" s="239">
        <f t="shared" si="851"/>
        <v>0</v>
      </c>
      <c r="CT121" s="241">
        <f t="shared" si="852"/>
        <v>0</v>
      </c>
      <c r="CU121" s="238">
        <f t="shared" si="853"/>
        <v>6.197780995569128E-3</v>
      </c>
      <c r="CV121" s="239">
        <f t="shared" si="854"/>
        <v>0</v>
      </c>
      <c r="CW121" s="239">
        <f t="shared" si="855"/>
        <v>0</v>
      </c>
      <c r="CX121" s="241">
        <f t="shared" si="856"/>
        <v>0</v>
      </c>
      <c r="CY121" s="258">
        <f t="shared" si="763"/>
        <v>4.6773514128719724E-9</v>
      </c>
      <c r="CZ121" s="259" t="str">
        <f t="shared" si="857"/>
        <v/>
      </c>
      <c r="DA121" s="260" t="str">
        <f t="shared" si="858"/>
        <v/>
      </c>
      <c r="DB121" s="261" t="str">
        <f t="shared" si="859"/>
        <v/>
      </c>
      <c r="DC121" s="262">
        <f t="shared" si="860"/>
        <v>0</v>
      </c>
      <c r="DD121" s="263" t="str">
        <f t="shared" si="861"/>
        <v/>
      </c>
      <c r="DE121" s="259" t="str">
        <f t="shared" si="862"/>
        <v/>
      </c>
      <c r="DF121" s="260">
        <f t="shared" si="863"/>
        <v>5.7841057695127366E-5</v>
      </c>
      <c r="DG121" s="260" t="str">
        <f t="shared" si="864"/>
        <v/>
      </c>
      <c r="DH121" s="264" t="str">
        <f t="shared" si="865"/>
        <v/>
      </c>
      <c r="DI121" s="258">
        <f t="shared" si="764"/>
        <v>2.1379620895022301E-6</v>
      </c>
      <c r="DJ121" s="260" t="str">
        <f t="shared" si="866"/>
        <v/>
      </c>
      <c r="DK121" s="260">
        <f t="shared" si="867"/>
        <v>6.6410419863870569E-5</v>
      </c>
      <c r="DL121" s="260">
        <f t="shared" si="868"/>
        <v>0</v>
      </c>
      <c r="DM121" s="265">
        <f t="shared" si="869"/>
        <v>0</v>
      </c>
      <c r="DN121" s="242"/>
      <c r="DO121" s="238">
        <f t="shared" si="870"/>
        <v>0</v>
      </c>
      <c r="DP121" s="239">
        <f t="shared" si="871"/>
        <v>0</v>
      </c>
      <c r="DQ121" s="239">
        <f t="shared" si="872"/>
        <v>0</v>
      </c>
      <c r="DR121" s="241">
        <f t="shared" si="873"/>
        <v>0</v>
      </c>
      <c r="DS121" s="238">
        <f t="shared" si="874"/>
        <v>-6.1977809955691283</v>
      </c>
      <c r="DT121" s="239">
        <f t="shared" si="875"/>
        <v>0</v>
      </c>
      <c r="DU121" s="239">
        <f t="shared" si="876"/>
        <v>0</v>
      </c>
      <c r="DV121" s="241">
        <f t="shared" si="877"/>
        <v>0</v>
      </c>
      <c r="DW121" s="91">
        <f t="shared" si="765"/>
        <v>4.6773514128719728E-6</v>
      </c>
      <c r="DX121" s="89">
        <f t="shared" si="878"/>
        <v>0</v>
      </c>
      <c r="DY121" s="89">
        <f t="shared" si="879"/>
        <v>0</v>
      </c>
      <c r="DZ121" s="89">
        <f t="shared" si="880"/>
        <v>0</v>
      </c>
      <c r="EA121" s="90">
        <f t="shared" si="881"/>
        <v>0</v>
      </c>
      <c r="EB121" s="91">
        <f t="shared" si="766"/>
        <v>-2.13796208950223E-3</v>
      </c>
      <c r="EC121" s="89">
        <f t="shared" si="882"/>
        <v>0</v>
      </c>
      <c r="ED121" s="89">
        <f t="shared" si="883"/>
        <v>-0.13282083972774114</v>
      </c>
      <c r="EE121" s="89">
        <f t="shared" si="884"/>
        <v>0</v>
      </c>
      <c r="EF121" s="90">
        <f t="shared" si="885"/>
        <v>0</v>
      </c>
      <c r="EG121" s="242"/>
      <c r="EH121" s="245">
        <f t="shared" si="886"/>
        <v>4.6773514128719728E-6</v>
      </c>
      <c r="EI121" s="246">
        <f t="shared" si="887"/>
        <v>-6.3327397973863722</v>
      </c>
      <c r="EJ121" s="198">
        <f t="shared" si="888"/>
        <v>-99.999852280431284</v>
      </c>
      <c r="EK121" s="198">
        <f t="shared" si="889"/>
        <v>3.098890497784564E-3</v>
      </c>
      <c r="EL121" s="101" t="e">
        <f>IF(AND(CS121&lt;&gt;"",DK121&lt;&gt;""),LOG(CS121*DK121/Minerals!$C$6),"")</f>
        <v>#NUM!</v>
      </c>
      <c r="EM121" s="94" t="e">
        <f>IF(AND(CS121&lt;&gt;"",DK121&lt;&gt;""),LOG(CS121*DK121/Minerals!$C$5),"")</f>
        <v>#NUM!</v>
      </c>
      <c r="EN121" s="94" t="e">
        <f>IF(AND(CS121&lt;&gt;"",DL121&lt;&gt;""),LOG(CS121*DL121^2/Minerals!$C$2),"")</f>
        <v>#NUM!</v>
      </c>
      <c r="EO121" s="94" t="e">
        <f>IF(AND(CS121&lt;&gt;"",CX121&lt;&gt;""),LOG($CS121*$CX121/Minerals!$C$3),"")</f>
        <v>#NUM!</v>
      </c>
      <c r="EP121" s="95" t="e">
        <f>IF(AND(CS121&lt;&gt;"",CX121&lt;&gt;""),LOG($CS121*$CX121/Minerals!$C$4),"")</f>
        <v>#NUM!</v>
      </c>
      <c r="EQ121" s="199"/>
      <c r="ER121" s="101">
        <f t="shared" si="843"/>
        <v>0.94109594046075784</v>
      </c>
      <c r="ES121" s="94">
        <f t="shared" si="843"/>
        <v>0.94109594046075784</v>
      </c>
      <c r="ET121" s="94">
        <f t="shared" si="844"/>
        <v>0.78439641507228364</v>
      </c>
      <c r="EU121" s="94">
        <f t="shared" si="844"/>
        <v>0.78439641507228364</v>
      </c>
      <c r="EV121" s="95">
        <f t="shared" si="844"/>
        <v>0.78439641507228364</v>
      </c>
      <c r="EW121" s="101">
        <f t="shared" si="845"/>
        <v>0.94109594046075784</v>
      </c>
      <c r="EX121" s="94">
        <f t="shared" si="758"/>
        <v>0.78439641507228364</v>
      </c>
      <c r="EY121" s="94">
        <f t="shared" si="845"/>
        <v>0.94109594046075784</v>
      </c>
      <c r="EZ121" s="94">
        <f t="shared" si="845"/>
        <v>0.94109594046075784</v>
      </c>
      <c r="FA121" s="94">
        <f t="shared" si="845"/>
        <v>0.94109594046075784</v>
      </c>
      <c r="FB121" s="95">
        <f t="shared" si="759"/>
        <v>0.78439641507228364</v>
      </c>
      <c r="FC121" s="199"/>
      <c r="FD121" s="101">
        <f t="shared" si="890"/>
        <v>0</v>
      </c>
      <c r="FE121" s="94">
        <f t="shared" si="891"/>
        <v>0</v>
      </c>
      <c r="FF121" s="94">
        <f t="shared" si="892"/>
        <v>0</v>
      </c>
      <c r="FG121" s="94">
        <f t="shared" si="893"/>
        <v>0</v>
      </c>
      <c r="FH121" s="95" t="str">
        <f t="shared" si="894"/>
        <v/>
      </c>
      <c r="FI121" s="101">
        <f t="shared" si="895"/>
        <v>5.8327065347949401E-3</v>
      </c>
      <c r="FJ121" s="94">
        <f t="shared" si="896"/>
        <v>5.2092095264665252E-5</v>
      </c>
      <c r="FK121" s="94">
        <f t="shared" si="897"/>
        <v>0</v>
      </c>
      <c r="FL121" s="94">
        <f t="shared" si="898"/>
        <v>0</v>
      </c>
      <c r="FM121" s="94">
        <f t="shared" si="899"/>
        <v>0</v>
      </c>
      <c r="FN121" s="95">
        <f t="shared" si="900"/>
        <v>0</v>
      </c>
      <c r="FO121" s="199"/>
      <c r="FP121" s="101" t="e">
        <f>IF(EL121&lt;&gt;"",LOG(FF121*FJ121/Minerals!$C$6),"")</f>
        <v>#NUM!</v>
      </c>
      <c r="FQ121" s="94" t="e">
        <f>IF(EL121&lt;&gt;"",LOG(FF121*FJ121/Minerals!$C$5),"")</f>
        <v>#NUM!</v>
      </c>
      <c r="FR121" s="94" t="e">
        <f>IF(EN121&lt;&gt;"",LOG(FF121*FM121^2/Minerals!$C$2),"")</f>
        <v>#NUM!</v>
      </c>
      <c r="FS121" s="94" t="e">
        <f>IF(EO121&lt;&gt;"",LOG($FF121*$FN121/Minerals!$C$3),"")</f>
        <v>#NUM!</v>
      </c>
      <c r="FT121" s="95" t="e">
        <f>IF(EP121&lt;&gt;"",LOG($FF121*$FN121/Minerals!$C$4),"")</f>
        <v>#NUM!</v>
      </c>
      <c r="FU121" s="96"/>
      <c r="FV121" s="101" t="e">
        <f>IF(FP121&lt;&gt;"",LOG(FF121*FJ121/(EXP(-1*Minerals!$E$6/'Other Constants'!$B$2*(1/(273.15+'ppm-mgL-1'!$D121)-1/298.15)+LN(Minerals!$C$6)))),"")</f>
        <v>#NUM!</v>
      </c>
      <c r="FW121" s="94" t="e">
        <f>IF(FP121&lt;&gt;"",LOG(FF121*FJ121/(EXP(-1*Minerals!$E$5/'Other Constants'!$B$2*(1/(273.15+'ppm-mgL-1'!$D121)-1/298.15)+LN(Minerals!$C$5)))),"")</f>
        <v>#NUM!</v>
      </c>
      <c r="FX121" s="94" t="e">
        <f>IF(FR121&lt;&gt;"",LOG(FF121*FM121^2/(EXP(-1*Minerals!$E$2/'Other Constants'!$B$2*(1/(273.15+'ppm-mgL-1'!$D121)-1/298.15)+LN(Minerals!$C$2)))),"")</f>
        <v>#NUM!</v>
      </c>
      <c r="FY121" s="94" t="e">
        <f>IF(FS121&lt;&gt;"",LOG($FF121*$FN121/(EXP(-1*Minerals!$E$3/'Other Constants'!$B$2*(1/(273.15+'ppm-mgL-1'!$D121)-1/298.15)+LN(Minerals!$C$3)))),"")</f>
        <v>#NUM!</v>
      </c>
      <c r="FZ121" s="95" t="e">
        <f>IF(FT121&lt;&gt;"",LOG($FF121*$FN121/(EXP(-1*Minerals!$E$4/'Other Constants'!$B$2*(1/(273.15+'ppm-mgL-1'!$D121)-1/298.15)+LN(Minerals!$C$4)))),"")</f>
        <v>#NUM!</v>
      </c>
      <c r="GA121" s="96"/>
      <c r="GB121" s="96"/>
      <c r="GC121" s="101">
        <f>10^(-1825000*(79.755*EXP(-0.0046*($D121-20))*($D121+273.15))^-1.5*$EK121^0.5/(1+'Elements and ions'!$D$12*$EK121^0.5/(2*(79.755*EXP(-0.0046*($D121-20))*($D121+273.15))^0.5)))</f>
        <v>0.94171846885574229</v>
      </c>
      <c r="GD121" s="94">
        <f>10^(-1825000*(79.755*EXP(-0.0046*($D121-20))*($D121+273.15))^-1.5*$EK121^0.5/(1+'Elements and ions'!$D$20*$EK121^0.5/(2*(79.755*EXP(-0.0046*($D121-20))*($D121+273.15))^0.5)))</f>
        <v>0.94074780970396799</v>
      </c>
      <c r="GE121" s="94">
        <f>10^(-1825000*(79.755*EXP(-0.0046*($D121-20))*($D121+273.15))^-1.5*4*$EK121^0.5/(1+'Elements and ions'!$D$21*$EK121^0.5/(2*(79.755*EXP(-0.0046*($D121-20))*($D121+273.15))^0.5)))</f>
        <v>0.79266881540406375</v>
      </c>
      <c r="GF121" s="94">
        <f>10^(-1825000*(79.755*EXP(-0.0046*($D121-20))*($D121+273.15))^-1.5*4*$EK121^0.5/(1+'Elements and ions'!$D$13*$EK121^0.5/(2*(79.755*EXP(-0.0046*($D121-20))*($D121+273.15))^0.5)))</f>
        <v>0.79851601722565324</v>
      </c>
      <c r="GG121" s="95">
        <f>10^(-1825000*(79.755*EXP(-0.0046*($D121-20))*($D121+273.15))^-1.5*4*$EK121^0.5/(1+'Elements and ions'!$D$27*$EK121^0.5/(2*(79.755*EXP(-0.0046*($D121-20))*($D121+273.15))^0.5)))</f>
        <v>0.79266881540406375</v>
      </c>
      <c r="GH121" s="101">
        <f>10^(-1825000*(79.755*EXP(-0.0046*($D121-20))*($D121+273.15))^-1.5*$EK121^0.5/(1+'Elements and ions'!$G$3*$EK121^0.5/(2*(79.755*EXP(-0.0046*($D121-20))*($D121+273.15))^0.5)))</f>
        <v>0.9382917538121055</v>
      </c>
      <c r="GI121" s="94">
        <f>10^(-1825000*(79.755*EXP(-0.0046*($D121-20))*($D121+273.15))^-1.5*4*$EK121^0.5/(1+'Elements and ions'!$G$4*$EK121^0.5/(2*(79.755*EXP(-0.0046*($D121-20))*($D121+273.15))^0.5)))</f>
        <v>0.77505339236332937</v>
      </c>
      <c r="GJ121" s="94">
        <f>10^(-1825000*(79.755*EXP(-0.0046*($D121-20))*($D121+273.15))^-1.5*$EK121^0.5/(1+'Elements and ions'!$D$18*$EK121^0.5/(2*(79.755*EXP(-0.0046*($D121-20))*($D121+273.15))^0.5)))</f>
        <v>0.94074780970396799</v>
      </c>
      <c r="GK121" s="94">
        <f>10^(-1825000*(79.755*EXP(-0.0046*($D121-20))*($D121+273.15))^-1.5*$EK121^0.5/(1+'Elements and ions'!$I$7*$EK121^0.5/(2*(79.755*EXP(-0.0046*($D121-20))*($D121+273.15))^0.5)))</f>
        <v>0.94074780970396799</v>
      </c>
      <c r="GL121" s="94">
        <f>10^(-1825000*(79.755*EXP(-0.0046*($D121-20))*($D121+273.15))^-1.5*$EK121^0.5/(1+'Elements and ions'!$D$10*$EK121^0.5/(2*(79.755*EXP(-0.0046*($D121-20))*($D121+273.15))^0.5)))</f>
        <v>0.94123714613992948</v>
      </c>
      <c r="GM121" s="95">
        <f>10^(-1825000*(79.755*EXP(-0.0046*($D121-20))*($D121+273.15))^-1.5*4*$EK121^0.5/(1+'Elements and ions'!$I$5*$EK121^0.5/(2*(79.755*EXP(-0.0046*($D121-20))*($D121+273.15))^0.5)))</f>
        <v>0.78647396637616651</v>
      </c>
      <c r="GN121" s="96"/>
      <c r="GO121" s="101">
        <f t="shared" si="901"/>
        <v>0</v>
      </c>
      <c r="GP121" s="94">
        <f t="shared" si="902"/>
        <v>0</v>
      </c>
      <c r="GQ121" s="94">
        <f t="shared" si="903"/>
        <v>0</v>
      </c>
      <c r="GR121" s="94">
        <f t="shared" si="904"/>
        <v>0</v>
      </c>
      <c r="GS121" s="95" t="str">
        <f t="shared" si="905"/>
        <v/>
      </c>
      <c r="GT121" s="101">
        <f t="shared" si="906"/>
        <v>5.8153268000758944E-3</v>
      </c>
      <c r="GU121" s="94">
        <f t="shared" si="907"/>
        <v>5.147162120376592E-5</v>
      </c>
      <c r="GV121" s="94">
        <f t="shared" si="908"/>
        <v>0</v>
      </c>
      <c r="GW121" s="94">
        <f t="shared" si="909"/>
        <v>0</v>
      </c>
      <c r="GX121" s="94">
        <f t="shared" si="910"/>
        <v>0</v>
      </c>
      <c r="GY121" s="102">
        <f t="shared" si="911"/>
        <v>0</v>
      </c>
      <c r="GZ121" s="199"/>
      <c r="HA121" s="92" t="e">
        <f>IF(AND(GQ121&lt;&gt;"",GU121&lt;&gt;""),LOG(GQ121*GU121/Minerals!$C$6),"")</f>
        <v>#NUM!</v>
      </c>
      <c r="HB121" s="94" t="e">
        <f>IF(AND(GQ121&lt;&gt;"",GU121&lt;&gt;""),LOG(GQ121*GU121/Minerals!$C$5),"")</f>
        <v>#NUM!</v>
      </c>
      <c r="HC121" s="94" t="e">
        <f>IF(AND(GQ121&lt;&gt;"",GX121&lt;&gt;""),LOG(GQ121*GX121^2/Minerals!$C$2),"")</f>
        <v>#NUM!</v>
      </c>
      <c r="HD121" s="94" t="e">
        <f>IF(AND(GQ121&lt;&gt;"",GY121&lt;&gt;""),LOG($GQ121*$GY121/Minerals!$C$3),"")</f>
        <v>#NUM!</v>
      </c>
      <c r="HE121" s="102" t="e">
        <f>IF(AND(GQ121&lt;&gt;"",GY121&lt;&gt;""),LOG($GQ121*$GY121/Minerals!$C$3),"")</f>
        <v>#NUM!</v>
      </c>
      <c r="HF121" s="199"/>
      <c r="HG121" s="92" t="e">
        <f>IF(HA121&lt;&gt;"",LOG(GQ121*GU121/(EXP(-1*Minerals!$E$6/'Other Constants'!$B$2*(1/(273.15+'ppm-mgL-1'!$D121)-1/298.15)+LN(Minerals!$C$6)))),"")</f>
        <v>#NUM!</v>
      </c>
      <c r="HH121" s="94" t="e">
        <f>IF(HA121&lt;&gt;"",LOG(GQ121*GU121/(EXP(-1*Minerals!$E$5/'Other Constants'!$B$2*(1/(273.15+'ppm-mgL-1'!$D121)-1/298.15)+LN(Minerals!$C$5)))),"")</f>
        <v>#NUM!</v>
      </c>
      <c r="HI121" s="94" t="e">
        <f>IF(HC121&lt;&gt;"",LOG(GQ121*GX121^2/(EXP(-1*Minerals!$E$2/'Other Constants'!$B$2*(1/(273.15+'ppm-mgL-1'!$D121)-1/298.15)+LN(Minerals!$C$2)))),"")</f>
        <v>#NUM!</v>
      </c>
      <c r="HJ121" s="94" t="e">
        <f>IF(HD121&lt;&gt;"",LOG($FF121*$FN121/(EXP(-1*Minerals!$E$3/'Other Constants'!$B$2*(1/(273.15+'ppm-mgL-1'!$D121)-1/298.15)+LN(Minerals!$C$3)))),"")</f>
        <v>#NUM!</v>
      </c>
      <c r="HK121" s="95" t="e">
        <f>IF(HE121&lt;&gt;"",LOG($FF121*$FN121/(EXP(-1*Minerals!$E$4/'Other Constants'!$B$2*(1/(273.15+'ppm-mgL-1'!$D121)-1/298.15)+LN(Minerals!$C$4)))),"")</f>
        <v>#NUM!</v>
      </c>
      <c r="HL121" s="199"/>
      <c r="HM121" s="199"/>
    </row>
    <row r="122" spans="1:221" x14ac:dyDescent="0.25">
      <c r="A122" s="271" t="s">
        <v>373</v>
      </c>
      <c r="C122" s="277">
        <v>41656</v>
      </c>
      <c r="D122" s="271"/>
      <c r="E122" s="271">
        <v>8.4600000000000009</v>
      </c>
      <c r="F122" s="271"/>
      <c r="G122" s="271">
        <v>681.2</v>
      </c>
      <c r="H122" s="271"/>
      <c r="I122" s="271"/>
      <c r="AD122" s="83">
        <f>IF(E122&lt;&gt;"",10^(-2*$E122)/(10^(-2*$E122)+10^(-$E122-pKa!$B$2)+(10^(-pKa!$B$2-pKa!$C$2))),"")</f>
        <v>6.7735408034230674E-3</v>
      </c>
      <c r="AE122" s="84">
        <f>IF(E122&lt;&gt;"",10^(-$E122-pKa!$B$2)/(10^(-2*$E122)+10^(-$E122-pKa!$B$2)+10^(-pKa!$B$2-pKa!$C$2)),"")</f>
        <v>0.97907452660380312</v>
      </c>
      <c r="AF122" s="212">
        <f>IF(E122&lt;&gt;"",10^(-pKa!$B$2-pKa!$C$2)/(10^(-2*$E122)+10^(-$E122-pKa!$B$2)+10^(-pKa!$B$2-pKa!$C$2)),"")</f>
        <v>1.4151932592773833E-2</v>
      </c>
      <c r="AG122" s="152"/>
      <c r="AH122" s="163">
        <f>IF($AI122&lt;&gt;"",$AI122*1000*(AE122+2*AF122)+10^(-14+$E122)-10^(-$E122),IF($E122="","","Enter Alk(HCO3-)"))</f>
        <v>6.3445463374460314</v>
      </c>
      <c r="AI122" s="288">
        <f>75.644275/1000/12.0107</f>
        <v>6.2980738008608988E-3</v>
      </c>
      <c r="AJ122" s="84">
        <f>IF(AI122&lt;&gt;"",AI122*1000*'Elements and ions'!$B$7,"")</f>
        <v>75.644274999999993</v>
      </c>
      <c r="AK122" s="89">
        <f>IF($AI122&lt;&gt;"",$AH122*'Elements and ions'!$G$3,IF($E122="","","Enter DIC"))</f>
        <v>387.12416874453049</v>
      </c>
      <c r="AL122" s="88">
        <f>IF($AK122&lt;&gt;"",$AK122/'Elements and ions'!$G$3*Minerals!$B$6/2,IF($E122="","","Enter Alk(HCO3-)"))</f>
        <v>317.50298741066359</v>
      </c>
      <c r="AM122" s="199"/>
      <c r="AN122" s="101">
        <f t="shared" si="846"/>
        <v>4.2660259873101108E-5</v>
      </c>
      <c r="AO122" s="94">
        <f t="shared" si="847"/>
        <v>6.1662836250936997E-3</v>
      </c>
      <c r="AP122" s="95">
        <f t="shared" si="848"/>
        <v>8.9129915894098322E-5</v>
      </c>
      <c r="AQ122" s="199"/>
      <c r="AR122" s="199"/>
      <c r="AS122" s="83">
        <f t="shared" si="760"/>
        <v>0.12547135256794442</v>
      </c>
      <c r="AT122" s="83">
        <f>IF(AN122&lt;&gt;"",AN122/'Henrys law constants'!$B$7*1000000,"")</f>
        <v>1254.7135256794443</v>
      </c>
      <c r="AU122" s="268">
        <f>'WC samples'!K100</f>
        <v>0</v>
      </c>
      <c r="AV122" s="269">
        <f>'WC samples'!M100</f>
        <v>0</v>
      </c>
      <c r="AW122" s="269">
        <f>'WC samples'!O100</f>
        <v>0</v>
      </c>
      <c r="AX122" s="269">
        <f>'WC samples'!N100</f>
        <v>0</v>
      </c>
      <c r="AY122" s="226">
        <f>AO122*'Elements and ions'!$G$3*1000</f>
        <v>376.24714134696222</v>
      </c>
      <c r="AZ122" s="269">
        <f>'WC samples'!Q100</f>
        <v>0</v>
      </c>
      <c r="BA122" s="269">
        <f>'WC samples'!T100</f>
        <v>0</v>
      </c>
      <c r="BB122" s="270">
        <f>'WC samples'!V100</f>
        <v>0</v>
      </c>
      <c r="BC122" s="222">
        <f>IF($E122&lt;&gt;"",10^-$E122*'Elements and ions'!B133*1000,"")</f>
        <v>0</v>
      </c>
      <c r="BE122" s="6"/>
      <c r="BF122" s="6"/>
      <c r="BG122" s="270">
        <f>'WC samples'!L100</f>
        <v>0</v>
      </c>
      <c r="BH122" s="3"/>
      <c r="BJ122" s="92">
        <f>IF($AN122&lt;&gt;"",$AN122*'Elements and ions'!$G$2*1000,"")</f>
        <v>2.6459932333719238</v>
      </c>
      <c r="BK122" s="229"/>
      <c r="BL122" s="230"/>
      <c r="BM122" s="101">
        <f>IF($E122&lt;&gt;"",(10^-14+$E122)*'Elements and ions'!$G$8,"")</f>
        <v>143.88209640000019</v>
      </c>
      <c r="BO122" s="102">
        <f>IF($AP122&lt;&gt;"",$AP122*'Elements and ions'!$G$4*1000,"")</f>
        <v>5.3485882098973567</v>
      </c>
      <c r="BP122" s="269">
        <f>'WC samples'!P100</f>
        <v>0</v>
      </c>
      <c r="BQ122" s="270">
        <f>'WC samples'!R100</f>
        <v>0</v>
      </c>
      <c r="BR122" s="195"/>
      <c r="BS122" s="238">
        <f>IF($AU122&lt;&gt;"",$AU122/'Elements and ions'!$B$12,"")</f>
        <v>0</v>
      </c>
      <c r="BT122" s="239">
        <f>IF($AV122&lt;&gt;"",$AV122/'Elements and ions'!$B$20,"")</f>
        <v>0</v>
      </c>
      <c r="BU122" s="239">
        <f>IF($AW122&lt;&gt;"",$AW122/'Elements and ions'!$B$21, "")</f>
        <v>0</v>
      </c>
      <c r="BV122" s="240">
        <f>IF($AX122&lt;&gt;"",$AX122/'Elements and ions'!$B$13, "")</f>
        <v>0</v>
      </c>
      <c r="BW122" s="238">
        <f>IF($AY122&lt;&gt;"",$AY122/'Elements and ions'!$G$3,"")</f>
        <v>6.1662836250936994</v>
      </c>
      <c r="BX122" s="239">
        <f>IF($AZ122&lt;&gt;"",$AZ122/'Elements and ions'!$B$18,"")</f>
        <v>0</v>
      </c>
      <c r="BY122" s="239">
        <f>IF($BA122&lt;&gt;"",$BA122/'Elements and ions'!$G$7,"")</f>
        <v>0</v>
      </c>
      <c r="BZ122" s="241">
        <f>IF($BB122&lt;&gt;"",$BB122/'Elements and ions'!$G$5,"")</f>
        <v>0</v>
      </c>
      <c r="CA122" s="91">
        <f t="shared" si="761"/>
        <v>3.4673685045253007E-6</v>
      </c>
      <c r="CB122" s="163" t="str">
        <f>IF($BD122&lt;&gt;"",$BD122/'Elements and ions'!$B$14,"")</f>
        <v/>
      </c>
      <c r="CC122" s="89" t="str">
        <f>IF($BE122&lt;&gt;"",$BE122/'Elements and ions'!$B$27, "")</f>
        <v/>
      </c>
      <c r="CD122" s="249" t="str">
        <f>IF($BF122&lt;&gt;"",$BF122/'Elements and ions'!$B$26,"")</f>
        <v/>
      </c>
      <c r="CE122" s="250">
        <f>IF($BG122&lt;&gt;"",$BG122/'Elements and ions'!$G$6,"")</f>
        <v>0</v>
      </c>
      <c r="CF122" s="91" t="str">
        <f>IF($BH122&lt;&gt;"",$BH122/'Elements and ions'!$G$15,"")</f>
        <v/>
      </c>
      <c r="CG122" s="89" t="str">
        <f>IF($BI122&lt;&gt;"",$BI122/'Elements and ions'!$G$16,"")</f>
        <v/>
      </c>
      <c r="CH122" s="90">
        <f>IF($BJ122&lt;&gt;"",$BJ122/'Elements and ions'!$G$2,"")</f>
        <v>4.2660259873101111E-2</v>
      </c>
      <c r="CI122" s="91" t="str">
        <f>IF($BK122&lt;&gt;"",$BK122/'Elements and ions'!$B$15, "")</f>
        <v/>
      </c>
      <c r="CJ122" s="88" t="str">
        <f>IF($BL122&lt;&gt;"", $BL122/'Elements and ions'!$G$17,"")</f>
        <v/>
      </c>
      <c r="CK122" s="89">
        <f t="shared" si="762"/>
        <v>2.8840315031266103E-3</v>
      </c>
      <c r="CL122" s="163" t="str">
        <f>IF($BN122&lt;&gt;"", $BN122/'Elements and ions'!$G$19,"")</f>
        <v/>
      </c>
      <c r="CM122" s="89">
        <f>IF($BO122&lt;&gt;"",$BO122/'Elements and ions'!$G$4,"")</f>
        <v>8.9129915894098327E-2</v>
      </c>
      <c r="CN122" s="89">
        <f>IF($BP122&lt;&gt;"",$BP122/'Elements and ions'!$B$10,"")</f>
        <v>0</v>
      </c>
      <c r="CO122" s="104">
        <f>IF($BQ122&lt;&gt;"",$BQ122/'Elements and ions'!$G$18,"")</f>
        <v>0</v>
      </c>
      <c r="CP122" s="242"/>
      <c r="CQ122" s="238">
        <f t="shared" si="849"/>
        <v>0</v>
      </c>
      <c r="CR122" s="239">
        <f t="shared" si="850"/>
        <v>0</v>
      </c>
      <c r="CS122" s="239">
        <f t="shared" si="851"/>
        <v>0</v>
      </c>
      <c r="CT122" s="241">
        <f t="shared" si="852"/>
        <v>0</v>
      </c>
      <c r="CU122" s="238">
        <f t="shared" si="853"/>
        <v>6.1662836250936997E-3</v>
      </c>
      <c r="CV122" s="239">
        <f t="shared" si="854"/>
        <v>0</v>
      </c>
      <c r="CW122" s="239">
        <f t="shared" si="855"/>
        <v>0</v>
      </c>
      <c r="CX122" s="241">
        <f t="shared" si="856"/>
        <v>0</v>
      </c>
      <c r="CY122" s="258">
        <f t="shared" si="763"/>
        <v>3.467368504525301E-9</v>
      </c>
      <c r="CZ122" s="259" t="str">
        <f t="shared" si="857"/>
        <v/>
      </c>
      <c r="DA122" s="260" t="str">
        <f t="shared" si="858"/>
        <v/>
      </c>
      <c r="DB122" s="261" t="str">
        <f t="shared" si="859"/>
        <v/>
      </c>
      <c r="DC122" s="262">
        <f t="shared" si="860"/>
        <v>0</v>
      </c>
      <c r="DD122" s="263" t="str">
        <f t="shared" si="861"/>
        <v/>
      </c>
      <c r="DE122" s="259" t="str">
        <f t="shared" si="862"/>
        <v/>
      </c>
      <c r="DF122" s="260">
        <f t="shared" si="863"/>
        <v>4.2660259873101108E-5</v>
      </c>
      <c r="DG122" s="260" t="str">
        <f t="shared" si="864"/>
        <v/>
      </c>
      <c r="DH122" s="264" t="str">
        <f t="shared" si="865"/>
        <v/>
      </c>
      <c r="DI122" s="258">
        <f t="shared" si="764"/>
        <v>2.8840315031266101E-6</v>
      </c>
      <c r="DJ122" s="260" t="str">
        <f t="shared" si="866"/>
        <v/>
      </c>
      <c r="DK122" s="260">
        <f t="shared" si="867"/>
        <v>8.9129915894098322E-5</v>
      </c>
      <c r="DL122" s="260">
        <f t="shared" si="868"/>
        <v>0</v>
      </c>
      <c r="DM122" s="265">
        <f t="shared" si="869"/>
        <v>0</v>
      </c>
      <c r="DN122" s="242"/>
      <c r="DO122" s="238">
        <f t="shared" si="870"/>
        <v>0</v>
      </c>
      <c r="DP122" s="239">
        <f t="shared" si="871"/>
        <v>0</v>
      </c>
      <c r="DQ122" s="239">
        <f t="shared" si="872"/>
        <v>0</v>
      </c>
      <c r="DR122" s="241">
        <f t="shared" si="873"/>
        <v>0</v>
      </c>
      <c r="DS122" s="238">
        <f t="shared" si="874"/>
        <v>-6.1662836250936994</v>
      </c>
      <c r="DT122" s="239">
        <f t="shared" si="875"/>
        <v>0</v>
      </c>
      <c r="DU122" s="239">
        <f t="shared" si="876"/>
        <v>0</v>
      </c>
      <c r="DV122" s="241">
        <f t="shared" si="877"/>
        <v>0</v>
      </c>
      <c r="DW122" s="91">
        <f t="shared" si="765"/>
        <v>3.4673685045253007E-6</v>
      </c>
      <c r="DX122" s="89">
        <f t="shared" si="878"/>
        <v>0</v>
      </c>
      <c r="DY122" s="89">
        <f t="shared" si="879"/>
        <v>0</v>
      </c>
      <c r="DZ122" s="89">
        <f t="shared" si="880"/>
        <v>0</v>
      </c>
      <c r="EA122" s="90">
        <f t="shared" si="881"/>
        <v>0</v>
      </c>
      <c r="EB122" s="91">
        <f t="shared" si="766"/>
        <v>-2.8840315031266103E-3</v>
      </c>
      <c r="EC122" s="89">
        <f t="shared" si="882"/>
        <v>0</v>
      </c>
      <c r="ED122" s="89">
        <f t="shared" si="883"/>
        <v>-0.17825983178819665</v>
      </c>
      <c r="EE122" s="89">
        <f t="shared" si="884"/>
        <v>0</v>
      </c>
      <c r="EF122" s="90">
        <f t="shared" si="885"/>
        <v>0</v>
      </c>
      <c r="EG122" s="242"/>
      <c r="EH122" s="245">
        <f t="shared" si="886"/>
        <v>3.4673685045253007E-6</v>
      </c>
      <c r="EI122" s="246">
        <f t="shared" si="887"/>
        <v>-6.3474274883850219</v>
      </c>
      <c r="EJ122" s="198">
        <f t="shared" si="888"/>
        <v>-99.999890747342405</v>
      </c>
      <c r="EK122" s="198">
        <f t="shared" si="889"/>
        <v>3.0831418125468499E-3</v>
      </c>
      <c r="EL122" s="101" t="e">
        <f>IF(AND(CS122&lt;&gt;"",DK122&lt;&gt;""),LOG(CS122*DK122/Minerals!$C$6),"")</f>
        <v>#NUM!</v>
      </c>
      <c r="EM122" s="94" t="e">
        <f>IF(AND(CS122&lt;&gt;"",DK122&lt;&gt;""),LOG(CS122*DK122/Minerals!$C$5),"")</f>
        <v>#NUM!</v>
      </c>
      <c r="EN122" s="94" t="e">
        <f>IF(AND(CS122&lt;&gt;"",DL122&lt;&gt;""),LOG(CS122*DL122^2/Minerals!$C$2),"")</f>
        <v>#NUM!</v>
      </c>
      <c r="EO122" s="94" t="e">
        <f>IF(AND(CS122&lt;&gt;"",CX122&lt;&gt;""),LOG($CS122*$CX122/Minerals!$C$3),"")</f>
        <v>#NUM!</v>
      </c>
      <c r="EP122" s="95" t="e">
        <f>IF(AND(CS122&lt;&gt;"",CX122&lt;&gt;""),LOG($CS122*$CX122/Minerals!$C$4),"")</f>
        <v>#NUM!</v>
      </c>
      <c r="EQ122" s="199"/>
      <c r="ER122" s="101">
        <f t="shared" si="843"/>
        <v>0.94123366750039383</v>
      </c>
      <c r="ES122" s="94">
        <f t="shared" si="843"/>
        <v>0.94123366750039383</v>
      </c>
      <c r="ET122" s="94">
        <f t="shared" si="844"/>
        <v>0.78485569370379438</v>
      </c>
      <c r="EU122" s="94">
        <f t="shared" si="844"/>
        <v>0.78485569370379438</v>
      </c>
      <c r="EV122" s="95">
        <f t="shared" si="844"/>
        <v>0.78485569370379438</v>
      </c>
      <c r="EW122" s="101">
        <f t="shared" si="845"/>
        <v>0.94123366750039383</v>
      </c>
      <c r="EX122" s="94">
        <f t="shared" si="758"/>
        <v>0.78485569370379438</v>
      </c>
      <c r="EY122" s="94">
        <f t="shared" si="845"/>
        <v>0.94123366750039383</v>
      </c>
      <c r="EZ122" s="94">
        <f t="shared" si="845"/>
        <v>0.94123366750039383</v>
      </c>
      <c r="FA122" s="94">
        <f t="shared" si="845"/>
        <v>0.94123366750039383</v>
      </c>
      <c r="FB122" s="95">
        <f t="shared" si="759"/>
        <v>0.78485569370379438</v>
      </c>
      <c r="FC122" s="199"/>
      <c r="FD122" s="101">
        <f t="shared" si="890"/>
        <v>0</v>
      </c>
      <c r="FE122" s="94">
        <f t="shared" si="891"/>
        <v>0</v>
      </c>
      <c r="FF122" s="94">
        <f t="shared" si="892"/>
        <v>0</v>
      </c>
      <c r="FG122" s="94">
        <f t="shared" si="893"/>
        <v>0</v>
      </c>
      <c r="FH122" s="95" t="str">
        <f t="shared" si="894"/>
        <v/>
      </c>
      <c r="FI122" s="101">
        <f t="shared" si="895"/>
        <v>5.8039137512945664E-3</v>
      </c>
      <c r="FJ122" s="94">
        <f t="shared" si="896"/>
        <v>6.9954121968823389E-5</v>
      </c>
      <c r="FK122" s="94">
        <f t="shared" si="897"/>
        <v>0</v>
      </c>
      <c r="FL122" s="94">
        <f t="shared" si="898"/>
        <v>0</v>
      </c>
      <c r="FM122" s="94">
        <f t="shared" si="899"/>
        <v>0</v>
      </c>
      <c r="FN122" s="95">
        <f t="shared" si="900"/>
        <v>0</v>
      </c>
      <c r="FO122" s="199"/>
      <c r="FP122" s="101" t="e">
        <f>IF(EL122&lt;&gt;"",LOG(FF122*FJ122/Minerals!$C$6),"")</f>
        <v>#NUM!</v>
      </c>
      <c r="FQ122" s="94" t="e">
        <f>IF(EL122&lt;&gt;"",LOG(FF122*FJ122/Minerals!$C$5),"")</f>
        <v>#NUM!</v>
      </c>
      <c r="FR122" s="94" t="e">
        <f>IF(EN122&lt;&gt;"",LOG(FF122*FM122^2/Minerals!$C$2),"")</f>
        <v>#NUM!</v>
      </c>
      <c r="FS122" s="94" t="e">
        <f>IF(EO122&lt;&gt;"",LOG($FF122*$FN122/Minerals!$C$3),"")</f>
        <v>#NUM!</v>
      </c>
      <c r="FT122" s="95" t="e">
        <f>IF(EP122&lt;&gt;"",LOG($FF122*$FN122/Minerals!$C$4),"")</f>
        <v>#NUM!</v>
      </c>
      <c r="FU122" s="96"/>
      <c r="FV122" s="101" t="e">
        <f>IF(FP122&lt;&gt;"",LOG(FF122*FJ122/(EXP(-1*Minerals!$E$6/'Other Constants'!$B$2*(1/(273.15+'ppm-mgL-1'!$D122)-1/298.15)+LN(Minerals!$C$6)))),"")</f>
        <v>#NUM!</v>
      </c>
      <c r="FW122" s="94" t="e">
        <f>IF(FP122&lt;&gt;"",LOG(FF122*FJ122/(EXP(-1*Minerals!$E$5/'Other Constants'!$B$2*(1/(273.15+'ppm-mgL-1'!$D122)-1/298.15)+LN(Minerals!$C$5)))),"")</f>
        <v>#NUM!</v>
      </c>
      <c r="FX122" s="94" t="e">
        <f>IF(FR122&lt;&gt;"",LOG(FF122*FM122^2/(EXP(-1*Minerals!$E$2/'Other Constants'!$B$2*(1/(273.15+'ppm-mgL-1'!$D122)-1/298.15)+LN(Minerals!$C$2)))),"")</f>
        <v>#NUM!</v>
      </c>
      <c r="FY122" s="94" t="e">
        <f>IF(FS122&lt;&gt;"",LOG($FF122*$FN122/(EXP(-1*Minerals!$E$3/'Other Constants'!$B$2*(1/(273.15+'ppm-mgL-1'!$D122)-1/298.15)+LN(Minerals!$C$3)))),"")</f>
        <v>#NUM!</v>
      </c>
      <c r="FZ122" s="95" t="e">
        <f>IF(FT122&lt;&gt;"",LOG($FF122*$FN122/(EXP(-1*Minerals!$E$4/'Other Constants'!$B$2*(1/(273.15+'ppm-mgL-1'!$D122)-1/298.15)+LN(Minerals!$C$4)))),"")</f>
        <v>#NUM!</v>
      </c>
      <c r="GA122" s="96"/>
      <c r="GB122" s="96"/>
      <c r="GC122" s="101">
        <f>10^(-1825000*(79.755*EXP(-0.0046*($D122-20))*($D122+273.15))^-1.5*$EK122^0.5/(1+'Elements and ions'!$D$12*$EK122^0.5/(2*(79.755*EXP(-0.0046*($D122-20))*($D122+273.15))^0.5)))</f>
        <v>0.94273044622063529</v>
      </c>
      <c r="GD122" s="94">
        <f>10^(-1825000*(79.755*EXP(-0.0046*($D122-20))*($D122+273.15))^-1.5*$EK122^0.5/(1+'Elements and ions'!$D$20*$EK122^0.5/(2*(79.755*EXP(-0.0046*($D122-20))*($D122+273.15))^0.5)))</f>
        <v>0.94178322905533074</v>
      </c>
      <c r="GE122" s="94">
        <f>10^(-1825000*(79.755*EXP(-0.0046*($D122-20))*($D122+273.15))^-1.5*4*$EK122^0.5/(1+'Elements and ions'!$D$21*$EK122^0.5/(2*(79.755*EXP(-0.0046*($D122-20))*($D122+273.15))^0.5)))</f>
        <v>0.79592631703729966</v>
      </c>
      <c r="GF122" s="94">
        <f>10^(-1825000*(79.755*EXP(-0.0046*($D122-20))*($D122+273.15))^-1.5*4*$EK122^0.5/(1+'Elements and ions'!$D$13*$EK122^0.5/(2*(79.755*EXP(-0.0046*($D122-20))*($D122+273.15))^0.5)))</f>
        <v>0.80165376510736785</v>
      </c>
      <c r="GG122" s="95">
        <f>10^(-1825000*(79.755*EXP(-0.0046*($D122-20))*($D122+273.15))^-1.5*4*$EK122^0.5/(1+'Elements and ions'!$D$27*$EK122^0.5/(2*(79.755*EXP(-0.0046*($D122-20))*($D122+273.15))^0.5)))</f>
        <v>0.79592631703729966</v>
      </c>
      <c r="GH122" s="101">
        <f>10^(-1825000*(79.755*EXP(-0.0046*($D122-20))*($D122+273.15))^-1.5*$EK122^0.5/(1+'Elements and ions'!$G$3*$EK122^0.5/(2*(79.755*EXP(-0.0046*($D122-20))*($D122+273.15))^0.5)))</f>
        <v>0.93938744345013658</v>
      </c>
      <c r="GI122" s="94">
        <f>10^(-1825000*(79.755*EXP(-0.0046*($D122-20))*($D122+273.15))^-1.5*4*$EK122^0.5/(1+'Elements and ions'!$G$4*$EK122^0.5/(2*(79.755*EXP(-0.0046*($D122-20))*($D122+273.15))^0.5)))</f>
        <v>0.77868094092725515</v>
      </c>
      <c r="GJ122" s="94">
        <f>10^(-1825000*(79.755*EXP(-0.0046*($D122-20))*($D122+273.15))^-1.5*$EK122^0.5/(1+'Elements and ions'!$D$18*$EK122^0.5/(2*(79.755*EXP(-0.0046*($D122-20))*($D122+273.15))^0.5)))</f>
        <v>0.94178322905533074</v>
      </c>
      <c r="GK122" s="94">
        <f>10^(-1825000*(79.755*EXP(-0.0046*($D122-20))*($D122+273.15))^-1.5*$EK122^0.5/(1+'Elements and ions'!$I$7*$EK122^0.5/(2*(79.755*EXP(-0.0046*($D122-20))*($D122+273.15))^0.5)))</f>
        <v>0.94178322905533074</v>
      </c>
      <c r="GL122" s="94">
        <f>10^(-1825000*(79.755*EXP(-0.0046*($D122-20))*($D122+273.15))^-1.5*$EK122^0.5/(1+'Elements and ions'!$D$10*$EK122^0.5/(2*(79.755*EXP(-0.0046*($D122-20))*($D122+273.15))^0.5)))</f>
        <v>0.94226072098907221</v>
      </c>
      <c r="GM122" s="95">
        <f>10^(-1825000*(79.755*EXP(-0.0046*($D122-20))*($D122+273.15))^-1.5*4*$EK122^0.5/(1+'Elements and ions'!$I$5*$EK122^0.5/(2*(79.755*EXP(-0.0046*($D122-20))*($D122+273.15))^0.5)))</f>
        <v>0.78986002158283641</v>
      </c>
      <c r="GN122" s="96"/>
      <c r="GO122" s="101">
        <f t="shared" si="901"/>
        <v>0</v>
      </c>
      <c r="GP122" s="94">
        <f t="shared" si="902"/>
        <v>0</v>
      </c>
      <c r="GQ122" s="94">
        <f t="shared" si="903"/>
        <v>0</v>
      </c>
      <c r="GR122" s="94">
        <f t="shared" si="904"/>
        <v>0</v>
      </c>
      <c r="GS122" s="95" t="str">
        <f t="shared" si="905"/>
        <v/>
      </c>
      <c r="GT122" s="101">
        <f t="shared" si="906"/>
        <v>5.7925294101652111E-3</v>
      </c>
      <c r="GU122" s="94">
        <f t="shared" si="907"/>
        <v>6.9403766773183602E-5</v>
      </c>
      <c r="GV122" s="94">
        <f t="shared" si="908"/>
        <v>0</v>
      </c>
      <c r="GW122" s="94">
        <f t="shared" si="909"/>
        <v>0</v>
      </c>
      <c r="GX122" s="94">
        <f t="shared" si="910"/>
        <v>0</v>
      </c>
      <c r="GY122" s="102">
        <f t="shared" si="911"/>
        <v>0</v>
      </c>
      <c r="GZ122" s="199"/>
      <c r="HA122" s="92" t="e">
        <f>IF(AND(GQ122&lt;&gt;"",GU122&lt;&gt;""),LOG(GQ122*GU122/Minerals!$C$6),"")</f>
        <v>#NUM!</v>
      </c>
      <c r="HB122" s="94" t="e">
        <f>IF(AND(GQ122&lt;&gt;"",GU122&lt;&gt;""),LOG(GQ122*GU122/Minerals!$C$5),"")</f>
        <v>#NUM!</v>
      </c>
      <c r="HC122" s="94" t="e">
        <f>IF(AND(GQ122&lt;&gt;"",GX122&lt;&gt;""),LOG(GQ122*GX122^2/Minerals!$C$2),"")</f>
        <v>#NUM!</v>
      </c>
      <c r="HD122" s="94" t="e">
        <f>IF(AND(GQ122&lt;&gt;"",GY122&lt;&gt;""),LOG($GQ122*$GY122/Minerals!$C$3),"")</f>
        <v>#NUM!</v>
      </c>
      <c r="HE122" s="102" t="e">
        <f>IF(AND(GQ122&lt;&gt;"",GY122&lt;&gt;""),LOG($GQ122*$GY122/Minerals!$C$3),"")</f>
        <v>#NUM!</v>
      </c>
      <c r="HF122" s="199"/>
      <c r="HG122" s="92" t="e">
        <f>IF(HA122&lt;&gt;"",LOG(GQ122*GU122/(EXP(-1*Minerals!$E$6/'Other Constants'!$B$2*(1/(273.15+'ppm-mgL-1'!$D122)-1/298.15)+LN(Minerals!$C$6)))),"")</f>
        <v>#NUM!</v>
      </c>
      <c r="HH122" s="94" t="e">
        <f>IF(HA122&lt;&gt;"",LOG(GQ122*GU122/(EXP(-1*Minerals!$E$5/'Other Constants'!$B$2*(1/(273.15+'ppm-mgL-1'!$D122)-1/298.15)+LN(Minerals!$C$5)))),"")</f>
        <v>#NUM!</v>
      </c>
      <c r="HI122" s="94" t="e">
        <f>IF(HC122&lt;&gt;"",LOG(GQ122*GX122^2/(EXP(-1*Minerals!$E$2/'Other Constants'!$B$2*(1/(273.15+'ppm-mgL-1'!$D122)-1/298.15)+LN(Minerals!$C$2)))),"")</f>
        <v>#NUM!</v>
      </c>
      <c r="HJ122" s="94" t="e">
        <f>IF(HD122&lt;&gt;"",LOG($FF122*$FN122/(EXP(-1*Minerals!$E$3/'Other Constants'!$B$2*(1/(273.15+'ppm-mgL-1'!$D122)-1/298.15)+LN(Minerals!$C$3)))),"")</f>
        <v>#NUM!</v>
      </c>
      <c r="HK122" s="95" t="e">
        <f>IF(HE122&lt;&gt;"",LOG($FF122*$FN122/(EXP(-1*Minerals!$E$4/'Other Constants'!$B$2*(1/(273.15+'ppm-mgL-1'!$D122)-1/298.15)+LN(Minerals!$C$4)))),"")</f>
        <v>#NUM!</v>
      </c>
      <c r="HL122" s="199"/>
      <c r="HM122" s="199"/>
    </row>
    <row r="123" spans="1:221" x14ac:dyDescent="0.25">
      <c r="A123" s="271" t="s">
        <v>373</v>
      </c>
      <c r="C123" s="277">
        <v>41697</v>
      </c>
      <c r="D123" s="271">
        <v>8.3000000000000007</v>
      </c>
      <c r="E123" s="271">
        <v>8.86</v>
      </c>
      <c r="F123" s="271"/>
      <c r="G123" s="271">
        <v>654.1</v>
      </c>
      <c r="H123" s="271"/>
      <c r="I123" s="271"/>
      <c r="AD123" s="83">
        <f>IF(E123&lt;&gt;"",10^(-2*$E123)/(10^(-2*$E123)+10^(-$E123-pKa!$B$2)+(10^(-pKa!$B$2-pKa!$C$2))),"")</f>
        <v>2.6506874592052781E-3</v>
      </c>
      <c r="AE123" s="84">
        <f>IF(E123&lt;&gt;"",10^(-$E123-pKa!$B$2)/(10^(-2*$E123)+10^(-$E123-pKa!$B$2)+10^(-pKa!$B$2-pKa!$C$2)),"")</f>
        <v>0.96240644649175167</v>
      </c>
      <c r="AF123" s="212">
        <f>IF(E123&lt;&gt;"",10^(-pKa!$B$2-pKa!$C$2)/(10^(-2*$E123)+10^(-$E123-pKa!$B$2)+10^(-pKa!$B$2-pKa!$C$2)),"")</f>
        <v>3.4942866049043064E-2</v>
      </c>
      <c r="AG123" s="152"/>
      <c r="AH123" s="163">
        <f>IF($AI123&lt;&gt;"",$AI123*1000*(AE123+2*AF123)+10^(-14+$E123)-10^(-$E123),IF($E123="","","Enter Alk(HCO3-)"))</f>
        <v>8.5582065164575543</v>
      </c>
      <c r="AI123" s="288">
        <f>99.5744869/1000/12.0107</f>
        <v>8.2904815622736397E-3</v>
      </c>
      <c r="AJ123" s="84">
        <f>IF(AI123&lt;&gt;"",AI123*1000*'Elements and ions'!$B$7,"")</f>
        <v>99.574486899999997</v>
      </c>
      <c r="AK123" s="89">
        <f>IF($AI123&lt;&gt;"",$AH123*'Elements and ions'!$G$3,IF($E123="","","Enter DIC"))</f>
        <v>522.19471770164796</v>
      </c>
      <c r="AL123" s="88">
        <f>IF($AK123&lt;&gt;"",$AK123/'Elements and ions'!$G$3*Minerals!$B$6/2,IF($E123="","","Enter Alk(HCO3-)"))</f>
        <v>428.28217989601779</v>
      </c>
      <c r="AM123" s="199"/>
      <c r="AN123" s="101">
        <f t="shared" si="846"/>
        <v>2.1975475507891318E-5</v>
      </c>
      <c r="AO123" s="94">
        <f t="shared" si="847"/>
        <v>7.9788129000531588E-3</v>
      </c>
      <c r="AP123" s="95">
        <f t="shared" si="848"/>
        <v>2.8969318671258907E-4</v>
      </c>
      <c r="AQ123" s="199"/>
      <c r="AR123" s="199"/>
      <c r="AS123" s="83">
        <f t="shared" si="760"/>
        <v>6.4633751493797992E-2</v>
      </c>
      <c r="AT123" s="83">
        <f>IF(AN123&lt;&gt;"",AN123/'Henrys law constants'!$B$7*1000000,"")</f>
        <v>646.3375149379799</v>
      </c>
      <c r="AU123" s="268">
        <f>'WC samples'!K101</f>
        <v>0</v>
      </c>
      <c r="AV123" s="269">
        <f>'WC samples'!M101</f>
        <v>0</v>
      </c>
      <c r="AW123" s="269">
        <f>'WC samples'!O101</f>
        <v>0</v>
      </c>
      <c r="AX123" s="269">
        <f>'WC samples'!N101</f>
        <v>0</v>
      </c>
      <c r="AY123" s="226">
        <f>AO123*'Elements and ions'!$G$3*1000</f>
        <v>486.84195011247954</v>
      </c>
      <c r="AZ123" s="269">
        <f>'WC samples'!Q101</f>
        <v>0</v>
      </c>
      <c r="BA123" s="269">
        <f>'WC samples'!T101</f>
        <v>0</v>
      </c>
      <c r="BB123" s="270">
        <f>'WC samples'!V101</f>
        <v>0</v>
      </c>
      <c r="BC123" s="222">
        <f>IF($E123&lt;&gt;"",10^-$E123*'Elements and ions'!B134*1000,"")</f>
        <v>0</v>
      </c>
      <c r="BE123" s="6"/>
      <c r="BF123" s="6"/>
      <c r="BG123" s="270">
        <f>'WC samples'!L101</f>
        <v>0</v>
      </c>
      <c r="BH123" s="3"/>
      <c r="BJ123" s="92">
        <f>IF($AN123&lt;&gt;"",$AN123*'Elements and ions'!$G$2*1000,"")</f>
        <v>1.3630240337723472</v>
      </c>
      <c r="BK123" s="229"/>
      <c r="BL123" s="230"/>
      <c r="BM123" s="101">
        <f>IF($E123&lt;&gt;"",(10^-14+$E123)*'Elements and ions'!$G$8,"")</f>
        <v>150.68503240000015</v>
      </c>
      <c r="BO123" s="102">
        <f>IF($AP123&lt;&gt;"",$AP123*'Elements and ions'!$G$4*1000,"")</f>
        <v>17.384169472117087</v>
      </c>
      <c r="BP123" s="269">
        <f>'WC samples'!P101</f>
        <v>0</v>
      </c>
      <c r="BQ123" s="270">
        <f>'WC samples'!R101</f>
        <v>0</v>
      </c>
      <c r="BR123" s="195"/>
      <c r="BS123" s="238">
        <f>IF($AU123&lt;&gt;"",$AU123/'Elements and ions'!$B$12,"")</f>
        <v>0</v>
      </c>
      <c r="BT123" s="239">
        <f>IF($AV123&lt;&gt;"",$AV123/'Elements and ions'!$B$20,"")</f>
        <v>0</v>
      </c>
      <c r="BU123" s="239">
        <f>IF($AW123&lt;&gt;"",$AW123/'Elements and ions'!$B$21, "")</f>
        <v>0</v>
      </c>
      <c r="BV123" s="240">
        <f>IF($AX123&lt;&gt;"",$AX123/'Elements and ions'!$B$13, "")</f>
        <v>0</v>
      </c>
      <c r="BW123" s="238">
        <f>IF($AY123&lt;&gt;"",$AY123/'Elements and ions'!$G$3,"")</f>
        <v>7.9788129000531587</v>
      </c>
      <c r="BX123" s="239">
        <f>IF($AZ123&lt;&gt;"",$AZ123/'Elements and ions'!$B$18,"")</f>
        <v>0</v>
      </c>
      <c r="BY123" s="239">
        <f>IF($BA123&lt;&gt;"",$BA123/'Elements and ions'!$G$7,"")</f>
        <v>0</v>
      </c>
      <c r="BZ123" s="241">
        <f>IF($BB123&lt;&gt;"",$BB123/'Elements and ions'!$G$5,"")</f>
        <v>0</v>
      </c>
      <c r="CA123" s="91">
        <f t="shared" si="761"/>
        <v>1.380384264602884E-6</v>
      </c>
      <c r="CB123" s="163" t="str">
        <f>IF($BD123&lt;&gt;"",$BD123/'Elements and ions'!$B$14,"")</f>
        <v/>
      </c>
      <c r="CC123" s="89" t="str">
        <f>IF($BE123&lt;&gt;"",$BE123/'Elements and ions'!$B$27, "")</f>
        <v/>
      </c>
      <c r="CD123" s="249" t="str">
        <f>IF($BF123&lt;&gt;"",$BF123/'Elements and ions'!$B$26,"")</f>
        <v/>
      </c>
      <c r="CE123" s="250">
        <f>IF($BG123&lt;&gt;"",$BG123/'Elements and ions'!$G$6,"")</f>
        <v>0</v>
      </c>
      <c r="CF123" s="91" t="str">
        <f>IF($BH123&lt;&gt;"",$BH123/'Elements and ions'!$G$15,"")</f>
        <v/>
      </c>
      <c r="CG123" s="89" t="str">
        <f>IF($BI123&lt;&gt;"",$BI123/'Elements and ions'!$G$16,"")</f>
        <v/>
      </c>
      <c r="CH123" s="90">
        <f>IF($BJ123&lt;&gt;"",$BJ123/'Elements and ions'!$G$2,"")</f>
        <v>2.1975475507891321E-2</v>
      </c>
      <c r="CI123" s="91" t="str">
        <f>IF($BK123&lt;&gt;"",$BK123/'Elements and ions'!$B$15, "")</f>
        <v/>
      </c>
      <c r="CJ123" s="88" t="str">
        <f>IF($BL123&lt;&gt;"", $BL123/'Elements and ions'!$G$17,"")</f>
        <v/>
      </c>
      <c r="CK123" s="89">
        <f t="shared" si="762"/>
        <v>7.2443596007498827E-3</v>
      </c>
      <c r="CL123" s="163" t="str">
        <f>IF($BN123&lt;&gt;"", $BN123/'Elements and ions'!$G$19,"")</f>
        <v/>
      </c>
      <c r="CM123" s="89">
        <f>IF($BO123&lt;&gt;"",$BO123/'Elements and ions'!$G$4,"")</f>
        <v>0.28969318671258909</v>
      </c>
      <c r="CN123" s="89">
        <f>IF($BP123&lt;&gt;"",$BP123/'Elements and ions'!$B$10,"")</f>
        <v>0</v>
      </c>
      <c r="CO123" s="104">
        <f>IF($BQ123&lt;&gt;"",$BQ123/'Elements and ions'!$G$18,"")</f>
        <v>0</v>
      </c>
      <c r="CP123" s="242"/>
      <c r="CQ123" s="238">
        <f t="shared" si="849"/>
        <v>0</v>
      </c>
      <c r="CR123" s="239">
        <f t="shared" si="850"/>
        <v>0</v>
      </c>
      <c r="CS123" s="239">
        <f t="shared" si="851"/>
        <v>0</v>
      </c>
      <c r="CT123" s="241">
        <f t="shared" si="852"/>
        <v>0</v>
      </c>
      <c r="CU123" s="238">
        <f t="shared" si="853"/>
        <v>7.9788129000531588E-3</v>
      </c>
      <c r="CV123" s="239">
        <f t="shared" si="854"/>
        <v>0</v>
      </c>
      <c r="CW123" s="239">
        <f t="shared" si="855"/>
        <v>0</v>
      </c>
      <c r="CX123" s="241">
        <f t="shared" si="856"/>
        <v>0</v>
      </c>
      <c r="CY123" s="258">
        <f t="shared" si="763"/>
        <v>1.380384264602884E-9</v>
      </c>
      <c r="CZ123" s="259" t="str">
        <f t="shared" si="857"/>
        <v/>
      </c>
      <c r="DA123" s="260" t="str">
        <f t="shared" si="858"/>
        <v/>
      </c>
      <c r="DB123" s="261" t="str">
        <f t="shared" si="859"/>
        <v/>
      </c>
      <c r="DC123" s="262">
        <f t="shared" si="860"/>
        <v>0</v>
      </c>
      <c r="DD123" s="263" t="str">
        <f t="shared" si="861"/>
        <v/>
      </c>
      <c r="DE123" s="259" t="str">
        <f t="shared" si="862"/>
        <v/>
      </c>
      <c r="DF123" s="260">
        <f t="shared" si="863"/>
        <v>2.1975475507891321E-5</v>
      </c>
      <c r="DG123" s="260" t="str">
        <f t="shared" si="864"/>
        <v/>
      </c>
      <c r="DH123" s="264" t="str">
        <f t="shared" si="865"/>
        <v/>
      </c>
      <c r="DI123" s="258">
        <f t="shared" si="764"/>
        <v>7.244359600749883E-6</v>
      </c>
      <c r="DJ123" s="260" t="str">
        <f t="shared" si="866"/>
        <v/>
      </c>
      <c r="DK123" s="260">
        <f t="shared" si="867"/>
        <v>2.8969318671258907E-4</v>
      </c>
      <c r="DL123" s="260">
        <f t="shared" si="868"/>
        <v>0</v>
      </c>
      <c r="DM123" s="265">
        <f t="shared" si="869"/>
        <v>0</v>
      </c>
      <c r="DN123" s="242"/>
      <c r="DO123" s="238">
        <f t="shared" si="870"/>
        <v>0</v>
      </c>
      <c r="DP123" s="239">
        <f t="shared" si="871"/>
        <v>0</v>
      </c>
      <c r="DQ123" s="239">
        <f t="shared" si="872"/>
        <v>0</v>
      </c>
      <c r="DR123" s="241">
        <f t="shared" si="873"/>
        <v>0</v>
      </c>
      <c r="DS123" s="238">
        <f t="shared" si="874"/>
        <v>-7.9788129000531587</v>
      </c>
      <c r="DT123" s="239">
        <f t="shared" si="875"/>
        <v>0</v>
      </c>
      <c r="DU123" s="239">
        <f t="shared" si="876"/>
        <v>0</v>
      </c>
      <c r="DV123" s="241">
        <f t="shared" si="877"/>
        <v>0</v>
      </c>
      <c r="DW123" s="91">
        <f t="shared" si="765"/>
        <v>1.380384264602884E-6</v>
      </c>
      <c r="DX123" s="89">
        <f t="shared" si="878"/>
        <v>0</v>
      </c>
      <c r="DY123" s="89">
        <f t="shared" si="879"/>
        <v>0</v>
      </c>
      <c r="DZ123" s="89">
        <f t="shared" si="880"/>
        <v>0</v>
      </c>
      <c r="EA123" s="90">
        <f t="shared" si="881"/>
        <v>0</v>
      </c>
      <c r="EB123" s="91">
        <f t="shared" si="766"/>
        <v>-7.2443596007498827E-3</v>
      </c>
      <c r="EC123" s="89">
        <f t="shared" si="882"/>
        <v>0</v>
      </c>
      <c r="ED123" s="89">
        <f t="shared" si="883"/>
        <v>-0.57938637342517818</v>
      </c>
      <c r="EE123" s="89">
        <f t="shared" si="884"/>
        <v>0</v>
      </c>
      <c r="EF123" s="90">
        <f t="shared" si="885"/>
        <v>0</v>
      </c>
      <c r="EG123" s="242"/>
      <c r="EH123" s="245">
        <f t="shared" si="886"/>
        <v>1.380384264602884E-6</v>
      </c>
      <c r="EI123" s="246">
        <f t="shared" si="887"/>
        <v>-8.5654436330790862</v>
      </c>
      <c r="EJ123" s="198">
        <f t="shared" si="888"/>
        <v>-99.999967768533651</v>
      </c>
      <c r="EK123" s="198">
        <f t="shared" si="889"/>
        <v>3.9894064500265794E-3</v>
      </c>
      <c r="EL123" s="101" t="e">
        <f>IF(AND(CS123&lt;&gt;"",DK123&lt;&gt;""),LOG(CS123*DK123/Minerals!$C$6),"")</f>
        <v>#NUM!</v>
      </c>
      <c r="EM123" s="94" t="e">
        <f>IF(AND(CS123&lt;&gt;"",DK123&lt;&gt;""),LOG(CS123*DK123/Minerals!$C$5),"")</f>
        <v>#NUM!</v>
      </c>
      <c r="EN123" s="94" t="e">
        <f>IF(AND(CS123&lt;&gt;"",DL123&lt;&gt;""),LOG(CS123*DL123^2/Minerals!$C$2),"")</f>
        <v>#NUM!</v>
      </c>
      <c r="EO123" s="94" t="e">
        <f>IF(AND(CS123&lt;&gt;"",CX123&lt;&gt;""),LOG($CS123*$CX123/Minerals!$C$3),"")</f>
        <v>#NUM!</v>
      </c>
      <c r="EP123" s="95" t="e">
        <f>IF(AND(CS123&lt;&gt;"",CX123&lt;&gt;""),LOG($CS123*$CX123/Minerals!$C$4),"")</f>
        <v>#NUM!</v>
      </c>
      <c r="EQ123" s="199"/>
      <c r="ER123" s="101">
        <f t="shared" si="843"/>
        <v>0.93388913985772648</v>
      </c>
      <c r="ES123" s="94">
        <f t="shared" si="843"/>
        <v>0.93388913985772648</v>
      </c>
      <c r="ET123" s="94">
        <f t="shared" si="844"/>
        <v>0.7606437483279096</v>
      </c>
      <c r="EU123" s="94">
        <f t="shared" si="844"/>
        <v>0.7606437483279096</v>
      </c>
      <c r="EV123" s="95">
        <f t="shared" si="844"/>
        <v>0.7606437483279096</v>
      </c>
      <c r="EW123" s="101">
        <f t="shared" si="845"/>
        <v>0.93388913985772648</v>
      </c>
      <c r="EX123" s="94">
        <f t="shared" si="758"/>
        <v>0.7606437483279096</v>
      </c>
      <c r="EY123" s="94">
        <f t="shared" si="845"/>
        <v>0.93388913985772648</v>
      </c>
      <c r="EZ123" s="94">
        <f t="shared" si="845"/>
        <v>0.93388913985772648</v>
      </c>
      <c r="FA123" s="94">
        <f t="shared" si="845"/>
        <v>0.93388913985772648</v>
      </c>
      <c r="FB123" s="95">
        <f t="shared" si="759"/>
        <v>0.7606437483279096</v>
      </c>
      <c r="FC123" s="199"/>
      <c r="FD123" s="101">
        <f t="shared" si="890"/>
        <v>0</v>
      </c>
      <c r="FE123" s="94">
        <f t="shared" si="891"/>
        <v>0</v>
      </c>
      <c r="FF123" s="94">
        <f t="shared" si="892"/>
        <v>0</v>
      </c>
      <c r="FG123" s="94">
        <f t="shared" si="893"/>
        <v>0</v>
      </c>
      <c r="FH123" s="95" t="str">
        <f t="shared" si="894"/>
        <v/>
      </c>
      <c r="FI123" s="101">
        <f t="shared" si="895"/>
        <v>7.4513267163163763E-3</v>
      </c>
      <c r="FJ123" s="94">
        <f t="shared" si="896"/>
        <v>2.2035331140612073E-4</v>
      </c>
      <c r="FK123" s="94">
        <f t="shared" si="897"/>
        <v>0</v>
      </c>
      <c r="FL123" s="94">
        <f t="shared" si="898"/>
        <v>0</v>
      </c>
      <c r="FM123" s="94">
        <f t="shared" si="899"/>
        <v>0</v>
      </c>
      <c r="FN123" s="95">
        <f t="shared" si="900"/>
        <v>0</v>
      </c>
      <c r="FO123" s="199"/>
      <c r="FP123" s="101" t="e">
        <f>IF(EL123&lt;&gt;"",LOG(FF123*FJ123/Minerals!$C$6),"")</f>
        <v>#NUM!</v>
      </c>
      <c r="FQ123" s="94" t="e">
        <f>IF(EL123&lt;&gt;"",LOG(FF123*FJ123/Minerals!$C$5),"")</f>
        <v>#NUM!</v>
      </c>
      <c r="FR123" s="94" t="e">
        <f>IF(EN123&lt;&gt;"",LOG(FF123*FM123^2/Minerals!$C$2),"")</f>
        <v>#NUM!</v>
      </c>
      <c r="FS123" s="94" t="e">
        <f>IF(EO123&lt;&gt;"",LOG($FF123*$FN123/Minerals!$C$3),"")</f>
        <v>#NUM!</v>
      </c>
      <c r="FT123" s="95" t="e">
        <f>IF(EP123&lt;&gt;"",LOG($FF123*$FN123/Minerals!$C$4),"")</f>
        <v>#NUM!</v>
      </c>
      <c r="FU123" s="96"/>
      <c r="FV123" s="101" t="e">
        <f>IF(FP123&lt;&gt;"",LOG(FF123*FJ123/(EXP(-1*Minerals!$E$6/'Other Constants'!$B$2*(1/(273.15+'ppm-mgL-1'!$D123)-1/298.15)+LN(Minerals!$C$6)))),"")</f>
        <v>#NUM!</v>
      </c>
      <c r="FW123" s="94" t="e">
        <f>IF(FP123&lt;&gt;"",LOG(FF123*FJ123/(EXP(-1*Minerals!$E$5/'Other Constants'!$B$2*(1/(273.15+'ppm-mgL-1'!$D123)-1/298.15)+LN(Minerals!$C$5)))),"")</f>
        <v>#NUM!</v>
      </c>
      <c r="FX123" s="94" t="e">
        <f>IF(FR123&lt;&gt;"",LOG(FF123*FM123^2/(EXP(-1*Minerals!$E$2/'Other Constants'!$B$2*(1/(273.15+'ppm-mgL-1'!$D123)-1/298.15)+LN(Minerals!$C$2)))),"")</f>
        <v>#NUM!</v>
      </c>
      <c r="FY123" s="94" t="e">
        <f>IF(FS123&lt;&gt;"",LOG($FF123*$FN123/(EXP(-1*Minerals!$E$3/'Other Constants'!$B$2*(1/(273.15+'ppm-mgL-1'!$D123)-1/298.15)+LN(Minerals!$C$3)))),"")</f>
        <v>#NUM!</v>
      </c>
      <c r="FZ123" s="95" t="e">
        <f>IF(FT123&lt;&gt;"",LOG($FF123*$FN123/(EXP(-1*Minerals!$E$4/'Other Constants'!$B$2*(1/(273.15+'ppm-mgL-1'!$D123)-1/298.15)+LN(Minerals!$C$4)))),"")</f>
        <v>#NUM!</v>
      </c>
      <c r="GA123" s="96"/>
      <c r="GB123" s="96"/>
      <c r="GC123" s="101">
        <f>10^(-1825000*(79.755*EXP(-0.0046*($D123-20))*($D123+273.15))^-1.5*$EK123^0.5/(1+'Elements and ions'!$D$12*$EK123^0.5/(2*(79.755*EXP(-0.0046*($D123-20))*($D123+273.15))^0.5)))</f>
        <v>0.93493490606489416</v>
      </c>
      <c r="GD123" s="94">
        <f>10^(-1825000*(79.755*EXP(-0.0046*($D123-20))*($D123+273.15))^-1.5*$EK123^0.5/(1+'Elements and ions'!$D$20*$EK123^0.5/(2*(79.755*EXP(-0.0046*($D123-20))*($D123+273.15))^0.5)))</f>
        <v>0.93371987109193599</v>
      </c>
      <c r="GE123" s="94">
        <f>10^(-1825000*(79.755*EXP(-0.0046*($D123-20))*($D123+273.15))^-1.5*4*$EK123^0.5/(1+'Elements and ions'!$D$21*$EK123^0.5/(2*(79.755*EXP(-0.0046*($D123-20))*($D123+273.15))^0.5)))</f>
        <v>0.77160679746708405</v>
      </c>
      <c r="GF123" s="94">
        <f>10^(-1825000*(79.755*EXP(-0.0046*($D123-20))*($D123+273.15))^-1.5*4*$EK123^0.5/(1+'Elements and ions'!$D$13*$EK123^0.5/(2*(79.755*EXP(-0.0046*($D123-20))*($D123+273.15))^0.5)))</f>
        <v>0.77869162710273132</v>
      </c>
      <c r="GG123" s="95">
        <f>10^(-1825000*(79.755*EXP(-0.0046*($D123-20))*($D123+273.15))^-1.5*4*$EK123^0.5/(1+'Elements and ions'!$D$27*$EK123^0.5/(2*(79.755*EXP(-0.0046*($D123-20))*($D123+273.15))^0.5)))</f>
        <v>0.77160679746708405</v>
      </c>
      <c r="GH123" s="101">
        <f>10^(-1825000*(79.755*EXP(-0.0046*($D123-20))*($D123+273.15))^-1.5*$EK123^0.5/(1+'Elements and ions'!$G$3*$EK123^0.5/(2*(79.755*EXP(-0.0046*($D123-20))*($D123+273.15))^0.5)))</f>
        <v>0.93062382887293915</v>
      </c>
      <c r="GI123" s="94">
        <f>10^(-1825000*(79.755*EXP(-0.0046*($D123-20))*($D123+273.15))^-1.5*4*$EK123^0.5/(1+'Elements and ions'!$G$4*$EK123^0.5/(2*(79.755*EXP(-0.0046*($D123-20))*($D123+273.15))^0.5)))</f>
        <v>0.75001708409382206</v>
      </c>
      <c r="GJ123" s="94">
        <f>10^(-1825000*(79.755*EXP(-0.0046*($D123-20))*($D123+273.15))^-1.5*$EK123^0.5/(1+'Elements and ions'!$D$18*$EK123^0.5/(2*(79.755*EXP(-0.0046*($D123-20))*($D123+273.15))^0.5)))</f>
        <v>0.93371987109193599</v>
      </c>
      <c r="GK123" s="94">
        <f>10^(-1825000*(79.755*EXP(-0.0046*($D123-20))*($D123+273.15))^-1.5*$EK123^0.5/(1+'Elements and ions'!$I$7*$EK123^0.5/(2*(79.755*EXP(-0.0046*($D123-20))*($D123+273.15))^0.5)))</f>
        <v>0.93371987109193599</v>
      </c>
      <c r="GL123" s="94">
        <f>10^(-1825000*(79.755*EXP(-0.0046*($D123-20))*($D123+273.15))^-1.5*$EK123^0.5/(1+'Elements and ions'!$D$10*$EK123^0.5/(2*(79.755*EXP(-0.0046*($D123-20))*($D123+273.15))^0.5)))</f>
        <v>0.93433300630360694</v>
      </c>
      <c r="GM123" s="95">
        <f>10^(-1825000*(79.755*EXP(-0.0046*($D123-20))*($D123+273.15))^-1.5*4*$EK123^0.5/(1+'Elements and ions'!$I$5*$EK123^0.5/(2*(79.755*EXP(-0.0046*($D123-20))*($D123+273.15))^0.5)))</f>
        <v>0.76405654162180936</v>
      </c>
      <c r="GN123" s="96"/>
      <c r="GO123" s="101">
        <f t="shared" si="901"/>
        <v>0</v>
      </c>
      <c r="GP123" s="94">
        <f t="shared" si="902"/>
        <v>0</v>
      </c>
      <c r="GQ123" s="94">
        <f t="shared" si="903"/>
        <v>0</v>
      </c>
      <c r="GR123" s="94">
        <f t="shared" si="904"/>
        <v>0</v>
      </c>
      <c r="GS123" s="95" t="str">
        <f t="shared" si="905"/>
        <v/>
      </c>
      <c r="GT123" s="101">
        <f t="shared" si="906"/>
        <v>7.4252734109082705E-3</v>
      </c>
      <c r="GU123" s="94">
        <f t="shared" si="907"/>
        <v>2.1727483918002321E-4</v>
      </c>
      <c r="GV123" s="94">
        <f t="shared" si="908"/>
        <v>0</v>
      </c>
      <c r="GW123" s="94">
        <f t="shared" si="909"/>
        <v>0</v>
      </c>
      <c r="GX123" s="94">
        <f t="shared" si="910"/>
        <v>0</v>
      </c>
      <c r="GY123" s="102">
        <f t="shared" si="911"/>
        <v>0</v>
      </c>
      <c r="GZ123" s="199"/>
      <c r="HA123" s="92" t="e">
        <f>IF(AND(GQ123&lt;&gt;"",GU123&lt;&gt;""),LOG(GQ123*GU123/Minerals!$C$6),"")</f>
        <v>#NUM!</v>
      </c>
      <c r="HB123" s="94" t="e">
        <f>IF(AND(GQ123&lt;&gt;"",GU123&lt;&gt;""),LOG(GQ123*GU123/Minerals!$C$5),"")</f>
        <v>#NUM!</v>
      </c>
      <c r="HC123" s="94" t="e">
        <f>IF(AND(GQ123&lt;&gt;"",GX123&lt;&gt;""),LOG(GQ123*GX123^2/Minerals!$C$2),"")</f>
        <v>#NUM!</v>
      </c>
      <c r="HD123" s="94" t="e">
        <f>IF(AND(GQ123&lt;&gt;"",GY123&lt;&gt;""),LOG($GQ123*$GY123/Minerals!$C$3),"")</f>
        <v>#NUM!</v>
      </c>
      <c r="HE123" s="102" t="e">
        <f>IF(AND(GQ123&lt;&gt;"",GY123&lt;&gt;""),LOG($GQ123*$GY123/Minerals!$C$3),"")</f>
        <v>#NUM!</v>
      </c>
      <c r="HF123" s="199"/>
      <c r="HG123" s="92" t="e">
        <f>IF(HA123&lt;&gt;"",LOG(GQ123*GU123/(EXP(-1*Minerals!$E$6/'Other Constants'!$B$2*(1/(273.15+'ppm-mgL-1'!$D123)-1/298.15)+LN(Minerals!$C$6)))),"")</f>
        <v>#NUM!</v>
      </c>
      <c r="HH123" s="94" t="e">
        <f>IF(HA123&lt;&gt;"",LOG(GQ123*GU123/(EXP(-1*Minerals!$E$5/'Other Constants'!$B$2*(1/(273.15+'ppm-mgL-1'!$D123)-1/298.15)+LN(Minerals!$C$5)))),"")</f>
        <v>#NUM!</v>
      </c>
      <c r="HI123" s="94" t="e">
        <f>IF(HC123&lt;&gt;"",LOG(GQ123*GX123^2/(EXP(-1*Minerals!$E$2/'Other Constants'!$B$2*(1/(273.15+'ppm-mgL-1'!$D123)-1/298.15)+LN(Minerals!$C$2)))),"")</f>
        <v>#NUM!</v>
      </c>
      <c r="HJ123" s="94" t="e">
        <f>IF(HD123&lt;&gt;"",LOG($FF123*$FN123/(EXP(-1*Minerals!$E$3/'Other Constants'!$B$2*(1/(273.15+'ppm-mgL-1'!$D123)-1/298.15)+LN(Minerals!$C$3)))),"")</f>
        <v>#NUM!</v>
      </c>
      <c r="HK123" s="95" t="e">
        <f>IF(HE123&lt;&gt;"",LOG($FF123*$FN123/(EXP(-1*Minerals!$E$4/'Other Constants'!$B$2*(1/(273.15+'ppm-mgL-1'!$D123)-1/298.15)+LN(Minerals!$C$4)))),"")</f>
        <v>#NUM!</v>
      </c>
      <c r="HL123" s="199"/>
      <c r="HM123" s="199"/>
    </row>
    <row r="124" spans="1:221" x14ac:dyDescent="0.25">
      <c r="A124" t="s">
        <v>338</v>
      </c>
      <c r="C124" s="274">
        <v>41471</v>
      </c>
      <c r="D124">
        <v>24.1</v>
      </c>
      <c r="E124">
        <v>8.25</v>
      </c>
      <c r="F124"/>
      <c r="G124">
        <v>862.1</v>
      </c>
      <c r="H124"/>
      <c r="I124">
        <v>24.1</v>
      </c>
      <c r="AD124" s="83">
        <f>IF(E124&lt;&gt;"",10^(-2*$E124)/(10^(-2*$E124)+10^(-$E124-pKa!$B$2)+(10^(-pKa!$B$2-pKa!$C$2))),"")</f>
        <v>1.0998750074224737E-2</v>
      </c>
      <c r="AE124" s="84">
        <f>IF(E124&lt;&gt;"",10^(-$E124-pKa!$B$2)/(10^(-2*$E124)+10^(-$E124-pKa!$B$2)+10^(-pKa!$B$2-pKa!$C$2)),"")</f>
        <v>0.9802646321951427</v>
      </c>
      <c r="AF124" s="212">
        <f>IF(E124&lt;&gt;"",10^(-pKa!$B$2-pKa!$C$2)/(10^(-2*$E124)+10^(-$E124-pKa!$B$2)+10^(-pKa!$B$2-pKa!$C$2)),"")</f>
        <v>8.7366177306325045E-3</v>
      </c>
      <c r="AG124" s="152"/>
      <c r="AH124" s="163">
        <f t="shared" ref="AH124:AH130" si="912">IF($AI124&lt;&gt;"",$AI124*1000*(AE124+2*AF124)+10^(-14+$E124)-10^(-$E124),IF($E124="","","Enter Alk(HCO3-)"))</f>
        <v>11.500553141847792</v>
      </c>
      <c r="AI124" s="289">
        <f>138.442848375/1000/12.0107</f>
        <v>1.1526626122957032E-2</v>
      </c>
      <c r="AJ124" s="84">
        <f>IF(AI124&lt;&gt;"",AI124*1000*'Elements and ions'!$B$7,"")</f>
        <v>138.44284837500001</v>
      </c>
      <c r="AK124" s="89">
        <f>IF($AI124&lt;&gt;"",$AH124*'Elements and ions'!$G$3,IF($E124="","","Enter DIC"))</f>
        <v>701.727410967624</v>
      </c>
      <c r="AL124" s="88">
        <f>IF($AK124&lt;&gt;"",$AK124/'Elements and ions'!$G$3*Minerals!$B$6/2,IF($E124="","","Enter Alk(HCO3-)"))</f>
        <v>575.52735612640288</v>
      </c>
      <c r="AM124" s="199"/>
      <c r="AN124" s="101">
        <f t="shared" ref="AN124:AN131" si="913">IF(AND($E124&lt;&gt;"",AI124&lt;&gt;""),AI124*AD124,"")</f>
        <v>1.2677847992543443E-4</v>
      </c>
      <c r="AO124" s="94">
        <f t="shared" ref="AO124:AO131" si="914">IF(AND($E124&lt;&gt;"",AI124&lt;&gt;""),AI124*AE124,"")</f>
        <v>1.1299143916871398E-2</v>
      </c>
      <c r="AP124" s="95">
        <f t="shared" ref="AP124:AP131" si="915">IF(AND($E124&lt;&gt;"",AI124&lt;&gt;""),AI124*AF124,"")</f>
        <v>1.007037261601982E-4</v>
      </c>
      <c r="AQ124" s="199"/>
      <c r="AR124" s="199"/>
      <c r="AS124" s="83">
        <f t="shared" si="760"/>
        <v>0.37287788213363066</v>
      </c>
      <c r="AT124" s="83">
        <f>IF(AN124&lt;&gt;"",AN124/'Henrys law constants'!$B$7*1000000,"")</f>
        <v>3728.7788213363065</v>
      </c>
      <c r="AU124" s="268">
        <f>'WC samples'!K102</f>
        <v>0</v>
      </c>
      <c r="AV124" s="269">
        <f>'WC samples'!M102</f>
        <v>0</v>
      </c>
      <c r="AW124" s="269">
        <f>'WC samples'!O102</f>
        <v>0</v>
      </c>
      <c r="AX124" s="269">
        <f>'WC samples'!N102</f>
        <v>0</v>
      </c>
      <c r="AY124" s="226">
        <f>AO124*'Elements and ions'!$G$3*1000</f>
        <v>689.43805651271532</v>
      </c>
      <c r="AZ124" s="269">
        <f>'WC samples'!Q102</f>
        <v>0</v>
      </c>
      <c r="BA124" s="269">
        <f>'WC samples'!T102</f>
        <v>0</v>
      </c>
      <c r="BB124" s="270">
        <f>'WC samples'!V102</f>
        <v>0</v>
      </c>
      <c r="BC124" s="222">
        <f>IF($E124&lt;&gt;"",10^-$E124*'Elements and ions'!B135*1000,"")</f>
        <v>0</v>
      </c>
      <c r="BE124" s="6"/>
      <c r="BF124" s="6"/>
      <c r="BG124" s="270">
        <f>'WC samples'!L102</f>
        <v>0</v>
      </c>
      <c r="BH124" s="3"/>
      <c r="BJ124" s="92">
        <f>IF($AN124&lt;&gt;"",$AN124*'Elements and ions'!$G$2*1000,"")</f>
        <v>7.8634073261094857</v>
      </c>
      <c r="BK124" s="229"/>
      <c r="BL124" s="230"/>
      <c r="BM124" s="101">
        <f>IF($E124&lt;&gt;"",(10^-14+$E124)*'Elements and ions'!$G$8,"")</f>
        <v>140.31055500000016</v>
      </c>
      <c r="BO124" s="102">
        <f>IF($AP124&lt;&gt;"",$AP124*'Elements and ions'!$G$4*1000,"")</f>
        <v>6.0431198327747175</v>
      </c>
      <c r="BP124" s="269">
        <f>'WC samples'!P102</f>
        <v>0</v>
      </c>
      <c r="BQ124" s="270">
        <f>'WC samples'!R102</f>
        <v>0</v>
      </c>
      <c r="BR124" s="195"/>
      <c r="BS124" s="238">
        <f>IF($AU124&lt;&gt;"",$AU124/'Elements and ions'!$B$12,"")</f>
        <v>0</v>
      </c>
      <c r="BT124" s="239">
        <f>IF($AV124&lt;&gt;"",$AV124/'Elements and ions'!$B$20,"")</f>
        <v>0</v>
      </c>
      <c r="BU124" s="239">
        <f>IF($AW124&lt;&gt;"",$AW124/'Elements and ions'!$B$21, "")</f>
        <v>0</v>
      </c>
      <c r="BV124" s="240">
        <f>IF($AX124&lt;&gt;"",$AX124/'Elements and ions'!$B$13, "")</f>
        <v>0</v>
      </c>
      <c r="BW124" s="238">
        <f>IF($AY124&lt;&gt;"",$AY124/'Elements and ions'!$G$3,"")</f>
        <v>11.299143916871397</v>
      </c>
      <c r="BX124" s="239">
        <f>IF($AZ124&lt;&gt;"",$AZ124/'Elements and ions'!$B$18,"")</f>
        <v>0</v>
      </c>
      <c r="BY124" s="239">
        <f>IF($BA124&lt;&gt;"",$BA124/'Elements and ions'!$G$7,"")</f>
        <v>0</v>
      </c>
      <c r="BZ124" s="241">
        <f>IF($BB124&lt;&gt;"",$BB124/'Elements and ions'!$G$5,"")</f>
        <v>0</v>
      </c>
      <c r="CA124" s="91">
        <f t="shared" si="761"/>
        <v>5.6234132519034743E-6</v>
      </c>
      <c r="CB124" s="163" t="str">
        <f>IF($BD124&lt;&gt;"",$BD124/'Elements and ions'!$B$14,"")</f>
        <v/>
      </c>
      <c r="CC124" s="89" t="str">
        <f>IF($BE124&lt;&gt;"",$BE124/'Elements and ions'!$B$27, "")</f>
        <v/>
      </c>
      <c r="CD124" s="249" t="str">
        <f>IF($BF124&lt;&gt;"",$BF124/'Elements and ions'!$B$26,"")</f>
        <v/>
      </c>
      <c r="CE124" s="250">
        <f>IF($BG124&lt;&gt;"",$BG124/'Elements and ions'!$G$6,"")</f>
        <v>0</v>
      </c>
      <c r="CF124" s="91" t="str">
        <f>IF($BH124&lt;&gt;"",$BH124/'Elements and ions'!$G$15,"")</f>
        <v/>
      </c>
      <c r="CG124" s="89" t="str">
        <f>IF($BI124&lt;&gt;"",$BI124/'Elements and ions'!$G$16,"")</f>
        <v/>
      </c>
      <c r="CH124" s="90">
        <f>IF($BJ124&lt;&gt;"",$BJ124/'Elements and ions'!$G$2,"")</f>
        <v>0.12677847992543442</v>
      </c>
      <c r="CI124" s="91" t="str">
        <f>IF($BK124&lt;&gt;"",$BK124/'Elements and ions'!$B$15, "")</f>
        <v/>
      </c>
      <c r="CJ124" s="88" t="str">
        <f>IF($BL124&lt;&gt;"", $BL124/'Elements and ions'!$G$17,"")</f>
        <v/>
      </c>
      <c r="CK124" s="89">
        <f t="shared" si="762"/>
        <v>1.7782794100389193E-3</v>
      </c>
      <c r="CL124" s="163" t="str">
        <f>IF($BN124&lt;&gt;"", $BN124/'Elements and ions'!$G$19,"")</f>
        <v/>
      </c>
      <c r="CM124" s="89">
        <f>IF($BO124&lt;&gt;"",$BO124/'Elements and ions'!$G$4,"")</f>
        <v>0.1007037261601982</v>
      </c>
      <c r="CN124" s="89">
        <f>IF($BP124&lt;&gt;"",$BP124/'Elements and ions'!$B$10,"")</f>
        <v>0</v>
      </c>
      <c r="CO124" s="104">
        <f>IF($BQ124&lt;&gt;"",$BQ124/'Elements and ions'!$G$18,"")</f>
        <v>0</v>
      </c>
      <c r="CP124" s="242"/>
      <c r="CQ124" s="238">
        <f t="shared" si="849"/>
        <v>0</v>
      </c>
      <c r="CR124" s="239">
        <f t="shared" si="850"/>
        <v>0</v>
      </c>
      <c r="CS124" s="239">
        <f t="shared" si="851"/>
        <v>0</v>
      </c>
      <c r="CT124" s="241">
        <f t="shared" si="852"/>
        <v>0</v>
      </c>
      <c r="CU124" s="238">
        <f t="shared" si="853"/>
        <v>1.1299143916871398E-2</v>
      </c>
      <c r="CV124" s="239">
        <f t="shared" si="854"/>
        <v>0</v>
      </c>
      <c r="CW124" s="239">
        <f t="shared" si="855"/>
        <v>0</v>
      </c>
      <c r="CX124" s="241">
        <f t="shared" si="856"/>
        <v>0</v>
      </c>
      <c r="CY124" s="258">
        <f t="shared" si="763"/>
        <v>5.6234132519034744E-9</v>
      </c>
      <c r="CZ124" s="259" t="str">
        <f t="shared" si="857"/>
        <v/>
      </c>
      <c r="DA124" s="260" t="str">
        <f t="shared" si="858"/>
        <v/>
      </c>
      <c r="DB124" s="261" t="str">
        <f t="shared" si="859"/>
        <v/>
      </c>
      <c r="DC124" s="262">
        <f t="shared" si="860"/>
        <v>0</v>
      </c>
      <c r="DD124" s="263" t="str">
        <f t="shared" si="861"/>
        <v/>
      </c>
      <c r="DE124" s="259" t="str">
        <f t="shared" si="862"/>
        <v/>
      </c>
      <c r="DF124" s="260">
        <f t="shared" si="863"/>
        <v>1.2677847992543443E-4</v>
      </c>
      <c r="DG124" s="260" t="str">
        <f t="shared" si="864"/>
        <v/>
      </c>
      <c r="DH124" s="264" t="str">
        <f t="shared" si="865"/>
        <v/>
      </c>
      <c r="DI124" s="258">
        <f t="shared" si="764"/>
        <v>1.7782794100389193E-6</v>
      </c>
      <c r="DJ124" s="260" t="str">
        <f t="shared" si="866"/>
        <v/>
      </c>
      <c r="DK124" s="260">
        <f t="shared" si="867"/>
        <v>1.0070372616019819E-4</v>
      </c>
      <c r="DL124" s="260">
        <f t="shared" si="868"/>
        <v>0</v>
      </c>
      <c r="DM124" s="265">
        <f t="shared" si="869"/>
        <v>0</v>
      </c>
      <c r="DN124" s="242"/>
      <c r="DO124" s="238">
        <f t="shared" si="870"/>
        <v>0</v>
      </c>
      <c r="DP124" s="239">
        <f t="shared" si="871"/>
        <v>0</v>
      </c>
      <c r="DQ124" s="239">
        <f t="shared" si="872"/>
        <v>0</v>
      </c>
      <c r="DR124" s="241">
        <f t="shared" si="873"/>
        <v>0</v>
      </c>
      <c r="DS124" s="238">
        <f t="shared" si="874"/>
        <v>-11.299143916871397</v>
      </c>
      <c r="DT124" s="239">
        <f t="shared" si="875"/>
        <v>0</v>
      </c>
      <c r="DU124" s="239">
        <f t="shared" si="876"/>
        <v>0</v>
      </c>
      <c r="DV124" s="241">
        <f t="shared" si="877"/>
        <v>0</v>
      </c>
      <c r="DW124" s="91">
        <f t="shared" si="765"/>
        <v>5.6234132519034743E-6</v>
      </c>
      <c r="DX124" s="89">
        <f t="shared" si="878"/>
        <v>0</v>
      </c>
      <c r="DY124" s="89">
        <f t="shared" si="879"/>
        <v>0</v>
      </c>
      <c r="DZ124" s="89">
        <f t="shared" si="880"/>
        <v>0</v>
      </c>
      <c r="EA124" s="90">
        <f t="shared" si="881"/>
        <v>0</v>
      </c>
      <c r="EB124" s="91">
        <f t="shared" si="766"/>
        <v>-1.7782794100389193E-3</v>
      </c>
      <c r="EC124" s="89">
        <f t="shared" si="882"/>
        <v>0</v>
      </c>
      <c r="ED124" s="89">
        <f t="shared" si="883"/>
        <v>-0.20140745232039639</v>
      </c>
      <c r="EE124" s="89">
        <f t="shared" si="884"/>
        <v>0</v>
      </c>
      <c r="EF124" s="90">
        <f t="shared" si="885"/>
        <v>0</v>
      </c>
      <c r="EG124" s="242"/>
      <c r="EH124" s="245">
        <f t="shared" si="886"/>
        <v>5.6234132519034743E-6</v>
      </c>
      <c r="EI124" s="246">
        <f t="shared" si="887"/>
        <v>-11.502329648601831</v>
      </c>
      <c r="EJ124" s="198">
        <f t="shared" si="888"/>
        <v>-99.999902221364295</v>
      </c>
      <c r="EK124" s="198">
        <f t="shared" si="889"/>
        <v>5.6495719584356988E-3</v>
      </c>
      <c r="EL124" s="101" t="e">
        <f>IF(AND(CS124&lt;&gt;"",DK124&lt;&gt;""),LOG(CS124*DK124/Minerals!$C$6),"")</f>
        <v>#NUM!</v>
      </c>
      <c r="EM124" s="94" t="e">
        <f>IF(AND(CS124&lt;&gt;"",DK124&lt;&gt;""),LOG(CS124*DK124/Minerals!$C$5),"")</f>
        <v>#NUM!</v>
      </c>
      <c r="EN124" s="94" t="e">
        <f>IF(AND(CS124&lt;&gt;"",DL124&lt;&gt;""),LOG(CS124*DL124^2/Minerals!$C$2),"")</f>
        <v>#NUM!</v>
      </c>
      <c r="EO124" s="94" t="e">
        <f>IF(AND(CS124&lt;&gt;"",CX124&lt;&gt;""),LOG($CS124*$CX124/Minerals!$C$3),"")</f>
        <v>#NUM!</v>
      </c>
      <c r="EP124" s="95" t="e">
        <f>IF(AND(CS124&lt;&gt;"",CX124&lt;&gt;""),LOG($CS124*$CX124/Minerals!$C$4),"")</f>
        <v>#NUM!</v>
      </c>
      <c r="EQ124" s="199"/>
      <c r="ER124" s="101">
        <f t="shared" si="843"/>
        <v>0.92266806805248602</v>
      </c>
      <c r="ES124" s="94">
        <f t="shared" si="843"/>
        <v>0.92266806805248602</v>
      </c>
      <c r="ET124" s="94">
        <f t="shared" si="844"/>
        <v>0.72473955127996537</v>
      </c>
      <c r="EU124" s="94">
        <f t="shared" si="844"/>
        <v>0.72473955127996537</v>
      </c>
      <c r="EV124" s="95">
        <f t="shared" si="844"/>
        <v>0.72473955127996537</v>
      </c>
      <c r="EW124" s="101">
        <f t="shared" si="845"/>
        <v>0.92266806805248602</v>
      </c>
      <c r="EX124" s="94">
        <f t="shared" ref="EX124:EX131" si="916">10^(-0.5*4*SQRT($EK124)/(1+SQRT($EK124)))</f>
        <v>0.72473955127996537</v>
      </c>
      <c r="EY124" s="94">
        <f t="shared" si="845"/>
        <v>0.92266806805248602</v>
      </c>
      <c r="EZ124" s="94">
        <f t="shared" si="845"/>
        <v>0.92266806805248602</v>
      </c>
      <c r="FA124" s="94">
        <f t="shared" si="845"/>
        <v>0.92266806805248602</v>
      </c>
      <c r="FB124" s="95">
        <f t="shared" ref="FB124:FB131" si="917">10^(-0.5*4*SQRT($EK124)/(1+SQRT($EK124)))</f>
        <v>0.72473955127996537</v>
      </c>
      <c r="FC124" s="199"/>
      <c r="FD124" s="101">
        <f t="shared" si="890"/>
        <v>0</v>
      </c>
      <c r="FE124" s="94">
        <f t="shared" si="891"/>
        <v>0</v>
      </c>
      <c r="FF124" s="94">
        <f t="shared" si="892"/>
        <v>0</v>
      </c>
      <c r="FG124" s="94">
        <f t="shared" si="893"/>
        <v>0</v>
      </c>
      <c r="FH124" s="95" t="str">
        <f t="shared" si="894"/>
        <v/>
      </c>
      <c r="FI124" s="101">
        <f t="shared" si="895"/>
        <v>1.0425359288426733E-2</v>
      </c>
      <c r="FJ124" s="94">
        <f t="shared" si="896"/>
        <v>7.2983973309562547E-5</v>
      </c>
      <c r="FK124" s="94">
        <f t="shared" si="897"/>
        <v>0</v>
      </c>
      <c r="FL124" s="94">
        <f t="shared" si="898"/>
        <v>0</v>
      </c>
      <c r="FM124" s="94">
        <f t="shared" si="899"/>
        <v>0</v>
      </c>
      <c r="FN124" s="95">
        <f t="shared" si="900"/>
        <v>0</v>
      </c>
      <c r="FO124" s="199"/>
      <c r="FP124" s="101" t="e">
        <f>IF(EL124&lt;&gt;"",LOG(FF124*FJ124/Minerals!$C$6),"")</f>
        <v>#NUM!</v>
      </c>
      <c r="FQ124" s="94" t="e">
        <f>IF(EL124&lt;&gt;"",LOG(FF124*FJ124/Minerals!$C$5),"")</f>
        <v>#NUM!</v>
      </c>
      <c r="FR124" s="94" t="e">
        <f>IF(EN124&lt;&gt;"",LOG(FF124*FM124^2/Minerals!$C$2),"")</f>
        <v>#NUM!</v>
      </c>
      <c r="FS124" s="94" t="e">
        <f>IF(EO124&lt;&gt;"",LOG($FF124*$FN124/Minerals!$C$3),"")</f>
        <v>#NUM!</v>
      </c>
      <c r="FT124" s="95" t="e">
        <f>IF(EP124&lt;&gt;"",LOG($FF124*$FN124/Minerals!$C$4),"")</f>
        <v>#NUM!</v>
      </c>
      <c r="FU124" s="96"/>
      <c r="FV124" s="101" t="e">
        <f>IF(FP124&lt;&gt;"",LOG(FF124*FJ124/(EXP(-1*Minerals!$E$6/'Other Constants'!$B$2*(1/(273.15+'ppm-mgL-1'!$D124)-1/298.15)+LN(Minerals!$C$6)))),"")</f>
        <v>#NUM!</v>
      </c>
      <c r="FW124" s="94" t="e">
        <f>IF(FP124&lt;&gt;"",LOG(FF124*FJ124/(EXP(-1*Minerals!$E$5/'Other Constants'!$B$2*(1/(273.15+'ppm-mgL-1'!$D124)-1/298.15)+LN(Minerals!$C$5)))),"")</f>
        <v>#NUM!</v>
      </c>
      <c r="FX124" s="94" t="e">
        <f>IF(FR124&lt;&gt;"",LOG(FF124*FM124^2/(EXP(-1*Minerals!$E$2/'Other Constants'!$B$2*(1/(273.15+'ppm-mgL-1'!$D124)-1/298.15)+LN(Minerals!$C$2)))),"")</f>
        <v>#NUM!</v>
      </c>
      <c r="FY124" s="94" t="e">
        <f>IF(FS124&lt;&gt;"",LOG($FF124*$FN124/(EXP(-1*Minerals!$E$3/'Other Constants'!$B$2*(1/(273.15+'ppm-mgL-1'!$D124)-1/298.15)+LN(Minerals!$C$3)))),"")</f>
        <v>#NUM!</v>
      </c>
      <c r="FZ124" s="95" t="e">
        <f>IF(FT124&lt;&gt;"",LOG($FF124*$FN124/(EXP(-1*Minerals!$E$4/'Other Constants'!$B$2*(1/(273.15+'ppm-mgL-1'!$D124)-1/298.15)+LN(Minerals!$C$4)))),"")</f>
        <v>#NUM!</v>
      </c>
      <c r="GA124" s="96"/>
      <c r="GB124" s="96"/>
      <c r="GC124" s="101">
        <f>10^(-1825000*(79.755*EXP(-0.0046*($D124-20))*($D124+273.15))^-1.5*$EK124^0.5/(1+'Elements and ions'!$D$12*$EK124^0.5/(2*(79.755*EXP(-0.0046*($D124-20))*($D124+273.15))^0.5)))</f>
        <v>0.92216879751003922</v>
      </c>
      <c r="GD124" s="94">
        <f>10^(-1825000*(79.755*EXP(-0.0046*($D124-20))*($D124+273.15))^-1.5*$EK124^0.5/(1+'Elements and ions'!$D$20*$EK124^0.5/(2*(79.755*EXP(-0.0046*($D124-20))*($D124+273.15))^0.5)))</f>
        <v>0.92045603009825627</v>
      </c>
      <c r="GE124" s="94">
        <f>10^(-1825000*(79.755*EXP(-0.0046*($D124-20))*($D124+273.15))^-1.5*4*$EK124^0.5/(1+'Elements and ions'!$D$21*$EK124^0.5/(2*(79.755*EXP(-0.0046*($D124-20))*($D124+273.15))^0.5)))</f>
        <v>0.7333051811153033</v>
      </c>
      <c r="GF124" s="94">
        <f>10^(-1825000*(79.755*EXP(-0.0046*($D124-20))*($D124+273.15))^-1.5*4*$EK124^0.5/(1+'Elements and ions'!$D$13*$EK124^0.5/(2*(79.755*EXP(-0.0046*($D124-20))*($D124+273.15))^0.5)))</f>
        <v>0.74272884362803326</v>
      </c>
      <c r="GG124" s="95">
        <f>10^(-1825000*(79.755*EXP(-0.0046*($D124-20))*($D124+273.15))^-1.5*4*$EK124^0.5/(1+'Elements and ions'!$D$27*$EK124^0.5/(2*(79.755*EXP(-0.0046*($D124-20))*($D124+273.15))^0.5)))</f>
        <v>0.7333051811153033</v>
      </c>
      <c r="GH124" s="101">
        <f>10^(-1825000*(79.755*EXP(-0.0046*($D124-20))*($D124+273.15))^-1.5*$EK124^0.5/(1+'Elements and ions'!$G$3*$EK124^0.5/(2*(79.755*EXP(-0.0046*($D124-20))*($D124+273.15))^0.5)))</f>
        <v>0.91604072593434127</v>
      </c>
      <c r="GI124" s="94">
        <f>10^(-1825000*(79.755*EXP(-0.0046*($D124-20))*($D124+273.15))^-1.5*4*$EK124^0.5/(1+'Elements and ions'!$G$4*$EK124^0.5/(2*(79.755*EXP(-0.0046*($D124-20))*($D124+273.15))^0.5)))</f>
        <v>0.70407973747407293</v>
      </c>
      <c r="GJ124" s="94">
        <f>10^(-1825000*(79.755*EXP(-0.0046*($D124-20))*($D124+273.15))^-1.5*$EK124^0.5/(1+'Elements and ions'!$D$18*$EK124^0.5/(2*(79.755*EXP(-0.0046*($D124-20))*($D124+273.15))^0.5)))</f>
        <v>0.92045603009825627</v>
      </c>
      <c r="GK124" s="94">
        <f>10^(-1825000*(79.755*EXP(-0.0046*($D124-20))*($D124+273.15))^-1.5*$EK124^0.5/(1+'Elements and ions'!$I$7*$EK124^0.5/(2*(79.755*EXP(-0.0046*($D124-20))*($D124+273.15))^0.5)))</f>
        <v>0.92045603009825627</v>
      </c>
      <c r="GL124" s="94">
        <f>10^(-1825000*(79.755*EXP(-0.0046*($D124-20))*($D124+273.15))^-1.5*$EK124^0.5/(1+'Elements and ions'!$D$10*$EK124^0.5/(2*(79.755*EXP(-0.0046*($D124-20))*($D124+273.15))^0.5)))</f>
        <v>0.92132172868395223</v>
      </c>
      <c r="GM124" s="95">
        <f>10^(-1825000*(79.755*EXP(-0.0046*($D124-20))*($D124+273.15))^-1.5*4*$EK124^0.5/(1+'Elements and ions'!$I$5*$EK124^0.5/(2*(79.755*EXP(-0.0046*($D124-20))*($D124+273.15))^0.5)))</f>
        <v>0.72317215112694444</v>
      </c>
      <c r="GN124" s="96"/>
      <c r="GO124" s="101">
        <f t="shared" si="901"/>
        <v>0</v>
      </c>
      <c r="GP124" s="94">
        <f t="shared" si="902"/>
        <v>0</v>
      </c>
      <c r="GQ124" s="94">
        <f t="shared" si="903"/>
        <v>0</v>
      </c>
      <c r="GR124" s="94">
        <f t="shared" si="904"/>
        <v>0</v>
      </c>
      <c r="GS124" s="95" t="str">
        <f t="shared" si="905"/>
        <v/>
      </c>
      <c r="GT124" s="101">
        <f t="shared" si="906"/>
        <v>1.0350475996047472E-2</v>
      </c>
      <c r="GU124" s="94">
        <f t="shared" si="907"/>
        <v>7.0903453077533277E-5</v>
      </c>
      <c r="GV124" s="94">
        <f t="shared" si="908"/>
        <v>0</v>
      </c>
      <c r="GW124" s="94">
        <f t="shared" si="909"/>
        <v>0</v>
      </c>
      <c r="GX124" s="94">
        <f t="shared" si="910"/>
        <v>0</v>
      </c>
      <c r="GY124" s="102">
        <f t="shared" si="911"/>
        <v>0</v>
      </c>
      <c r="GZ124" s="199"/>
      <c r="HA124" s="92" t="e">
        <f>IF(AND(GQ124&lt;&gt;"",GU124&lt;&gt;""),LOG(GQ124*GU124/Minerals!$C$6),"")</f>
        <v>#NUM!</v>
      </c>
      <c r="HB124" s="94" t="e">
        <f>IF(AND(GQ124&lt;&gt;"",GU124&lt;&gt;""),LOG(GQ124*GU124/Minerals!$C$5),"")</f>
        <v>#NUM!</v>
      </c>
      <c r="HC124" s="94" t="e">
        <f>IF(AND(GQ124&lt;&gt;"",GX124&lt;&gt;""),LOG(GQ124*GX124^2/Minerals!$C$2),"")</f>
        <v>#NUM!</v>
      </c>
      <c r="HD124" s="94" t="e">
        <f>IF(AND(GQ124&lt;&gt;"",GY124&lt;&gt;""),LOG($GQ124*$GY124/Minerals!$C$3),"")</f>
        <v>#NUM!</v>
      </c>
      <c r="HE124" s="102" t="e">
        <f>IF(AND(GQ124&lt;&gt;"",GY124&lt;&gt;""),LOG($GQ124*$GY124/Minerals!$C$3),"")</f>
        <v>#NUM!</v>
      </c>
      <c r="HF124" s="199"/>
      <c r="HG124" s="92" t="e">
        <f>IF(HA124&lt;&gt;"",LOG(GQ124*GU124/(EXP(-1*Minerals!$E$6/'Other Constants'!$B$2*(1/(273.15+'ppm-mgL-1'!$D124)-1/298.15)+LN(Minerals!$C$6)))),"")</f>
        <v>#NUM!</v>
      </c>
      <c r="HH124" s="94" t="e">
        <f>IF(HA124&lt;&gt;"",LOG(GQ124*GU124/(EXP(-1*Minerals!$E$5/'Other Constants'!$B$2*(1/(273.15+'ppm-mgL-1'!$D124)-1/298.15)+LN(Minerals!$C$5)))),"")</f>
        <v>#NUM!</v>
      </c>
      <c r="HI124" s="94" t="e">
        <f>IF(HC124&lt;&gt;"",LOG(GQ124*GX124^2/(EXP(-1*Minerals!$E$2/'Other Constants'!$B$2*(1/(273.15+'ppm-mgL-1'!$D124)-1/298.15)+LN(Minerals!$C$2)))),"")</f>
        <v>#NUM!</v>
      </c>
      <c r="HJ124" s="94" t="e">
        <f>IF(HD124&lt;&gt;"",LOG($FF124*$FN124/(EXP(-1*Minerals!$E$3/'Other Constants'!$B$2*(1/(273.15+'ppm-mgL-1'!$D124)-1/298.15)+LN(Minerals!$C$3)))),"")</f>
        <v>#NUM!</v>
      </c>
      <c r="HK124" s="95" t="e">
        <f>IF(HE124&lt;&gt;"",LOG($FF124*$FN124/(EXP(-1*Minerals!$E$4/'Other Constants'!$B$2*(1/(273.15+'ppm-mgL-1'!$D124)-1/298.15)+LN(Minerals!$C$4)))),"")</f>
        <v>#NUM!</v>
      </c>
    </row>
    <row r="125" spans="1:221" x14ac:dyDescent="0.25">
      <c r="A125" t="s">
        <v>338</v>
      </c>
      <c r="C125" s="274">
        <v>41530</v>
      </c>
      <c r="D125">
        <v>24</v>
      </c>
      <c r="E125">
        <v>8.39</v>
      </c>
      <c r="F125"/>
      <c r="G125">
        <v>746.2</v>
      </c>
      <c r="H125"/>
      <c r="I125">
        <v>24</v>
      </c>
      <c r="AD125" s="83">
        <f>IF(E125&lt;&gt;"",10^(-2*$E125)/(10^(-2*$E125)+10^(-$E125-pKa!$B$2)+(10^(-pKa!$B$2-pKa!$C$2))),"")</f>
        <v>7.9655608448169074E-3</v>
      </c>
      <c r="AE125" s="84">
        <f>IF(E125&lt;&gt;"",10^(-$E125-pKa!$B$2)/(10^(-2*$E125)+10^(-$E125-pKa!$B$2)+10^(-pKa!$B$2-pKa!$C$2)),"")</f>
        <v>0.97997807493840738</v>
      </c>
      <c r="AF125" s="212">
        <f>IF(E125&lt;&gt;"",10^(-pKa!$B$2-pKa!$C$2)/(10^(-2*$E125)+10^(-$E125-pKa!$B$2)+10^(-pKa!$B$2-pKa!$C$2)),"")</f>
        <v>1.2056364216775632E-2</v>
      </c>
      <c r="AG125" s="152"/>
      <c r="AH125" s="163">
        <f t="shared" si="912"/>
        <v>5.7907838013790727</v>
      </c>
      <c r="AI125" s="289">
        <f>69.2679759/1000/12.0107</f>
        <v>5.7671889148842286E-3</v>
      </c>
      <c r="AJ125" s="84">
        <f>IF(AI125&lt;&gt;"",AI125*1000*'Elements and ions'!$B$7,"")</f>
        <v>69.26797590000001</v>
      </c>
      <c r="AK125" s="89">
        <f>IF($AI125&lt;&gt;"",$AH125*'Elements and ions'!$G$3,IF($E125="","","Enter DIC"))</f>
        <v>353.33532868333862</v>
      </c>
      <c r="AL125" s="88">
        <f>IF($AK125&lt;&gt;"",$AK125/'Elements and ions'!$G$3*Minerals!$B$6/2,IF($E125="","","Enter Alk(HCO3-)"))</f>
        <v>289.79079962512355</v>
      </c>
      <c r="AM125" s="199"/>
      <c r="AN125" s="101">
        <f t="shared" si="913"/>
        <v>4.5938894205063917E-5</v>
      </c>
      <c r="AO125" s="94">
        <f t="shared" si="914"/>
        <v>5.6517186906143687E-3</v>
      </c>
      <c r="AP125" s="95">
        <f t="shared" si="915"/>
        <v>6.9531330064795301E-5</v>
      </c>
      <c r="AQ125" s="199"/>
      <c r="AR125" s="199"/>
      <c r="AS125" s="83">
        <f t="shared" ref="AS125:AS131" si="918">IF(AT125&lt;&gt;"",AT125/10000,"")</f>
        <v>0.13511439472077622</v>
      </c>
      <c r="AT125" s="83">
        <f>IF(AN125&lt;&gt;"",AN125/'Henrys law constants'!$B$7*1000000,"")</f>
        <v>1351.1439472077623</v>
      </c>
      <c r="AU125" s="268">
        <f>'WC samples'!K103</f>
        <v>0</v>
      </c>
      <c r="AV125" s="269">
        <f>'WC samples'!M103</f>
        <v>0</v>
      </c>
      <c r="AW125" s="269">
        <f>'WC samples'!O103</f>
        <v>0</v>
      </c>
      <c r="AX125" s="269">
        <f>'WC samples'!N103</f>
        <v>0</v>
      </c>
      <c r="AY125" s="226">
        <f>AO125*'Elements and ions'!$G$3*1000</f>
        <v>344.85001507022639</v>
      </c>
      <c r="AZ125" s="269">
        <f>'WC samples'!Q103</f>
        <v>0</v>
      </c>
      <c r="BA125" s="269">
        <f>'WC samples'!T103</f>
        <v>0</v>
      </c>
      <c r="BB125" s="270">
        <f>'WC samples'!V103</f>
        <v>0</v>
      </c>
      <c r="BC125" s="222">
        <f>IF($E125&lt;&gt;"",10^-$E125*'Elements and ions'!B136*1000,"")</f>
        <v>0</v>
      </c>
      <c r="BE125" s="6"/>
      <c r="BF125" s="6"/>
      <c r="BG125" s="270">
        <f>'WC samples'!L103</f>
        <v>0</v>
      </c>
      <c r="BH125" s="3"/>
      <c r="BJ125" s="92">
        <f>IF($AN125&lt;&gt;"",$AN125*'Elements and ions'!$G$2*1000,"")</f>
        <v>2.8493498065123641</v>
      </c>
      <c r="BK125" s="229"/>
      <c r="BL125" s="230"/>
      <c r="BM125" s="101">
        <f>IF($E125&lt;&gt;"",(10^-14+$E125)*'Elements and ions'!$G$8,"")</f>
        <v>142.69158260000017</v>
      </c>
      <c r="BO125" s="102">
        <f>IF($AP125&lt;&gt;"",$AP125*'Elements and ions'!$G$4*1000,"")</f>
        <v>4.1724986327252944</v>
      </c>
      <c r="BP125" s="269">
        <f>'WC samples'!P103</f>
        <v>0</v>
      </c>
      <c r="BQ125" s="270">
        <f>'WC samples'!R103</f>
        <v>0</v>
      </c>
      <c r="BR125" s="195"/>
      <c r="BS125" s="238">
        <f>IF($AU125&lt;&gt;"",$AU125/'Elements and ions'!$B$12,"")</f>
        <v>0</v>
      </c>
      <c r="BT125" s="239">
        <f>IF($AV125&lt;&gt;"",$AV125/'Elements and ions'!$B$20,"")</f>
        <v>0</v>
      </c>
      <c r="BU125" s="239">
        <f>IF($AW125&lt;&gt;"",$AW125/'Elements and ions'!$B$21, "")</f>
        <v>0</v>
      </c>
      <c r="BV125" s="240">
        <f>IF($AX125&lt;&gt;"",$AX125/'Elements and ions'!$B$13, "")</f>
        <v>0</v>
      </c>
      <c r="BW125" s="238">
        <f>IF($AY125&lt;&gt;"",$AY125/'Elements and ions'!$G$3,"")</f>
        <v>5.6517186906143682</v>
      </c>
      <c r="BX125" s="239">
        <f>IF($AZ125&lt;&gt;"",$AZ125/'Elements and ions'!$B$18,"")</f>
        <v>0</v>
      </c>
      <c r="BY125" s="239">
        <f>IF($BA125&lt;&gt;"",$BA125/'Elements and ions'!$G$7,"")</f>
        <v>0</v>
      </c>
      <c r="BZ125" s="241">
        <f>IF($BB125&lt;&gt;"",$BB125/'Elements and ions'!$G$5,"")</f>
        <v>0</v>
      </c>
      <c r="CA125" s="91">
        <f t="shared" ref="CA125:CA131" si="919">IF($E125&lt;&gt;"",10^-$E125*1000,"")</f>
        <v>4.0738027780411213E-6</v>
      </c>
      <c r="CB125" s="163" t="str">
        <f>IF($BD125&lt;&gt;"",$BD125/'Elements and ions'!$B$14,"")</f>
        <v/>
      </c>
      <c r="CC125" s="89" t="str">
        <f>IF($BE125&lt;&gt;"",$BE125/'Elements and ions'!$B$27, "")</f>
        <v/>
      </c>
      <c r="CD125" s="249" t="str">
        <f>IF($BF125&lt;&gt;"",$BF125/'Elements and ions'!$B$26,"")</f>
        <v/>
      </c>
      <c r="CE125" s="250">
        <f>IF($BG125&lt;&gt;"",$BG125/'Elements and ions'!$G$6,"")</f>
        <v>0</v>
      </c>
      <c r="CF125" s="91" t="str">
        <f>IF($BH125&lt;&gt;"",$BH125/'Elements and ions'!$G$15,"")</f>
        <v/>
      </c>
      <c r="CG125" s="89" t="str">
        <f>IF($BI125&lt;&gt;"",$BI125/'Elements and ions'!$G$16,"")</f>
        <v/>
      </c>
      <c r="CH125" s="90">
        <f>IF($BJ125&lt;&gt;"",$BJ125/'Elements and ions'!$G$2,"")</f>
        <v>4.5938894205063918E-2</v>
      </c>
      <c r="CI125" s="91" t="str">
        <f>IF($BK125&lt;&gt;"",$BK125/'Elements and ions'!$B$15, "")</f>
        <v/>
      </c>
      <c r="CJ125" s="88" t="str">
        <f>IF($BL125&lt;&gt;"", $BL125/'Elements and ions'!$G$17,"")</f>
        <v/>
      </c>
      <c r="CK125" s="89">
        <f t="shared" ref="CK125:CK131" si="920">IF($E125&lt;&gt;"",(10^(-14+$E125))*1000,"")</f>
        <v>2.4547089156850312E-3</v>
      </c>
      <c r="CL125" s="163" t="str">
        <f>IF($BN125&lt;&gt;"", $BN125/'Elements and ions'!$G$19,"")</f>
        <v/>
      </c>
      <c r="CM125" s="89">
        <f>IF($BO125&lt;&gt;"",$BO125/'Elements and ions'!$G$4,"")</f>
        <v>6.9531330064795296E-2</v>
      </c>
      <c r="CN125" s="89">
        <f>IF($BP125&lt;&gt;"",$BP125/'Elements and ions'!$B$10,"")</f>
        <v>0</v>
      </c>
      <c r="CO125" s="104">
        <f>IF($BQ125&lt;&gt;"",$BQ125/'Elements and ions'!$G$18,"")</f>
        <v>0</v>
      </c>
      <c r="CP125" s="242"/>
      <c r="CQ125" s="238">
        <f t="shared" si="849"/>
        <v>0</v>
      </c>
      <c r="CR125" s="239">
        <f t="shared" si="850"/>
        <v>0</v>
      </c>
      <c r="CS125" s="239">
        <f t="shared" si="851"/>
        <v>0</v>
      </c>
      <c r="CT125" s="241">
        <f t="shared" si="852"/>
        <v>0</v>
      </c>
      <c r="CU125" s="238">
        <f t="shared" si="853"/>
        <v>5.6517186906143678E-3</v>
      </c>
      <c r="CV125" s="239">
        <f t="shared" si="854"/>
        <v>0</v>
      </c>
      <c r="CW125" s="239">
        <f t="shared" si="855"/>
        <v>0</v>
      </c>
      <c r="CX125" s="241">
        <f t="shared" si="856"/>
        <v>0</v>
      </c>
      <c r="CY125" s="258">
        <f t="shared" si="763"/>
        <v>4.0738027780411214E-9</v>
      </c>
      <c r="CZ125" s="259" t="str">
        <f t="shared" si="857"/>
        <v/>
      </c>
      <c r="DA125" s="260" t="str">
        <f t="shared" si="858"/>
        <v/>
      </c>
      <c r="DB125" s="261" t="str">
        <f t="shared" si="859"/>
        <v/>
      </c>
      <c r="DC125" s="262">
        <f t="shared" si="860"/>
        <v>0</v>
      </c>
      <c r="DD125" s="263" t="str">
        <f t="shared" si="861"/>
        <v/>
      </c>
      <c r="DE125" s="259" t="str">
        <f t="shared" si="862"/>
        <v/>
      </c>
      <c r="DF125" s="260">
        <f t="shared" si="863"/>
        <v>4.5938894205063917E-5</v>
      </c>
      <c r="DG125" s="260" t="str">
        <f t="shared" si="864"/>
        <v/>
      </c>
      <c r="DH125" s="264" t="str">
        <f t="shared" si="865"/>
        <v/>
      </c>
      <c r="DI125" s="258">
        <f t="shared" si="764"/>
        <v>2.4547089156850314E-6</v>
      </c>
      <c r="DJ125" s="260" t="str">
        <f t="shared" si="866"/>
        <v/>
      </c>
      <c r="DK125" s="260">
        <f t="shared" si="867"/>
        <v>6.9531330064795301E-5</v>
      </c>
      <c r="DL125" s="260">
        <f t="shared" si="868"/>
        <v>0</v>
      </c>
      <c r="DM125" s="265">
        <f t="shared" si="869"/>
        <v>0</v>
      </c>
      <c r="DN125" s="242"/>
      <c r="DO125" s="238">
        <f t="shared" si="870"/>
        <v>0</v>
      </c>
      <c r="DP125" s="239">
        <f t="shared" si="871"/>
        <v>0</v>
      </c>
      <c r="DQ125" s="239">
        <f t="shared" si="872"/>
        <v>0</v>
      </c>
      <c r="DR125" s="241">
        <f t="shared" si="873"/>
        <v>0</v>
      </c>
      <c r="DS125" s="238">
        <f t="shared" si="874"/>
        <v>-5.6517186906143682</v>
      </c>
      <c r="DT125" s="239">
        <f t="shared" si="875"/>
        <v>0</v>
      </c>
      <c r="DU125" s="239">
        <f t="shared" si="876"/>
        <v>0</v>
      </c>
      <c r="DV125" s="241">
        <f t="shared" si="877"/>
        <v>0</v>
      </c>
      <c r="DW125" s="91">
        <f t="shared" si="765"/>
        <v>4.0738027780411213E-6</v>
      </c>
      <c r="DX125" s="89">
        <f t="shared" si="878"/>
        <v>0</v>
      </c>
      <c r="DY125" s="89">
        <f t="shared" si="879"/>
        <v>0</v>
      </c>
      <c r="DZ125" s="89">
        <f t="shared" si="880"/>
        <v>0</v>
      </c>
      <c r="EA125" s="90">
        <f t="shared" si="881"/>
        <v>0</v>
      </c>
      <c r="EB125" s="91">
        <f t="shared" si="766"/>
        <v>-2.4547089156850312E-3</v>
      </c>
      <c r="EC125" s="89">
        <f t="shared" si="882"/>
        <v>0</v>
      </c>
      <c r="ED125" s="89">
        <f t="shared" si="883"/>
        <v>-0.13906266012959059</v>
      </c>
      <c r="EE125" s="89">
        <f t="shared" si="884"/>
        <v>0</v>
      </c>
      <c r="EF125" s="90">
        <f t="shared" si="885"/>
        <v>0</v>
      </c>
      <c r="EG125" s="242"/>
      <c r="EH125" s="245">
        <f t="shared" si="886"/>
        <v>4.0738027780411213E-6</v>
      </c>
      <c r="EI125" s="246">
        <f t="shared" si="887"/>
        <v>-5.7932360596596446</v>
      </c>
      <c r="EJ125" s="198">
        <f t="shared" si="888"/>
        <v>-99.999859360127189</v>
      </c>
      <c r="EK125" s="198">
        <f t="shared" si="889"/>
        <v>2.8258593453071839E-3</v>
      </c>
      <c r="EL125" s="101" t="e">
        <f>IF(AND(CS125&lt;&gt;"",DK125&lt;&gt;""),LOG(CS125*DK125/Minerals!$C$6),"")</f>
        <v>#NUM!</v>
      </c>
      <c r="EM125" s="94" t="e">
        <f>IF(AND(CS125&lt;&gt;"",DK125&lt;&gt;""),LOG(CS125*DK125/Minerals!$C$5),"")</f>
        <v>#NUM!</v>
      </c>
      <c r="EN125" s="94" t="e">
        <f>IF(AND(CS125&lt;&gt;"",DL125&lt;&gt;""),LOG(CS125*DL125^2/Minerals!$C$2),"")</f>
        <v>#NUM!</v>
      </c>
      <c r="EO125" s="94" t="e">
        <f>IF(AND(CS125&lt;&gt;"",CX125&lt;&gt;""),LOG($CS125*$CX125/Minerals!$C$3),"")</f>
        <v>#NUM!</v>
      </c>
      <c r="EP125" s="95" t="e">
        <f>IF(AND(CS125&lt;&gt;"",CX125&lt;&gt;""),LOG($CS125*$CX125/Minerals!$C$4),"")</f>
        <v>#NUM!</v>
      </c>
      <c r="EQ125" s="199"/>
      <c r="ER125" s="101">
        <f t="shared" ref="ER125:ES131" si="921">10^(-0.5*SQRT($EK125)/(1+SQRT($EK125)))</f>
        <v>0.9435441035747959</v>
      </c>
      <c r="ES125" s="94">
        <f t="shared" si="921"/>
        <v>0.9435441035747959</v>
      </c>
      <c r="ET125" s="94">
        <f t="shared" ref="ET125:EV131" si="922">10^(-0.5*4*SQRT($EK125)/(1+SQRT($EK125)))</f>
        <v>0.79259042208225317</v>
      </c>
      <c r="EU125" s="94">
        <f t="shared" si="922"/>
        <v>0.79259042208225317</v>
      </c>
      <c r="EV125" s="95">
        <f t="shared" si="922"/>
        <v>0.79259042208225317</v>
      </c>
      <c r="EW125" s="101">
        <f t="shared" ref="EW125:FA131" si="923">10^(-0.5*SQRT($EK125)/(1+SQRT($EK125)))</f>
        <v>0.9435441035747959</v>
      </c>
      <c r="EX125" s="94">
        <f t="shared" si="916"/>
        <v>0.79259042208225317</v>
      </c>
      <c r="EY125" s="94">
        <f t="shared" si="923"/>
        <v>0.9435441035747959</v>
      </c>
      <c r="EZ125" s="94">
        <f t="shared" si="923"/>
        <v>0.9435441035747959</v>
      </c>
      <c r="FA125" s="94">
        <f t="shared" si="923"/>
        <v>0.9435441035747959</v>
      </c>
      <c r="FB125" s="95">
        <f t="shared" si="917"/>
        <v>0.79259042208225317</v>
      </c>
      <c r="FC125" s="199"/>
      <c r="FD125" s="101">
        <f t="shared" si="890"/>
        <v>0</v>
      </c>
      <c r="FE125" s="94">
        <f t="shared" si="891"/>
        <v>0</v>
      </c>
      <c r="FF125" s="94">
        <f t="shared" si="892"/>
        <v>0</v>
      </c>
      <c r="FG125" s="94">
        <f t="shared" si="893"/>
        <v>0</v>
      </c>
      <c r="FH125" s="95" t="str">
        <f t="shared" si="894"/>
        <v/>
      </c>
      <c r="FI125" s="101">
        <f t="shared" si="895"/>
        <v>5.3326458455926528E-3</v>
      </c>
      <c r="FJ125" s="94">
        <f t="shared" si="896"/>
        <v>5.5109866243996568E-5</v>
      </c>
      <c r="FK125" s="94">
        <f t="shared" si="897"/>
        <v>0</v>
      </c>
      <c r="FL125" s="94">
        <f t="shared" si="898"/>
        <v>0</v>
      </c>
      <c r="FM125" s="94">
        <f t="shared" si="899"/>
        <v>0</v>
      </c>
      <c r="FN125" s="95">
        <f t="shared" si="900"/>
        <v>0</v>
      </c>
      <c r="FO125" s="199"/>
      <c r="FP125" s="101" t="e">
        <f>IF(EL125&lt;&gt;"",LOG(FF125*FJ125/Minerals!$C$6),"")</f>
        <v>#NUM!</v>
      </c>
      <c r="FQ125" s="94" t="e">
        <f>IF(EL125&lt;&gt;"",LOG(FF125*FJ125/Minerals!$C$5),"")</f>
        <v>#NUM!</v>
      </c>
      <c r="FR125" s="94" t="e">
        <f>IF(EN125&lt;&gt;"",LOG(FF125*FM125^2/Minerals!$C$2),"")</f>
        <v>#NUM!</v>
      </c>
      <c r="FS125" s="94" t="e">
        <f>IF(EO125&lt;&gt;"",LOG($FF125*$FN125/Minerals!$C$3),"")</f>
        <v>#NUM!</v>
      </c>
      <c r="FT125" s="95" t="e">
        <f>IF(EP125&lt;&gt;"",LOG($FF125*$FN125/Minerals!$C$4),"")</f>
        <v>#NUM!</v>
      </c>
      <c r="FU125" s="96"/>
      <c r="FV125" s="101" t="e">
        <f>IF(FP125&lt;&gt;"",LOG(FF125*FJ125/(EXP(-1*Minerals!$E$6/'Other Constants'!$B$2*(1/(273.15+'ppm-mgL-1'!$D125)-1/298.15)+LN(Minerals!$C$6)))),"")</f>
        <v>#NUM!</v>
      </c>
      <c r="FW125" s="94" t="e">
        <f>IF(FP125&lt;&gt;"",LOG(FF125*FJ125/(EXP(-1*Minerals!$E$5/'Other Constants'!$B$2*(1/(273.15+'ppm-mgL-1'!$D125)-1/298.15)+LN(Minerals!$C$5)))),"")</f>
        <v>#NUM!</v>
      </c>
      <c r="FX125" s="94" t="e">
        <f>IF(FR125&lt;&gt;"",LOG(FF125*FM125^2/(EXP(-1*Minerals!$E$2/'Other Constants'!$B$2*(1/(273.15+'ppm-mgL-1'!$D125)-1/298.15)+LN(Minerals!$C$2)))),"")</f>
        <v>#NUM!</v>
      </c>
      <c r="FY125" s="94" t="e">
        <f>IF(FS125&lt;&gt;"",LOG($FF125*$FN125/(EXP(-1*Minerals!$E$3/'Other Constants'!$B$2*(1/(273.15+'ppm-mgL-1'!$D125)-1/298.15)+LN(Minerals!$C$3)))),"")</f>
        <v>#NUM!</v>
      </c>
      <c r="FZ125" s="95" t="e">
        <f>IF(FT125&lt;&gt;"",LOG($FF125*$FN125/(EXP(-1*Minerals!$E$4/'Other Constants'!$B$2*(1/(273.15+'ppm-mgL-1'!$D125)-1/298.15)+LN(Minerals!$C$4)))),"")</f>
        <v>#NUM!</v>
      </c>
      <c r="GA125" s="96"/>
      <c r="GB125" s="96"/>
      <c r="GC125" s="101">
        <f>10^(-1825000*(79.755*EXP(-0.0046*($D125-20))*($D125+273.15))^-1.5*$EK125^0.5/(1+'Elements and ions'!$D$12*$EK125^0.5/(2*(79.755*EXP(-0.0046*($D125-20))*($D125+273.15))^0.5)))</f>
        <v>0.94285695785863555</v>
      </c>
      <c r="GD125" s="94">
        <f>10^(-1825000*(79.755*EXP(-0.0046*($D125-20))*($D125+273.15))^-1.5*$EK125^0.5/(1+'Elements and ions'!$D$20*$EK125^0.5/(2*(79.755*EXP(-0.0046*($D125-20))*($D125+273.15))^0.5)))</f>
        <v>0.94193871682569963</v>
      </c>
      <c r="GE125" s="94">
        <f>10^(-1825000*(79.755*EXP(-0.0046*($D125-20))*($D125+273.15))^-1.5*4*$EK125^0.5/(1+'Elements and ions'!$D$21*$EK125^0.5/(2*(79.755*EXP(-0.0046*($D125-20))*($D125+273.15))^0.5)))</f>
        <v>0.79617460632828818</v>
      </c>
      <c r="GF125" s="94">
        <f>10^(-1825000*(79.755*EXP(-0.0046*($D125-20))*($D125+273.15))^-1.5*4*$EK125^0.5/(1+'Elements and ions'!$D$13*$EK125^0.5/(2*(79.755*EXP(-0.0046*($D125-20))*($D125+273.15))^0.5)))</f>
        <v>0.80174473295705861</v>
      </c>
      <c r="GG125" s="95">
        <f>10^(-1825000*(79.755*EXP(-0.0046*($D125-20))*($D125+273.15))^-1.5*4*$EK125^0.5/(1+'Elements and ions'!$D$27*$EK125^0.5/(2*(79.755*EXP(-0.0046*($D125-20))*($D125+273.15))^0.5)))</f>
        <v>0.79617460632828818</v>
      </c>
      <c r="GH125" s="101">
        <f>10^(-1825000*(79.755*EXP(-0.0046*($D125-20))*($D125+273.15))^-1.5*$EK125^0.5/(1+'Elements and ions'!$G$3*$EK125^0.5/(2*(79.755*EXP(-0.0046*($D125-20))*($D125+273.15))^0.5)))</f>
        <v>0.93962000783474176</v>
      </c>
      <c r="GI125" s="94">
        <f>10^(-1825000*(79.755*EXP(-0.0046*($D125-20))*($D125+273.15))^-1.5*4*$EK125^0.5/(1+'Elements and ions'!$G$4*$EK125^0.5/(2*(79.755*EXP(-0.0046*($D125-20))*($D125+273.15))^0.5)))</f>
        <v>0.77945351183227529</v>
      </c>
      <c r="GJ125" s="94">
        <f>10^(-1825000*(79.755*EXP(-0.0046*($D125-20))*($D125+273.15))^-1.5*$EK125^0.5/(1+'Elements and ions'!$D$18*$EK125^0.5/(2*(79.755*EXP(-0.0046*($D125-20))*($D125+273.15))^0.5)))</f>
        <v>0.94193871682569963</v>
      </c>
      <c r="GK125" s="94">
        <f>10^(-1825000*(79.755*EXP(-0.0046*($D125-20))*($D125+273.15))^-1.5*$EK125^0.5/(1+'Elements and ions'!$I$7*$EK125^0.5/(2*(79.755*EXP(-0.0046*($D125-20))*($D125+273.15))^0.5)))</f>
        <v>0.94193871682569963</v>
      </c>
      <c r="GL125" s="94">
        <f>10^(-1825000*(79.755*EXP(-0.0046*($D125-20))*($D125+273.15))^-1.5*$EK125^0.5/(1+'Elements and ions'!$D$10*$EK125^0.5/(2*(79.755*EXP(-0.0046*($D125-20))*($D125+273.15))^0.5)))</f>
        <v>0.94240149567636156</v>
      </c>
      <c r="GM125" s="95">
        <f>10^(-1825000*(79.755*EXP(-0.0046*($D125-20))*($D125+273.15))^-1.5*4*$EK125^0.5/(1+'Elements and ions'!$I$5*$EK125^0.5/(2*(79.755*EXP(-0.0046*($D125-20))*($D125+273.15))^0.5)))</f>
        <v>0.7902840944536339</v>
      </c>
      <c r="GN125" s="96"/>
      <c r="GO125" s="101">
        <f t="shared" si="901"/>
        <v>0</v>
      </c>
      <c r="GP125" s="94">
        <f t="shared" si="902"/>
        <v>0</v>
      </c>
      <c r="GQ125" s="94">
        <f t="shared" si="903"/>
        <v>0</v>
      </c>
      <c r="GR125" s="94">
        <f t="shared" si="904"/>
        <v>0</v>
      </c>
      <c r="GS125" s="95" t="str">
        <f t="shared" si="905"/>
        <v/>
      </c>
      <c r="GT125" s="101">
        <f t="shared" si="906"/>
        <v>5.3104679603548288E-3</v>
      </c>
      <c r="GU125" s="94">
        <f t="shared" si="907"/>
        <v>5.419643940137376E-5</v>
      </c>
      <c r="GV125" s="94">
        <f t="shared" si="908"/>
        <v>0</v>
      </c>
      <c r="GW125" s="94">
        <f t="shared" si="909"/>
        <v>0</v>
      </c>
      <c r="GX125" s="94">
        <f t="shared" si="910"/>
        <v>0</v>
      </c>
      <c r="GY125" s="102">
        <f t="shared" si="911"/>
        <v>0</v>
      </c>
      <c r="GZ125" s="199"/>
      <c r="HA125" s="92" t="e">
        <f>IF(AND(GQ125&lt;&gt;"",GU125&lt;&gt;""),LOG(GQ125*GU125/Minerals!$C$6),"")</f>
        <v>#NUM!</v>
      </c>
      <c r="HB125" s="94" t="e">
        <f>IF(AND(GQ125&lt;&gt;"",GU125&lt;&gt;""),LOG(GQ125*GU125/Minerals!$C$5),"")</f>
        <v>#NUM!</v>
      </c>
      <c r="HC125" s="94" t="e">
        <f>IF(AND(GQ125&lt;&gt;"",GX125&lt;&gt;""),LOG(GQ125*GX125^2/Minerals!$C$2),"")</f>
        <v>#NUM!</v>
      </c>
      <c r="HD125" s="94" t="e">
        <f>IF(AND(GQ125&lt;&gt;"",GY125&lt;&gt;""),LOG($GQ125*$GY125/Minerals!$C$3),"")</f>
        <v>#NUM!</v>
      </c>
      <c r="HE125" s="102" t="e">
        <f>IF(AND(GQ125&lt;&gt;"",GY125&lt;&gt;""),LOG($GQ125*$GY125/Minerals!$C$3),"")</f>
        <v>#NUM!</v>
      </c>
      <c r="HF125" s="199"/>
      <c r="HG125" s="92" t="e">
        <f>IF(HA125&lt;&gt;"",LOG(GQ125*GU125/(EXP(-1*Minerals!$E$6/'Other Constants'!$B$2*(1/(273.15+'ppm-mgL-1'!$D125)-1/298.15)+LN(Minerals!$C$6)))),"")</f>
        <v>#NUM!</v>
      </c>
      <c r="HH125" s="94" t="e">
        <f>IF(HA125&lt;&gt;"",LOG(GQ125*GU125/(EXP(-1*Minerals!$E$5/'Other Constants'!$B$2*(1/(273.15+'ppm-mgL-1'!$D125)-1/298.15)+LN(Minerals!$C$5)))),"")</f>
        <v>#NUM!</v>
      </c>
      <c r="HI125" s="94" t="e">
        <f>IF(HC125&lt;&gt;"",LOG(GQ125*GX125^2/(EXP(-1*Minerals!$E$2/'Other Constants'!$B$2*(1/(273.15+'ppm-mgL-1'!$D125)-1/298.15)+LN(Minerals!$C$2)))),"")</f>
        <v>#NUM!</v>
      </c>
      <c r="HJ125" s="94" t="e">
        <f>IF(HD125&lt;&gt;"",LOG($FF125*$FN125/(EXP(-1*Minerals!$E$3/'Other Constants'!$B$2*(1/(273.15+'ppm-mgL-1'!$D125)-1/298.15)+LN(Minerals!$C$3)))),"")</f>
        <v>#NUM!</v>
      </c>
      <c r="HK125" s="95" t="e">
        <f>IF(HE125&lt;&gt;"",LOG($FF125*$FN125/(EXP(-1*Minerals!$E$4/'Other Constants'!$B$2*(1/(273.15+'ppm-mgL-1'!$D125)-1/298.15)+LN(Minerals!$C$4)))),"")</f>
        <v>#NUM!</v>
      </c>
    </row>
    <row r="126" spans="1:221" x14ac:dyDescent="0.25">
      <c r="A126" t="s">
        <v>338</v>
      </c>
      <c r="C126" s="274">
        <v>41572</v>
      </c>
      <c r="D126">
        <v>16.7</v>
      </c>
      <c r="E126">
        <v>8.17</v>
      </c>
      <c r="F126"/>
      <c r="G126">
        <v>766.4</v>
      </c>
      <c r="H126"/>
      <c r="I126">
        <v>16.7</v>
      </c>
      <c r="AD126" s="83">
        <f>IF(E126&lt;&gt;"",10^(-2*$E126)/(10^(-2*$E126)+10^(-$E126-pKa!$B$2)+(10^(-pKa!$B$2-pKa!$C$2))),"")</f>
        <v>1.3213432007911393E-2</v>
      </c>
      <c r="AE126" s="84">
        <f>IF(E126&lt;&gt;"",10^(-$E126-pKa!$B$2)/(10^(-2*$E126)+10^(-$E126-pKa!$B$2)+10^(-pKa!$B$2-pKa!$C$2)),"")</f>
        <v>0.9795252470198027</v>
      </c>
      <c r="AF126" s="212">
        <f>IF(E126&lt;&gt;"",10^(-pKa!$B$2-pKa!$C$2)/(10^(-2*$E126)+10^(-$E126-pKa!$B$2)+10^(-pKa!$B$2-pKa!$C$2)),"")</f>
        <v>7.2613209722859002E-3</v>
      </c>
      <c r="AG126" s="152"/>
      <c r="AH126" s="163">
        <f t="shared" si="912"/>
        <v>8.6359071095532105</v>
      </c>
      <c r="AI126" s="289">
        <f>104.34434094/1000/12.0107</f>
        <v>8.6876152880348348E-3</v>
      </c>
      <c r="AJ126" s="84">
        <f>IF(AI126&lt;&gt;"",AI126*1000*'Elements and ions'!$B$7,"")</f>
        <v>104.34434093999998</v>
      </c>
      <c r="AK126" s="89">
        <f>IF($AI126&lt;&gt;"",$AH126*'Elements and ions'!$G$3,IF($E126="","","Enter DIC"))</f>
        <v>526.9357623584707</v>
      </c>
      <c r="AL126" s="88">
        <f>IF($AK126&lt;&gt;"",$AK126/'Elements and ions'!$G$3*Minerals!$B$6/2,IF($E126="","","Enter Alk(HCO3-)"))</f>
        <v>432.1705856415706</v>
      </c>
      <c r="AM126" s="199"/>
      <c r="AN126" s="101">
        <f t="shared" si="913"/>
        <v>1.1479321391933984E-4</v>
      </c>
      <c r="AO126" s="94">
        <f t="shared" si="914"/>
        <v>8.509738511025336E-3</v>
      </c>
      <c r="AP126" s="95">
        <f t="shared" si="915"/>
        <v>6.3083563090158952E-5</v>
      </c>
      <c r="AQ126" s="199"/>
      <c r="AR126" s="199"/>
      <c r="AS126" s="83">
        <f t="shared" si="918"/>
        <v>0.33762709976276423</v>
      </c>
      <c r="AT126" s="83">
        <f>IF(AN126&lt;&gt;"",AN126/'Henrys law constants'!$B$7*1000000,"")</f>
        <v>3376.2709976276424</v>
      </c>
      <c r="AU126" s="268">
        <f>'WC samples'!K104</f>
        <v>0</v>
      </c>
      <c r="AV126" s="269">
        <f>'WC samples'!M104</f>
        <v>0</v>
      </c>
      <c r="AW126" s="269">
        <f>'WC samples'!O104</f>
        <v>0</v>
      </c>
      <c r="AX126" s="269">
        <f>'WC samples'!N104</f>
        <v>0</v>
      </c>
      <c r="AY126" s="226">
        <f>AO126*'Elements and ions'!$G$3*1000</f>
        <v>519.23735316907118</v>
      </c>
      <c r="AZ126" s="269">
        <f>'WC samples'!Q104</f>
        <v>0</v>
      </c>
      <c r="BA126" s="269">
        <f>'WC samples'!T104</f>
        <v>0</v>
      </c>
      <c r="BB126" s="270">
        <f>'WC samples'!V104</f>
        <v>0</v>
      </c>
      <c r="BC126" s="222">
        <f>IF($E126&lt;&gt;"",10^-$E126*'Elements and ions'!B137*1000,"")</f>
        <v>0</v>
      </c>
      <c r="BE126" s="6"/>
      <c r="BF126" s="6"/>
      <c r="BG126" s="270">
        <f>'WC samples'!L104</f>
        <v>0</v>
      </c>
      <c r="BH126" s="3"/>
      <c r="BJ126" s="92">
        <f>IF($AN126&lt;&gt;"",$AN126*'Elements and ions'!$G$2*1000,"")</f>
        <v>7.1200238388399901</v>
      </c>
      <c r="BK126" s="229"/>
      <c r="BL126" s="230"/>
      <c r="BM126" s="101">
        <f>IF($E126&lt;&gt;"",(10^-14+$E126)*'Elements and ions'!$G$8,"")</f>
        <v>138.94996780000017</v>
      </c>
      <c r="BO126" s="102">
        <f>IF($AP126&lt;&gt;"",$AP126*'Elements and ions'!$G$4*1000,"")</f>
        <v>3.7855752291210392</v>
      </c>
      <c r="BP126" s="269">
        <f>'WC samples'!P104</f>
        <v>0</v>
      </c>
      <c r="BQ126" s="270">
        <f>'WC samples'!R104</f>
        <v>0</v>
      </c>
      <c r="BR126" s="195"/>
      <c r="BS126" s="238">
        <f>IF($AU126&lt;&gt;"",$AU126/'Elements and ions'!$B$12,"")</f>
        <v>0</v>
      </c>
      <c r="BT126" s="239">
        <f>IF($AV126&lt;&gt;"",$AV126/'Elements and ions'!$B$20,"")</f>
        <v>0</v>
      </c>
      <c r="BU126" s="239">
        <f>IF($AW126&lt;&gt;"",$AW126/'Elements and ions'!$B$21, "")</f>
        <v>0</v>
      </c>
      <c r="BV126" s="240">
        <f>IF($AX126&lt;&gt;"",$AX126/'Elements and ions'!$B$13, "")</f>
        <v>0</v>
      </c>
      <c r="BW126" s="238">
        <f>IF($AY126&lt;&gt;"",$AY126/'Elements and ions'!$G$3,"")</f>
        <v>8.5097385110253363</v>
      </c>
      <c r="BX126" s="239">
        <f>IF($AZ126&lt;&gt;"",$AZ126/'Elements and ions'!$B$18,"")</f>
        <v>0</v>
      </c>
      <c r="BY126" s="239">
        <f>IF($BA126&lt;&gt;"",$BA126/'Elements and ions'!$G$7,"")</f>
        <v>0</v>
      </c>
      <c r="BZ126" s="241">
        <f>IF($BB126&lt;&gt;"",$BB126/'Elements and ions'!$G$5,"")</f>
        <v>0</v>
      </c>
      <c r="CA126" s="91">
        <f t="shared" si="919"/>
        <v>6.7608297539198163E-6</v>
      </c>
      <c r="CB126" s="163" t="str">
        <f>IF($BD126&lt;&gt;"",$BD126/'Elements and ions'!$B$14,"")</f>
        <v/>
      </c>
      <c r="CC126" s="89" t="str">
        <f>IF($BE126&lt;&gt;"",$BE126/'Elements and ions'!$B$27, "")</f>
        <v/>
      </c>
      <c r="CD126" s="249" t="str">
        <f>IF($BF126&lt;&gt;"",$BF126/'Elements and ions'!$B$26,"")</f>
        <v/>
      </c>
      <c r="CE126" s="250">
        <f>IF($BG126&lt;&gt;"",$BG126/'Elements and ions'!$G$6,"")</f>
        <v>0</v>
      </c>
      <c r="CF126" s="91" t="str">
        <f>IF($BH126&lt;&gt;"",$BH126/'Elements and ions'!$G$15,"")</f>
        <v/>
      </c>
      <c r="CG126" s="89" t="str">
        <f>IF($BI126&lt;&gt;"",$BI126/'Elements and ions'!$G$16,"")</f>
        <v/>
      </c>
      <c r="CH126" s="90">
        <f>IF($BJ126&lt;&gt;"",$BJ126/'Elements and ions'!$G$2,"")</f>
        <v>0.11479321391933983</v>
      </c>
      <c r="CI126" s="91" t="str">
        <f>IF($BK126&lt;&gt;"",$BK126/'Elements and ions'!$B$15, "")</f>
        <v/>
      </c>
      <c r="CJ126" s="88" t="str">
        <f>IF($BL126&lt;&gt;"", $BL126/'Elements and ions'!$G$17,"")</f>
        <v/>
      </c>
      <c r="CK126" s="89">
        <f t="shared" si="920"/>
        <v>1.4791083881682055E-3</v>
      </c>
      <c r="CL126" s="163" t="str">
        <f>IF($BN126&lt;&gt;"", $BN126/'Elements and ions'!$G$19,"")</f>
        <v/>
      </c>
      <c r="CM126" s="89">
        <f>IF($BO126&lt;&gt;"",$BO126/'Elements and ions'!$G$4,"")</f>
        <v>6.3083563090158945E-2</v>
      </c>
      <c r="CN126" s="89">
        <f>IF($BP126&lt;&gt;"",$BP126/'Elements and ions'!$B$10,"")</f>
        <v>0</v>
      </c>
      <c r="CO126" s="104">
        <f>IF($BQ126&lt;&gt;"",$BQ126/'Elements and ions'!$G$18,"")</f>
        <v>0</v>
      </c>
      <c r="CP126" s="242"/>
      <c r="CQ126" s="238">
        <f t="shared" si="849"/>
        <v>0</v>
      </c>
      <c r="CR126" s="239">
        <f t="shared" si="850"/>
        <v>0</v>
      </c>
      <c r="CS126" s="239">
        <f t="shared" si="851"/>
        <v>0</v>
      </c>
      <c r="CT126" s="241">
        <f t="shared" si="852"/>
        <v>0</v>
      </c>
      <c r="CU126" s="238">
        <f t="shared" si="853"/>
        <v>8.509738511025336E-3</v>
      </c>
      <c r="CV126" s="239">
        <f t="shared" si="854"/>
        <v>0</v>
      </c>
      <c r="CW126" s="239">
        <f t="shared" si="855"/>
        <v>0</v>
      </c>
      <c r="CX126" s="241">
        <f t="shared" si="856"/>
        <v>0</v>
      </c>
      <c r="CY126" s="258">
        <f t="shared" ref="CY126:CY131" si="924">IF($E126&lt;&gt;"",10^-$E126,"")</f>
        <v>6.7608297539198166E-9</v>
      </c>
      <c r="CZ126" s="259" t="str">
        <f t="shared" si="857"/>
        <v/>
      </c>
      <c r="DA126" s="260" t="str">
        <f t="shared" si="858"/>
        <v/>
      </c>
      <c r="DB126" s="261" t="str">
        <f t="shared" si="859"/>
        <v/>
      </c>
      <c r="DC126" s="262">
        <f t="shared" si="860"/>
        <v>0</v>
      </c>
      <c r="DD126" s="263" t="str">
        <f t="shared" si="861"/>
        <v/>
      </c>
      <c r="DE126" s="259" t="str">
        <f t="shared" si="862"/>
        <v/>
      </c>
      <c r="DF126" s="260">
        <f t="shared" si="863"/>
        <v>1.1479321391933983E-4</v>
      </c>
      <c r="DG126" s="260" t="str">
        <f t="shared" si="864"/>
        <v/>
      </c>
      <c r="DH126" s="264" t="str">
        <f t="shared" si="865"/>
        <v/>
      </c>
      <c r="DI126" s="258">
        <f t="shared" ref="DI126:DI131" si="925">IF($E126&lt;&gt;"",(10^(-14+$E126)),"")</f>
        <v>1.4791083881682056E-6</v>
      </c>
      <c r="DJ126" s="260" t="str">
        <f t="shared" si="866"/>
        <v/>
      </c>
      <c r="DK126" s="260">
        <f t="shared" si="867"/>
        <v>6.3083563090158952E-5</v>
      </c>
      <c r="DL126" s="260">
        <f t="shared" si="868"/>
        <v>0</v>
      </c>
      <c r="DM126" s="265">
        <f t="shared" si="869"/>
        <v>0</v>
      </c>
      <c r="DN126" s="242"/>
      <c r="DO126" s="238">
        <f t="shared" si="870"/>
        <v>0</v>
      </c>
      <c r="DP126" s="239">
        <f t="shared" si="871"/>
        <v>0</v>
      </c>
      <c r="DQ126" s="239">
        <f t="shared" si="872"/>
        <v>0</v>
      </c>
      <c r="DR126" s="241">
        <f t="shared" si="873"/>
        <v>0</v>
      </c>
      <c r="DS126" s="238">
        <f t="shared" si="874"/>
        <v>-8.5097385110253363</v>
      </c>
      <c r="DT126" s="239">
        <f t="shared" si="875"/>
        <v>0</v>
      </c>
      <c r="DU126" s="239">
        <f t="shared" si="876"/>
        <v>0</v>
      </c>
      <c r="DV126" s="241">
        <f t="shared" si="877"/>
        <v>0</v>
      </c>
      <c r="DW126" s="91">
        <f t="shared" ref="DW126:DW131" si="926">IF($E126&lt;&gt;"",10^-$E126*1000,"")</f>
        <v>6.7608297539198163E-6</v>
      </c>
      <c r="DX126" s="89">
        <f t="shared" si="878"/>
        <v>0</v>
      </c>
      <c r="DY126" s="89">
        <f t="shared" si="879"/>
        <v>0</v>
      </c>
      <c r="DZ126" s="89">
        <f t="shared" si="880"/>
        <v>0</v>
      </c>
      <c r="EA126" s="90">
        <f t="shared" si="881"/>
        <v>0</v>
      </c>
      <c r="EB126" s="91">
        <f t="shared" ref="EB126:EB131" si="927">IF($E126&lt;&gt;"",(10^(-14+$E126))*-1000,"")</f>
        <v>-1.4791083881682055E-3</v>
      </c>
      <c r="EC126" s="89">
        <f t="shared" si="882"/>
        <v>0</v>
      </c>
      <c r="ED126" s="89">
        <f t="shared" si="883"/>
        <v>-0.12616712618031789</v>
      </c>
      <c r="EE126" s="89">
        <f t="shared" si="884"/>
        <v>0</v>
      </c>
      <c r="EF126" s="90">
        <f t="shared" si="885"/>
        <v>0</v>
      </c>
      <c r="EG126" s="242"/>
      <c r="EH126" s="245">
        <f t="shared" si="886"/>
        <v>6.7608297539198163E-6</v>
      </c>
      <c r="EI126" s="246">
        <f t="shared" si="887"/>
        <v>-8.6373847455938222</v>
      </c>
      <c r="EJ126" s="198">
        <f t="shared" si="888"/>
        <v>-99.999843452048026</v>
      </c>
      <c r="EK126" s="198">
        <f t="shared" si="889"/>
        <v>4.254869255512668E-3</v>
      </c>
      <c r="EL126" s="101" t="e">
        <f>IF(AND(CS126&lt;&gt;"",DK126&lt;&gt;""),LOG(CS126*DK126/Minerals!$C$6),"")</f>
        <v>#NUM!</v>
      </c>
      <c r="EM126" s="94" t="e">
        <f>IF(AND(CS126&lt;&gt;"",DK126&lt;&gt;""),LOG(CS126*DK126/Minerals!$C$5),"")</f>
        <v>#NUM!</v>
      </c>
      <c r="EN126" s="94" t="e">
        <f>IF(AND(CS126&lt;&gt;"",DL126&lt;&gt;""),LOG(CS126*DL126^2/Minerals!$C$2),"")</f>
        <v>#NUM!</v>
      </c>
      <c r="EO126" s="94" t="e">
        <f>IF(AND(CS126&lt;&gt;"",CX126&lt;&gt;""),LOG($CS126*$CX126/Minerals!$C$3),"")</f>
        <v>#NUM!</v>
      </c>
      <c r="EP126" s="95" t="e">
        <f>IF(AND(CS126&lt;&gt;"",CX126&lt;&gt;""),LOG($CS126*$CX126/Minerals!$C$4),"")</f>
        <v>#NUM!</v>
      </c>
      <c r="EQ126" s="199"/>
      <c r="ER126" s="101">
        <f t="shared" si="921"/>
        <v>0.93192826019606168</v>
      </c>
      <c r="ES126" s="94">
        <f t="shared" si="921"/>
        <v>0.93192826019606168</v>
      </c>
      <c r="ET126" s="94">
        <f t="shared" si="922"/>
        <v>0.75427537019256186</v>
      </c>
      <c r="EU126" s="94">
        <f t="shared" si="922"/>
        <v>0.75427537019256186</v>
      </c>
      <c r="EV126" s="95">
        <f t="shared" si="922"/>
        <v>0.75427537019256186</v>
      </c>
      <c r="EW126" s="101">
        <f t="shared" si="923"/>
        <v>0.93192826019606168</v>
      </c>
      <c r="EX126" s="94">
        <f t="shared" si="916"/>
        <v>0.75427537019256186</v>
      </c>
      <c r="EY126" s="94">
        <f t="shared" si="923"/>
        <v>0.93192826019606168</v>
      </c>
      <c r="EZ126" s="94">
        <f t="shared" si="923"/>
        <v>0.93192826019606168</v>
      </c>
      <c r="FA126" s="94">
        <f t="shared" si="923"/>
        <v>0.93192826019606168</v>
      </c>
      <c r="FB126" s="95">
        <f t="shared" si="917"/>
        <v>0.75427537019256186</v>
      </c>
      <c r="FC126" s="199"/>
      <c r="FD126" s="101">
        <f t="shared" si="890"/>
        <v>0</v>
      </c>
      <c r="FE126" s="94">
        <f t="shared" si="891"/>
        <v>0</v>
      </c>
      <c r="FF126" s="94">
        <f t="shared" si="892"/>
        <v>0</v>
      </c>
      <c r="FG126" s="94">
        <f t="shared" si="893"/>
        <v>0</v>
      </c>
      <c r="FH126" s="95" t="str">
        <f t="shared" si="894"/>
        <v/>
      </c>
      <c r="FI126" s="101">
        <f t="shared" si="895"/>
        <v>7.9304658053032662E-3</v>
      </c>
      <c r="FJ126" s="94">
        <f t="shared" si="896"/>
        <v>4.7582377902895472E-5</v>
      </c>
      <c r="FK126" s="94">
        <f t="shared" si="897"/>
        <v>0</v>
      </c>
      <c r="FL126" s="94">
        <f t="shared" si="898"/>
        <v>0</v>
      </c>
      <c r="FM126" s="94">
        <f t="shared" si="899"/>
        <v>0</v>
      </c>
      <c r="FN126" s="95">
        <f t="shared" si="900"/>
        <v>0</v>
      </c>
      <c r="FO126" s="199"/>
      <c r="FP126" s="101" t="e">
        <f>IF(EL126&lt;&gt;"",LOG(FF126*FJ126/Minerals!$C$6),"")</f>
        <v>#NUM!</v>
      </c>
      <c r="FQ126" s="94" t="e">
        <f>IF(EL126&lt;&gt;"",LOG(FF126*FJ126/Minerals!$C$5),"")</f>
        <v>#NUM!</v>
      </c>
      <c r="FR126" s="94" t="e">
        <f>IF(EN126&lt;&gt;"",LOG(FF126*FM126^2/Minerals!$C$2),"")</f>
        <v>#NUM!</v>
      </c>
      <c r="FS126" s="94" t="e">
        <f>IF(EO126&lt;&gt;"",LOG($FF126*$FN126/Minerals!$C$3),"")</f>
        <v>#NUM!</v>
      </c>
      <c r="FT126" s="95" t="e">
        <f>IF(EP126&lt;&gt;"",LOG($FF126*$FN126/Minerals!$C$4),"")</f>
        <v>#NUM!</v>
      </c>
      <c r="FU126" s="96"/>
      <c r="FV126" s="101" t="e">
        <f>IF(FP126&lt;&gt;"",LOG(FF126*FJ126/(EXP(-1*Minerals!$E$6/'Other Constants'!$B$2*(1/(273.15+'ppm-mgL-1'!$D126)-1/298.15)+LN(Minerals!$C$6)))),"")</f>
        <v>#NUM!</v>
      </c>
      <c r="FW126" s="94" t="e">
        <f>IF(FP126&lt;&gt;"",LOG(FF126*FJ126/(EXP(-1*Minerals!$E$5/'Other Constants'!$B$2*(1/(273.15+'ppm-mgL-1'!$D126)-1/298.15)+LN(Minerals!$C$5)))),"")</f>
        <v>#NUM!</v>
      </c>
      <c r="FX126" s="94" t="e">
        <f>IF(FR126&lt;&gt;"",LOG(FF126*FM126^2/(EXP(-1*Minerals!$E$2/'Other Constants'!$B$2*(1/(273.15+'ppm-mgL-1'!$D126)-1/298.15)+LN(Minerals!$C$2)))),"")</f>
        <v>#NUM!</v>
      </c>
      <c r="FY126" s="94" t="e">
        <f>IF(FS126&lt;&gt;"",LOG($FF126*$FN126/(EXP(-1*Minerals!$E$3/'Other Constants'!$B$2*(1/(273.15+'ppm-mgL-1'!$D126)-1/298.15)+LN(Minerals!$C$3)))),"")</f>
        <v>#NUM!</v>
      </c>
      <c r="FZ126" s="95" t="e">
        <f>IF(FT126&lt;&gt;"",LOG($FF126*$FN126/(EXP(-1*Minerals!$E$4/'Other Constants'!$B$2*(1/(273.15+'ppm-mgL-1'!$D126)-1/298.15)+LN(Minerals!$C$4)))),"")</f>
        <v>#NUM!</v>
      </c>
      <c r="GA126" s="96"/>
      <c r="GB126" s="96"/>
      <c r="GC126" s="101">
        <f>10^(-1825000*(79.755*EXP(-0.0046*($D126-20))*($D126+273.15))^-1.5*$EK126^0.5/(1+'Elements and ions'!$D$12*$EK126^0.5/(2*(79.755*EXP(-0.0046*($D126-20))*($D126+273.15))^0.5)))</f>
        <v>0.93216108843139256</v>
      </c>
      <c r="GD126" s="94">
        <f>10^(-1825000*(79.755*EXP(-0.0046*($D126-20))*($D126+273.15))^-1.5*$EK126^0.5/(1+'Elements and ions'!$D$20*$EK126^0.5/(2*(79.755*EXP(-0.0046*($D126-20))*($D126+273.15))^0.5)))</f>
        <v>0.93085162326042514</v>
      </c>
      <c r="GE126" s="94">
        <f>10^(-1825000*(79.755*EXP(-0.0046*($D126-20))*($D126+273.15))^-1.5*4*$EK126^0.5/(1+'Elements and ions'!$D$21*$EK126^0.5/(2*(79.755*EXP(-0.0046*($D126-20))*($D126+273.15))^0.5)))</f>
        <v>0.76308226363909326</v>
      </c>
      <c r="GF126" s="94">
        <f>10^(-1825000*(79.755*EXP(-0.0046*($D126-20))*($D126+273.15))^-1.5*4*$EK126^0.5/(1+'Elements and ions'!$D$13*$EK126^0.5/(2*(79.755*EXP(-0.0046*($D126-20))*($D126+273.15))^0.5)))</f>
        <v>0.77062587107640879</v>
      </c>
      <c r="GG126" s="95">
        <f>10^(-1825000*(79.755*EXP(-0.0046*($D126-20))*($D126+273.15))^-1.5*4*$EK126^0.5/(1+'Elements and ions'!$D$27*$EK126^0.5/(2*(79.755*EXP(-0.0046*($D126-20))*($D126+273.15))^0.5)))</f>
        <v>0.76308226363909326</v>
      </c>
      <c r="GH126" s="101">
        <f>10^(-1825000*(79.755*EXP(-0.0046*($D126-20))*($D126+273.15))^-1.5*$EK126^0.5/(1+'Elements and ions'!$G$3*$EK126^0.5/(2*(79.755*EXP(-0.0046*($D126-20))*($D126+273.15))^0.5)))</f>
        <v>0.92750765980757222</v>
      </c>
      <c r="GI126" s="94">
        <f>10^(-1825000*(79.755*EXP(-0.0046*($D126-20))*($D126+273.15))^-1.5*4*$EK126^0.5/(1+'Elements and ions'!$G$4*$EK126^0.5/(2*(79.755*EXP(-0.0046*($D126-20))*($D126+273.15))^0.5)))</f>
        <v>0.74001806503322365</v>
      </c>
      <c r="GJ126" s="94">
        <f>10^(-1825000*(79.755*EXP(-0.0046*($D126-20))*($D126+273.15))^-1.5*$EK126^0.5/(1+'Elements and ions'!$D$18*$EK126^0.5/(2*(79.755*EXP(-0.0046*($D126-20))*($D126+273.15))^0.5)))</f>
        <v>0.93085162326042514</v>
      </c>
      <c r="GK126" s="94">
        <f>10^(-1825000*(79.755*EXP(-0.0046*($D126-20))*($D126+273.15))^-1.5*$EK126^0.5/(1+'Elements and ions'!$I$7*$EK126^0.5/(2*(79.755*EXP(-0.0046*($D126-20))*($D126+273.15))^0.5)))</f>
        <v>0.93085162326042514</v>
      </c>
      <c r="GL126" s="94">
        <f>10^(-1825000*(79.755*EXP(-0.0046*($D126-20))*($D126+273.15))^-1.5*$EK126^0.5/(1+'Elements and ions'!$D$10*$EK126^0.5/(2*(79.755*EXP(-0.0046*($D126-20))*($D126+273.15))^0.5)))</f>
        <v>0.93151261173203459</v>
      </c>
      <c r="GM126" s="95">
        <f>10^(-1825000*(79.755*EXP(-0.0046*($D126-20))*($D126+273.15))^-1.5*4*$EK126^0.5/(1+'Elements and ions'!$I$5*$EK126^0.5/(2*(79.755*EXP(-0.0046*($D126-20))*($D126+273.15))^0.5)))</f>
        <v>0.7550294300686492</v>
      </c>
      <c r="GN126" s="96"/>
      <c r="GO126" s="101">
        <f t="shared" si="901"/>
        <v>0</v>
      </c>
      <c r="GP126" s="94">
        <f t="shared" si="902"/>
        <v>0</v>
      </c>
      <c r="GQ126" s="94">
        <f t="shared" si="903"/>
        <v>0</v>
      </c>
      <c r="GR126" s="94">
        <f t="shared" si="904"/>
        <v>0</v>
      </c>
      <c r="GS126" s="95" t="str">
        <f t="shared" si="905"/>
        <v/>
      </c>
      <c r="GT126" s="101">
        <f t="shared" si="906"/>
        <v>7.8928476519354827E-3</v>
      </c>
      <c r="GU126" s="94">
        <f t="shared" si="907"/>
        <v>4.6682976293380711E-5</v>
      </c>
      <c r="GV126" s="94">
        <f t="shared" si="908"/>
        <v>0</v>
      </c>
      <c r="GW126" s="94">
        <f t="shared" si="909"/>
        <v>0</v>
      </c>
      <c r="GX126" s="94">
        <f t="shared" si="910"/>
        <v>0</v>
      </c>
      <c r="GY126" s="102">
        <f t="shared" si="911"/>
        <v>0</v>
      </c>
      <c r="GZ126" s="199"/>
      <c r="HA126" s="92" t="e">
        <f>IF(AND(GQ126&lt;&gt;"",GU126&lt;&gt;""),LOG(GQ126*GU126/Minerals!$C$6),"")</f>
        <v>#NUM!</v>
      </c>
      <c r="HB126" s="94" t="e">
        <f>IF(AND(GQ126&lt;&gt;"",GU126&lt;&gt;""),LOG(GQ126*GU126/Minerals!$C$5),"")</f>
        <v>#NUM!</v>
      </c>
      <c r="HC126" s="94" t="e">
        <f>IF(AND(GQ126&lt;&gt;"",GX126&lt;&gt;""),LOG(GQ126*GX126^2/Minerals!$C$2),"")</f>
        <v>#NUM!</v>
      </c>
      <c r="HD126" s="94" t="e">
        <f>IF(AND(GQ126&lt;&gt;"",GY126&lt;&gt;""),LOG($GQ126*$GY126/Minerals!$C$3),"")</f>
        <v>#NUM!</v>
      </c>
      <c r="HE126" s="102" t="e">
        <f>IF(AND(GQ126&lt;&gt;"",GY126&lt;&gt;""),LOG($GQ126*$GY126/Minerals!$C$3),"")</f>
        <v>#NUM!</v>
      </c>
      <c r="HF126" s="199"/>
      <c r="HG126" s="92" t="e">
        <f>IF(HA126&lt;&gt;"",LOG(GQ126*GU126/(EXP(-1*Minerals!$E$6/'Other Constants'!$B$2*(1/(273.15+'ppm-mgL-1'!$D126)-1/298.15)+LN(Minerals!$C$6)))),"")</f>
        <v>#NUM!</v>
      </c>
      <c r="HH126" s="94" t="e">
        <f>IF(HA126&lt;&gt;"",LOG(GQ126*GU126/(EXP(-1*Minerals!$E$5/'Other Constants'!$B$2*(1/(273.15+'ppm-mgL-1'!$D126)-1/298.15)+LN(Minerals!$C$5)))),"")</f>
        <v>#NUM!</v>
      </c>
      <c r="HI126" s="94" t="e">
        <f>IF(HC126&lt;&gt;"",LOG(GQ126*GX126^2/(EXP(-1*Minerals!$E$2/'Other Constants'!$B$2*(1/(273.15+'ppm-mgL-1'!$D126)-1/298.15)+LN(Minerals!$C$2)))),"")</f>
        <v>#NUM!</v>
      </c>
      <c r="HJ126" s="94" t="e">
        <f>IF(HD126&lt;&gt;"",LOG($FF126*$FN126/(EXP(-1*Minerals!$E$3/'Other Constants'!$B$2*(1/(273.15+'ppm-mgL-1'!$D126)-1/298.15)+LN(Minerals!$C$3)))),"")</f>
        <v>#NUM!</v>
      </c>
      <c r="HK126" s="95" t="e">
        <f>IF(HE126&lt;&gt;"",LOG($FF126*$FN126/(EXP(-1*Minerals!$E$4/'Other Constants'!$B$2*(1/(273.15+'ppm-mgL-1'!$D126)-1/298.15)+LN(Minerals!$C$4)))),"")</f>
        <v>#NUM!</v>
      </c>
    </row>
    <row r="127" spans="1:221" x14ac:dyDescent="0.25">
      <c r="A127" t="s">
        <v>341</v>
      </c>
      <c r="C127" s="274">
        <v>41436</v>
      </c>
      <c r="D127">
        <v>22.6</v>
      </c>
      <c r="E127">
        <v>8.32</v>
      </c>
      <c r="F127"/>
      <c r="G127"/>
      <c r="H127"/>
      <c r="I127">
        <v>22.6</v>
      </c>
      <c r="AD127" s="83">
        <f>IF(E127&lt;&gt;"",10^(-2*$E127)/(10^(-2*$E127)+10^(-$E127-pKa!$B$2)+(10^(-pKa!$B$2-pKa!$C$2))),"")</f>
        <v>9.3624777152054011E-3</v>
      </c>
      <c r="AE127" s="84">
        <f>IF(E127&lt;&gt;"",10^(-$E127-pKa!$B$2)/(10^(-2*$E127)+10^(-$E127-pKa!$B$2)+10^(-pKa!$B$2-pKa!$C$2)),"")</f>
        <v>0.98037176960819539</v>
      </c>
      <c r="AF127" s="212">
        <f>IF(E127&lt;&gt;"",10^(-pKa!$B$2-pKa!$C$2)/(10^(-2*$E127)+10^(-$E127-pKa!$B$2)+10^(-pKa!$B$2-pKa!$C$2)),"")</f>
        <v>1.0265752676599182E-2</v>
      </c>
      <c r="AG127" s="152"/>
      <c r="AH127" s="163">
        <f t="shared" si="912"/>
        <v>7.2905802538970468</v>
      </c>
      <c r="AI127" s="289">
        <f>87.485923375/1000/12.0107</f>
        <v>7.2839987157284755E-3</v>
      </c>
      <c r="AJ127" s="84">
        <f>IF(AI127&lt;&gt;"",AI127*1000*'Elements and ions'!$B$7,"")</f>
        <v>87.485923374999999</v>
      </c>
      <c r="AK127" s="89">
        <f>IF($AI127&lt;&gt;"",$AH127*'Elements and ions'!$G$3,IF($E127="","","Enter DIC"))</f>
        <v>444.84816885919543</v>
      </c>
      <c r="AL127" s="88">
        <f>IF($AK127&lt;&gt;"",$AK127/'Elements and ions'!$G$3*Minerals!$B$6/2,IF($E127="","","Enter Alk(HCO3-)"))</f>
        <v>364.84578840688414</v>
      </c>
      <c r="AM127" s="199"/>
      <c r="AN127" s="101">
        <f t="shared" si="913"/>
        <v>6.8196275653592612E-5</v>
      </c>
      <c r="AO127" s="94">
        <f t="shared" si="914"/>
        <v>7.1410267107625477E-3</v>
      </c>
      <c r="AP127" s="95">
        <f t="shared" si="915"/>
        <v>7.4775729312334606E-5</v>
      </c>
      <c r="AQ127" s="199"/>
      <c r="AR127" s="199"/>
      <c r="AS127" s="83">
        <f t="shared" si="918"/>
        <v>0.20057728133409591</v>
      </c>
      <c r="AT127" s="83">
        <f>IF(AN127&lt;&gt;"",AN127/'Henrys law constants'!$B$7*1000000,"")</f>
        <v>2005.7728133409591</v>
      </c>
      <c r="AU127" s="268">
        <f>'WC samples'!K105</f>
        <v>0</v>
      </c>
      <c r="AV127" s="269">
        <f>'WC samples'!M105</f>
        <v>0</v>
      </c>
      <c r="AW127" s="269">
        <f>'WC samples'!O105</f>
        <v>0</v>
      </c>
      <c r="AX127" s="269">
        <f>'WC samples'!N105</f>
        <v>0</v>
      </c>
      <c r="AY127" s="226">
        <f>AO127*'Elements and ions'!$G$3*1000</f>
        <v>435.72288424632461</v>
      </c>
      <c r="AZ127" s="269">
        <f>'WC samples'!Q105</f>
        <v>0</v>
      </c>
      <c r="BA127" s="269">
        <f>'WC samples'!T105</f>
        <v>0</v>
      </c>
      <c r="BB127" s="270">
        <f>'WC samples'!V105</f>
        <v>0</v>
      </c>
      <c r="BC127" s="222">
        <f>IF($E127&lt;&gt;"",10^-$E127*'Elements and ions'!B138*1000,"")</f>
        <v>0</v>
      </c>
      <c r="BE127" s="6"/>
      <c r="BF127" s="6"/>
      <c r="BG127" s="270">
        <f>'WC samples'!L105</f>
        <v>0</v>
      </c>
      <c r="BH127" s="3"/>
      <c r="BJ127" s="92">
        <f>IF($AN127&lt;&gt;"",$AN127*'Elements and ions'!$G$2*1000,"")</f>
        <v>4.229858994233437</v>
      </c>
      <c r="BK127" s="229"/>
      <c r="BL127" s="230"/>
      <c r="BM127" s="101">
        <f>IF($E127&lt;&gt;"",(10^-14+$E127)*'Elements and ions'!$G$8,"")</f>
        <v>141.50106880000018</v>
      </c>
      <c r="BO127" s="102">
        <f>IF($AP127&lt;&gt;"",$AP127*'Elements and ions'!$G$4*1000,"")</f>
        <v>4.4872092627309561</v>
      </c>
      <c r="BP127" s="269">
        <f>'WC samples'!P105</f>
        <v>0</v>
      </c>
      <c r="BQ127" s="270">
        <f>'WC samples'!R105</f>
        <v>0</v>
      </c>
      <c r="BR127" s="195"/>
      <c r="BS127" s="238">
        <f>IF($AU127&lt;&gt;"",$AU127/'Elements and ions'!$B$12,"")</f>
        <v>0</v>
      </c>
      <c r="BT127" s="239">
        <f>IF($AV127&lt;&gt;"",$AV127/'Elements and ions'!$B$20,"")</f>
        <v>0</v>
      </c>
      <c r="BU127" s="239">
        <f>IF($AW127&lt;&gt;"",$AW127/'Elements and ions'!$B$21, "")</f>
        <v>0</v>
      </c>
      <c r="BV127" s="240">
        <f>IF($AX127&lt;&gt;"",$AX127/'Elements and ions'!$B$13, "")</f>
        <v>0</v>
      </c>
      <c r="BW127" s="238">
        <f>IF($AY127&lt;&gt;"",$AY127/'Elements and ions'!$G$3,"")</f>
        <v>7.1410267107625476</v>
      </c>
      <c r="BX127" s="239">
        <f>IF($AZ127&lt;&gt;"",$AZ127/'Elements and ions'!$B$18,"")</f>
        <v>0</v>
      </c>
      <c r="BY127" s="239">
        <f>IF($BA127&lt;&gt;"",$BA127/'Elements and ions'!$G$7,"")</f>
        <v>0</v>
      </c>
      <c r="BZ127" s="241">
        <f>IF($BB127&lt;&gt;"",$BB127/'Elements and ions'!$G$5,"")</f>
        <v>0</v>
      </c>
      <c r="CA127" s="91">
        <f t="shared" si="919"/>
        <v>4.7863009232263724E-6</v>
      </c>
      <c r="CB127" s="163" t="str">
        <f>IF($BD127&lt;&gt;"",$BD127/'Elements and ions'!$B$14,"")</f>
        <v/>
      </c>
      <c r="CC127" s="89" t="str">
        <f>IF($BE127&lt;&gt;"",$BE127/'Elements and ions'!$B$27, "")</f>
        <v/>
      </c>
      <c r="CD127" s="249" t="str">
        <f>IF($BF127&lt;&gt;"",$BF127/'Elements and ions'!$B$26,"")</f>
        <v/>
      </c>
      <c r="CE127" s="250">
        <f>IF($BG127&lt;&gt;"",$BG127/'Elements and ions'!$G$6,"")</f>
        <v>0</v>
      </c>
      <c r="CF127" s="91" t="str">
        <f>IF($BH127&lt;&gt;"",$BH127/'Elements and ions'!$G$15,"")</f>
        <v/>
      </c>
      <c r="CG127" s="89" t="str">
        <f>IF($BI127&lt;&gt;"",$BI127/'Elements and ions'!$G$16,"")</f>
        <v/>
      </c>
      <c r="CH127" s="90">
        <f>IF($BJ127&lt;&gt;"",$BJ127/'Elements and ions'!$G$2,"")</f>
        <v>6.8196275653592611E-2</v>
      </c>
      <c r="CI127" s="91" t="str">
        <f>IF($BK127&lt;&gt;"",$BK127/'Elements and ions'!$B$15, "")</f>
        <v/>
      </c>
      <c r="CJ127" s="88" t="str">
        <f>IF($BL127&lt;&gt;"", $BL127/'Elements and ions'!$G$17,"")</f>
        <v/>
      </c>
      <c r="CK127" s="89">
        <f t="shared" si="920"/>
        <v>2.0892961308540377E-3</v>
      </c>
      <c r="CL127" s="163" t="str">
        <f>IF($BN127&lt;&gt;"", $BN127/'Elements and ions'!$G$19,"")</f>
        <v/>
      </c>
      <c r="CM127" s="89">
        <f>IF($BO127&lt;&gt;"",$BO127/'Elements and ions'!$G$4,"")</f>
        <v>7.4775729312334616E-2</v>
      </c>
      <c r="CN127" s="89">
        <f>IF($BP127&lt;&gt;"",$BP127/'Elements and ions'!$B$10,"")</f>
        <v>0</v>
      </c>
      <c r="CO127" s="104">
        <f>IF($BQ127&lt;&gt;"",$BQ127/'Elements and ions'!$G$18,"")</f>
        <v>0</v>
      </c>
      <c r="CP127" s="242"/>
      <c r="CQ127" s="238">
        <f t="shared" si="849"/>
        <v>0</v>
      </c>
      <c r="CR127" s="239">
        <f t="shared" si="850"/>
        <v>0</v>
      </c>
      <c r="CS127" s="239">
        <f t="shared" si="851"/>
        <v>0</v>
      </c>
      <c r="CT127" s="241">
        <f t="shared" si="852"/>
        <v>0</v>
      </c>
      <c r="CU127" s="238">
        <f t="shared" si="853"/>
        <v>7.1410267107625477E-3</v>
      </c>
      <c r="CV127" s="239">
        <f t="shared" si="854"/>
        <v>0</v>
      </c>
      <c r="CW127" s="239">
        <f t="shared" si="855"/>
        <v>0</v>
      </c>
      <c r="CX127" s="241">
        <f t="shared" si="856"/>
        <v>0</v>
      </c>
      <c r="CY127" s="258">
        <f t="shared" si="924"/>
        <v>4.7863009232263728E-9</v>
      </c>
      <c r="CZ127" s="259" t="str">
        <f t="shared" si="857"/>
        <v/>
      </c>
      <c r="DA127" s="260" t="str">
        <f t="shared" si="858"/>
        <v/>
      </c>
      <c r="DB127" s="261" t="str">
        <f t="shared" si="859"/>
        <v/>
      </c>
      <c r="DC127" s="262">
        <f t="shared" si="860"/>
        <v>0</v>
      </c>
      <c r="DD127" s="263" t="str">
        <f t="shared" si="861"/>
        <v/>
      </c>
      <c r="DE127" s="259" t="str">
        <f t="shared" si="862"/>
        <v/>
      </c>
      <c r="DF127" s="260">
        <f t="shared" si="863"/>
        <v>6.8196275653592612E-5</v>
      </c>
      <c r="DG127" s="260" t="str">
        <f t="shared" si="864"/>
        <v/>
      </c>
      <c r="DH127" s="264" t="str">
        <f t="shared" si="865"/>
        <v/>
      </c>
      <c r="DI127" s="258">
        <f t="shared" si="925"/>
        <v>2.0892961308540377E-6</v>
      </c>
      <c r="DJ127" s="260" t="str">
        <f t="shared" si="866"/>
        <v/>
      </c>
      <c r="DK127" s="260">
        <f t="shared" si="867"/>
        <v>7.477572931233462E-5</v>
      </c>
      <c r="DL127" s="260">
        <f t="shared" si="868"/>
        <v>0</v>
      </c>
      <c r="DM127" s="265">
        <f t="shared" si="869"/>
        <v>0</v>
      </c>
      <c r="DN127" s="242"/>
      <c r="DO127" s="238">
        <f t="shared" si="870"/>
        <v>0</v>
      </c>
      <c r="DP127" s="239">
        <f t="shared" si="871"/>
        <v>0</v>
      </c>
      <c r="DQ127" s="239">
        <f t="shared" si="872"/>
        <v>0</v>
      </c>
      <c r="DR127" s="241">
        <f t="shared" si="873"/>
        <v>0</v>
      </c>
      <c r="DS127" s="238">
        <f t="shared" si="874"/>
        <v>-7.1410267107625476</v>
      </c>
      <c r="DT127" s="239">
        <f t="shared" si="875"/>
        <v>0</v>
      </c>
      <c r="DU127" s="239">
        <f t="shared" si="876"/>
        <v>0</v>
      </c>
      <c r="DV127" s="241">
        <f t="shared" si="877"/>
        <v>0</v>
      </c>
      <c r="DW127" s="91">
        <f t="shared" si="926"/>
        <v>4.7863009232263724E-6</v>
      </c>
      <c r="DX127" s="89">
        <f t="shared" si="878"/>
        <v>0</v>
      </c>
      <c r="DY127" s="89">
        <f t="shared" si="879"/>
        <v>0</v>
      </c>
      <c r="DZ127" s="89">
        <f t="shared" si="880"/>
        <v>0</v>
      </c>
      <c r="EA127" s="90">
        <f t="shared" si="881"/>
        <v>0</v>
      </c>
      <c r="EB127" s="91">
        <f t="shared" si="927"/>
        <v>-2.0892961308540377E-3</v>
      </c>
      <c r="EC127" s="89">
        <f t="shared" si="882"/>
        <v>0</v>
      </c>
      <c r="ED127" s="89">
        <f t="shared" si="883"/>
        <v>-0.14955145862466923</v>
      </c>
      <c r="EE127" s="89">
        <f t="shared" si="884"/>
        <v>0</v>
      </c>
      <c r="EF127" s="90">
        <f t="shared" si="885"/>
        <v>0</v>
      </c>
      <c r="EG127" s="242"/>
      <c r="EH127" s="245">
        <f t="shared" si="886"/>
        <v>4.7863009232263724E-6</v>
      </c>
      <c r="EI127" s="246">
        <f t="shared" si="887"/>
        <v>-7.292667465518071</v>
      </c>
      <c r="EJ127" s="198">
        <f t="shared" si="888"/>
        <v>-99.999868736705594</v>
      </c>
      <c r="EK127" s="198">
        <f t="shared" si="889"/>
        <v>3.5705133553812739E-3</v>
      </c>
      <c r="EL127" s="101" t="e">
        <f>IF(AND(CS127&lt;&gt;"",DK127&lt;&gt;""),LOG(CS127*DK127/Minerals!$C$6),"")</f>
        <v>#NUM!</v>
      </c>
      <c r="EM127" s="94" t="e">
        <f>IF(AND(CS127&lt;&gt;"",DK127&lt;&gt;""),LOG(CS127*DK127/Minerals!$C$5),"")</f>
        <v>#NUM!</v>
      </c>
      <c r="EN127" s="94" t="e">
        <f>IF(AND(CS127&lt;&gt;"",DL127&lt;&gt;""),LOG(CS127*DL127^2/Minerals!$C$2),"")</f>
        <v>#NUM!</v>
      </c>
      <c r="EO127" s="94" t="e">
        <f>IF(AND(CS127&lt;&gt;"",CX127&lt;&gt;""),LOG($CS127*$CX127/Minerals!$C$3),"")</f>
        <v>#NUM!</v>
      </c>
      <c r="EP127" s="95" t="e">
        <f>IF(AND(CS127&lt;&gt;"",CX127&lt;&gt;""),LOG($CS127*$CX127/Minerals!$C$4),"")</f>
        <v>#NUM!</v>
      </c>
      <c r="EQ127" s="199"/>
      <c r="ER127" s="101">
        <f t="shared" si="921"/>
        <v>0.93714697865070995</v>
      </c>
      <c r="ES127" s="94">
        <f t="shared" si="921"/>
        <v>0.93714697865070995</v>
      </c>
      <c r="ET127" s="94">
        <f t="shared" si="922"/>
        <v>0.77131333080782793</v>
      </c>
      <c r="EU127" s="94">
        <f t="shared" si="922"/>
        <v>0.77131333080782793</v>
      </c>
      <c r="EV127" s="95">
        <f t="shared" si="922"/>
        <v>0.77131333080782793</v>
      </c>
      <c r="EW127" s="101">
        <f t="shared" si="923"/>
        <v>0.93714697865070995</v>
      </c>
      <c r="EX127" s="94">
        <f t="shared" si="916"/>
        <v>0.77131333080782793</v>
      </c>
      <c r="EY127" s="94">
        <f t="shared" si="923"/>
        <v>0.93714697865070995</v>
      </c>
      <c r="EZ127" s="94">
        <f t="shared" si="923"/>
        <v>0.93714697865070995</v>
      </c>
      <c r="FA127" s="94">
        <f t="shared" si="923"/>
        <v>0.93714697865070995</v>
      </c>
      <c r="FB127" s="95">
        <f t="shared" si="917"/>
        <v>0.77131333080782793</v>
      </c>
      <c r="FC127" s="199"/>
      <c r="FD127" s="101">
        <f t="shared" si="890"/>
        <v>0</v>
      </c>
      <c r="FE127" s="94">
        <f t="shared" si="891"/>
        <v>0</v>
      </c>
      <c r="FF127" s="94">
        <f t="shared" si="892"/>
        <v>0</v>
      </c>
      <c r="FG127" s="94">
        <f t="shared" si="893"/>
        <v>0</v>
      </c>
      <c r="FH127" s="95" t="str">
        <f t="shared" si="894"/>
        <v/>
      </c>
      <c r="FI127" s="101">
        <f t="shared" si="895"/>
        <v>6.6921916064551388E-3</v>
      </c>
      <c r="FJ127" s="94">
        <f t="shared" si="896"/>
        <v>5.7675516839481348E-5</v>
      </c>
      <c r="FK127" s="94">
        <f t="shared" si="897"/>
        <v>0</v>
      </c>
      <c r="FL127" s="94">
        <f t="shared" si="898"/>
        <v>0</v>
      </c>
      <c r="FM127" s="94">
        <f t="shared" si="899"/>
        <v>0</v>
      </c>
      <c r="FN127" s="95">
        <f t="shared" si="900"/>
        <v>0</v>
      </c>
      <c r="FO127" s="199"/>
      <c r="FP127" s="101" t="e">
        <f>IF(EL127&lt;&gt;"",LOG(FF127*FJ127/Minerals!$C$6),"")</f>
        <v>#NUM!</v>
      </c>
      <c r="FQ127" s="94" t="e">
        <f>IF(EL127&lt;&gt;"",LOG(FF127*FJ127/Minerals!$C$5),"")</f>
        <v>#NUM!</v>
      </c>
      <c r="FR127" s="94" t="e">
        <f>IF(EN127&lt;&gt;"",LOG(FF127*FM127^2/Minerals!$C$2),"")</f>
        <v>#NUM!</v>
      </c>
      <c r="FS127" s="94" t="e">
        <f>IF(EO127&lt;&gt;"",LOG($FF127*$FN127/Minerals!$C$3),"")</f>
        <v>#NUM!</v>
      </c>
      <c r="FT127" s="95" t="e">
        <f>IF(EP127&lt;&gt;"",LOG($FF127*$FN127/Minerals!$C$4),"")</f>
        <v>#NUM!</v>
      </c>
      <c r="FU127" s="96"/>
      <c r="FV127" s="101" t="e">
        <f>IF(FP127&lt;&gt;"",LOG(FF127*FJ127/(EXP(-1*Minerals!$E$6/'Other Constants'!$B$2*(1/(273.15+'ppm-mgL-1'!$D127)-1/298.15)+LN(Minerals!$C$6)))),"")</f>
        <v>#NUM!</v>
      </c>
      <c r="FW127" s="94" t="e">
        <f>IF(FP127&lt;&gt;"",LOG(FF127*FJ127/(EXP(-1*Minerals!$E$5/'Other Constants'!$B$2*(1/(273.15+'ppm-mgL-1'!$D127)-1/298.15)+LN(Minerals!$C$5)))),"")</f>
        <v>#NUM!</v>
      </c>
      <c r="FX127" s="94" t="e">
        <f>IF(FR127&lt;&gt;"",LOG(FF127*FM127^2/(EXP(-1*Minerals!$E$2/'Other Constants'!$B$2*(1/(273.15+'ppm-mgL-1'!$D127)-1/298.15)+LN(Minerals!$C$2)))),"")</f>
        <v>#NUM!</v>
      </c>
      <c r="FY127" s="94" t="e">
        <f>IF(FS127&lt;&gt;"",LOG($FF127*$FN127/(EXP(-1*Minerals!$E$3/'Other Constants'!$B$2*(1/(273.15+'ppm-mgL-1'!$D127)-1/298.15)+LN(Minerals!$C$3)))),"")</f>
        <v>#NUM!</v>
      </c>
      <c r="FZ127" s="95" t="e">
        <f>IF(FT127&lt;&gt;"",LOG($FF127*$FN127/(EXP(-1*Minerals!$E$4/'Other Constants'!$B$2*(1/(273.15+'ppm-mgL-1'!$D127)-1/298.15)+LN(Minerals!$C$4)))),"")</f>
        <v>#NUM!</v>
      </c>
      <c r="GA127" s="96"/>
      <c r="GB127" s="96"/>
      <c r="GC127" s="101">
        <f>10^(-1825000*(79.755*EXP(-0.0046*($D127-20))*($D127+273.15))^-1.5*$EK127^0.5/(1+'Elements and ions'!$D$12*$EK127^0.5/(2*(79.755*EXP(-0.0046*($D127-20))*($D127+273.15))^0.5)))</f>
        <v>0.93665012611438547</v>
      </c>
      <c r="GD127" s="94">
        <f>10^(-1825000*(79.755*EXP(-0.0046*($D127-20))*($D127+273.15))^-1.5*$EK127^0.5/(1+'Elements and ions'!$D$20*$EK127^0.5/(2*(79.755*EXP(-0.0046*($D127-20))*($D127+273.15))^0.5)))</f>
        <v>0.93551770401941781</v>
      </c>
      <c r="GE127" s="94">
        <f>10^(-1825000*(79.755*EXP(-0.0046*($D127-20))*($D127+273.15))^-1.5*4*$EK127^0.5/(1+'Elements and ions'!$D$21*$EK127^0.5/(2*(79.755*EXP(-0.0046*($D127-20))*($D127+273.15))^0.5)))</f>
        <v>0.77676890733183035</v>
      </c>
      <c r="GF127" s="94">
        <f>10^(-1825000*(79.755*EXP(-0.0046*($D127-20))*($D127+273.15))^-1.5*4*$EK127^0.5/(1+'Elements and ions'!$D$13*$EK127^0.5/(2*(79.755*EXP(-0.0046*($D127-20))*($D127+273.15))^0.5)))</f>
        <v>0.78343785077093531</v>
      </c>
      <c r="GG127" s="95">
        <f>10^(-1825000*(79.755*EXP(-0.0046*($D127-20))*($D127+273.15))^-1.5*4*$EK127^0.5/(1+'Elements and ions'!$D$27*$EK127^0.5/(2*(79.755*EXP(-0.0046*($D127-20))*($D127+273.15))^0.5)))</f>
        <v>0.77676890733183035</v>
      </c>
      <c r="GH127" s="101">
        <f>10^(-1825000*(79.755*EXP(-0.0046*($D127-20))*($D127+273.15))^-1.5*$EK127^0.5/(1+'Elements and ions'!$G$3*$EK127^0.5/(2*(79.755*EXP(-0.0046*($D127-20))*($D127+273.15))^0.5)))</f>
        <v>0.93264016968262708</v>
      </c>
      <c r="GI127" s="94">
        <f>10^(-1825000*(79.755*EXP(-0.0046*($D127-20))*($D127+273.15))^-1.5*4*$EK127^0.5/(1+'Elements and ions'!$G$4*$EK127^0.5/(2*(79.755*EXP(-0.0046*($D127-20))*($D127+273.15))^0.5)))</f>
        <v>0.75654166218123498</v>
      </c>
      <c r="GJ127" s="94">
        <f>10^(-1825000*(79.755*EXP(-0.0046*($D127-20))*($D127+273.15))^-1.5*$EK127^0.5/(1+'Elements and ions'!$D$18*$EK127^0.5/(2*(79.755*EXP(-0.0046*($D127-20))*($D127+273.15))^0.5)))</f>
        <v>0.93551770401941781</v>
      </c>
      <c r="GK127" s="94">
        <f>10^(-1825000*(79.755*EXP(-0.0046*($D127-20))*($D127+273.15))^-1.5*$EK127^0.5/(1+'Elements and ions'!$I$7*$EK127^0.5/(2*(79.755*EXP(-0.0046*($D127-20))*($D127+273.15))^0.5)))</f>
        <v>0.93551770401941781</v>
      </c>
      <c r="GL127" s="94">
        <f>10^(-1825000*(79.755*EXP(-0.0046*($D127-20))*($D127+273.15))^-1.5*$EK127^0.5/(1+'Elements and ions'!$D$10*$EK127^0.5/(2*(79.755*EXP(-0.0046*($D127-20))*($D127+273.15))^0.5)))</f>
        <v>0.93608892905501362</v>
      </c>
      <c r="GM127" s="95">
        <f>10^(-1825000*(79.755*EXP(-0.0046*($D127-20))*($D127+273.15))^-1.5*4*$EK127^0.5/(1+'Elements and ions'!$I$5*$EK127^0.5/(2*(79.755*EXP(-0.0046*($D127-20))*($D127+273.15))^0.5)))</f>
        <v>0.76967890490405322</v>
      </c>
      <c r="GN127" s="96"/>
      <c r="GO127" s="101">
        <f t="shared" si="901"/>
        <v>0</v>
      </c>
      <c r="GP127" s="94">
        <f t="shared" si="902"/>
        <v>0</v>
      </c>
      <c r="GQ127" s="94">
        <f t="shared" si="903"/>
        <v>0</v>
      </c>
      <c r="GR127" s="94">
        <f t="shared" si="904"/>
        <v>0</v>
      </c>
      <c r="GS127" s="95" t="str">
        <f t="shared" si="905"/>
        <v/>
      </c>
      <c r="GT127" s="101">
        <f t="shared" si="906"/>
        <v>6.660008363233755E-3</v>
      </c>
      <c r="GU127" s="94">
        <f t="shared" si="907"/>
        <v>5.6570954544767727E-5</v>
      </c>
      <c r="GV127" s="94">
        <f t="shared" si="908"/>
        <v>0</v>
      </c>
      <c r="GW127" s="94">
        <f t="shared" si="909"/>
        <v>0</v>
      </c>
      <c r="GX127" s="94">
        <f t="shared" si="910"/>
        <v>0</v>
      </c>
      <c r="GY127" s="102">
        <f t="shared" si="911"/>
        <v>0</v>
      </c>
      <c r="GZ127" s="199"/>
      <c r="HA127" s="92" t="e">
        <f>IF(AND(GQ127&lt;&gt;"",GU127&lt;&gt;""),LOG(GQ127*GU127/Minerals!$C$6),"")</f>
        <v>#NUM!</v>
      </c>
      <c r="HB127" s="94" t="e">
        <f>IF(AND(GQ127&lt;&gt;"",GU127&lt;&gt;""),LOG(GQ127*GU127/Minerals!$C$5),"")</f>
        <v>#NUM!</v>
      </c>
      <c r="HC127" s="94" t="e">
        <f>IF(AND(GQ127&lt;&gt;"",GX127&lt;&gt;""),LOG(GQ127*GX127^2/Minerals!$C$2),"")</f>
        <v>#NUM!</v>
      </c>
      <c r="HD127" s="94" t="e">
        <f>IF(AND(GQ127&lt;&gt;"",GY127&lt;&gt;""),LOG($GQ127*$GY127/Minerals!$C$3),"")</f>
        <v>#NUM!</v>
      </c>
      <c r="HE127" s="102" t="e">
        <f>IF(AND(GQ127&lt;&gt;"",GY127&lt;&gt;""),LOG($GQ127*$GY127/Minerals!$C$3),"")</f>
        <v>#NUM!</v>
      </c>
      <c r="HF127" s="199"/>
      <c r="HG127" s="92" t="e">
        <f>IF(HA127&lt;&gt;"",LOG(GQ127*GU127/(EXP(-1*Minerals!$E$6/'Other Constants'!$B$2*(1/(273.15+'ppm-mgL-1'!$D127)-1/298.15)+LN(Minerals!$C$6)))),"")</f>
        <v>#NUM!</v>
      </c>
      <c r="HH127" s="94" t="e">
        <f>IF(HA127&lt;&gt;"",LOG(GQ127*GU127/(EXP(-1*Minerals!$E$5/'Other Constants'!$B$2*(1/(273.15+'ppm-mgL-1'!$D127)-1/298.15)+LN(Minerals!$C$5)))),"")</f>
        <v>#NUM!</v>
      </c>
      <c r="HI127" s="94" t="e">
        <f>IF(HC127&lt;&gt;"",LOG(GQ127*GX127^2/(EXP(-1*Minerals!$E$2/'Other Constants'!$B$2*(1/(273.15+'ppm-mgL-1'!$D127)-1/298.15)+LN(Minerals!$C$2)))),"")</f>
        <v>#NUM!</v>
      </c>
      <c r="HJ127" s="94" t="e">
        <f>IF(HD127&lt;&gt;"",LOG($FF127*$FN127/(EXP(-1*Minerals!$E$3/'Other Constants'!$B$2*(1/(273.15+'ppm-mgL-1'!$D127)-1/298.15)+LN(Minerals!$C$3)))),"")</f>
        <v>#NUM!</v>
      </c>
      <c r="HK127" s="95" t="e">
        <f>IF(HE127&lt;&gt;"",LOG($FF127*$FN127/(EXP(-1*Minerals!$E$4/'Other Constants'!$B$2*(1/(273.15+'ppm-mgL-1'!$D127)-1/298.15)+LN(Minerals!$C$4)))),"")</f>
        <v>#NUM!</v>
      </c>
    </row>
    <row r="128" spans="1:221" x14ac:dyDescent="0.25">
      <c r="A128" t="s">
        <v>341</v>
      </c>
      <c r="C128" s="274">
        <v>41471</v>
      </c>
      <c r="D128">
        <v>23.8</v>
      </c>
      <c r="E128">
        <v>8.26</v>
      </c>
      <c r="F128"/>
      <c r="G128"/>
      <c r="H128"/>
      <c r="I128">
        <v>23.8</v>
      </c>
      <c r="AD128" s="83">
        <f>IF(E128&lt;&gt;"",10^(-2*$E128)/(10^(-2*$E128)+10^(-$E128-pKa!$B$2)+(10^(-pKa!$B$2-pKa!$C$2))),"")</f>
        <v>1.074889165118019E-2</v>
      </c>
      <c r="AE128" s="84">
        <f>IF(E128&lt;&gt;"",10^(-$E128-pKa!$B$2)/(10^(-2*$E128)+10^(-$E128-pKa!$B$2)+10^(-pKa!$B$2-pKa!$C$2)),"")</f>
        <v>0.98031056969386021</v>
      </c>
      <c r="AF128" s="212">
        <f>IF(E128&lt;&gt;"",10^(-pKa!$B$2-pKa!$C$2)/(10^(-2*$E128)+10^(-$E128-pKa!$B$2)+10^(-pKa!$B$2-pKa!$C$2)),"")</f>
        <v>8.940538654959659E-3</v>
      </c>
      <c r="AG128" s="152"/>
      <c r="AH128" s="163">
        <f t="shared" si="912"/>
        <v>9.3747585868297474</v>
      </c>
      <c r="AI128" s="289">
        <f>112.801375875/1000/12.0107</f>
        <v>9.3917403544339622E-3</v>
      </c>
      <c r="AJ128" s="84">
        <f>IF(AI128&lt;&gt;"",AI128*1000*'Elements and ions'!$B$7,"")</f>
        <v>112.80137587499998</v>
      </c>
      <c r="AK128" s="89">
        <f>IF($AI128&lt;&gt;"",$AH128*'Elements and ions'!$G$3,IF($E128="","","Enter DIC"))</f>
        <v>572.01814473121681</v>
      </c>
      <c r="AL128" s="88">
        <f>IF($AK128&lt;&gt;"",$AK128/'Elements and ions'!$G$3*Minerals!$B$6/2,IF($E128="","","Enter Alk(HCO3-)"))</f>
        <v>469.1452626020851</v>
      </c>
      <c r="AM128" s="199"/>
      <c r="AN128" s="101">
        <f t="shared" si="913"/>
        <v>1.0095079948582729E-4</v>
      </c>
      <c r="AO128" s="94">
        <f t="shared" si="914"/>
        <v>9.2068223372719742E-3</v>
      </c>
      <c r="AP128" s="95">
        <f t="shared" si="915"/>
        <v>8.3967217676161361E-5</v>
      </c>
      <c r="AQ128" s="199"/>
      <c r="AR128" s="199"/>
      <c r="AS128" s="83">
        <f t="shared" si="918"/>
        <v>0.29691411613478613</v>
      </c>
      <c r="AT128" s="83">
        <f>IF(AN128&lt;&gt;"",AN128/'Henrys law constants'!$B$7*1000000,"")</f>
        <v>2969.1411613478613</v>
      </c>
      <c r="AU128" s="268">
        <f>'WC samples'!K106</f>
        <v>0</v>
      </c>
      <c r="AV128" s="269">
        <f>'WC samples'!M106</f>
        <v>0</v>
      </c>
      <c r="AW128" s="269">
        <f>'WC samples'!O106</f>
        <v>0</v>
      </c>
      <c r="AX128" s="269">
        <f>'WC samples'!N106</f>
        <v>0</v>
      </c>
      <c r="AY128" s="226">
        <f>AO128*'Elements and ions'!$G$3*1000</f>
        <v>561.77120546175013</v>
      </c>
      <c r="AZ128" s="269">
        <f>'WC samples'!Q106</f>
        <v>0</v>
      </c>
      <c r="BA128" s="269">
        <f>'WC samples'!T106</f>
        <v>0</v>
      </c>
      <c r="BB128" s="270">
        <f>'WC samples'!V106</f>
        <v>0</v>
      </c>
      <c r="BC128" s="222">
        <f>IF($E128&lt;&gt;"",10^-$E128*'Elements and ions'!B139*1000,"")</f>
        <v>0</v>
      </c>
      <c r="BE128" s="6"/>
      <c r="BF128" s="6"/>
      <c r="BG128" s="270">
        <f>'WC samples'!L106</f>
        <v>0</v>
      </c>
      <c r="BH128" s="3"/>
      <c r="BJ128" s="92">
        <f>IF($AN128&lt;&gt;"",$AN128*'Elements and ions'!$G$2*1000,"")</f>
        <v>6.2614511289325501</v>
      </c>
      <c r="BK128" s="229"/>
      <c r="BL128" s="230"/>
      <c r="BM128" s="101">
        <f>IF($E128&lt;&gt;"",(10^-14+$E128)*'Elements and ions'!$G$8,"")</f>
        <v>140.48062840000017</v>
      </c>
      <c r="BO128" s="102">
        <f>IF($AP128&lt;&gt;"",$AP128*'Elements and ions'!$G$4*1000,"")</f>
        <v>5.0387803688069992</v>
      </c>
      <c r="BP128" s="269">
        <f>'WC samples'!P106</f>
        <v>0</v>
      </c>
      <c r="BQ128" s="270">
        <f>'WC samples'!R106</f>
        <v>0</v>
      </c>
      <c r="BR128" s="195"/>
      <c r="BS128" s="238">
        <f>IF($AU128&lt;&gt;"",$AU128/'Elements and ions'!$B$12,"")</f>
        <v>0</v>
      </c>
      <c r="BT128" s="239">
        <f>IF($AV128&lt;&gt;"",$AV128/'Elements and ions'!$B$20,"")</f>
        <v>0</v>
      </c>
      <c r="BU128" s="239">
        <f>IF($AW128&lt;&gt;"",$AW128/'Elements and ions'!$B$21, "")</f>
        <v>0</v>
      </c>
      <c r="BV128" s="240">
        <f>IF($AX128&lt;&gt;"",$AX128/'Elements and ions'!$B$13, "")</f>
        <v>0</v>
      </c>
      <c r="BW128" s="238">
        <f>IF($AY128&lt;&gt;"",$AY128/'Elements and ions'!$G$3,"")</f>
        <v>9.2068223372719764</v>
      </c>
      <c r="BX128" s="239">
        <f>IF($AZ128&lt;&gt;"",$AZ128/'Elements and ions'!$B$18,"")</f>
        <v>0</v>
      </c>
      <c r="BY128" s="239">
        <f>IF($BA128&lt;&gt;"",$BA128/'Elements and ions'!$G$7,"")</f>
        <v>0</v>
      </c>
      <c r="BZ128" s="241">
        <f>IF($BB128&lt;&gt;"",$BB128/'Elements and ions'!$G$5,"")</f>
        <v>0</v>
      </c>
      <c r="CA128" s="91">
        <f t="shared" si="919"/>
        <v>5.4954087385762298E-6</v>
      </c>
      <c r="CB128" s="163" t="str">
        <f>IF($BD128&lt;&gt;"",$BD128/'Elements and ions'!$B$14,"")</f>
        <v/>
      </c>
      <c r="CC128" s="89" t="str">
        <f>IF($BE128&lt;&gt;"",$BE128/'Elements and ions'!$B$27, "")</f>
        <v/>
      </c>
      <c r="CD128" s="249" t="str">
        <f>IF($BF128&lt;&gt;"",$BF128/'Elements and ions'!$B$26,"")</f>
        <v/>
      </c>
      <c r="CE128" s="250">
        <f>IF($BG128&lt;&gt;"",$BG128/'Elements and ions'!$G$6,"")</f>
        <v>0</v>
      </c>
      <c r="CF128" s="91" t="str">
        <f>IF($BH128&lt;&gt;"",$BH128/'Elements and ions'!$G$15,"")</f>
        <v/>
      </c>
      <c r="CG128" s="89" t="str">
        <f>IF($BI128&lt;&gt;"",$BI128/'Elements and ions'!$G$16,"")</f>
        <v/>
      </c>
      <c r="CH128" s="90">
        <f>IF($BJ128&lt;&gt;"",$BJ128/'Elements and ions'!$G$2,"")</f>
        <v>0.10095079948582729</v>
      </c>
      <c r="CI128" s="91" t="str">
        <f>IF($BK128&lt;&gt;"",$BK128/'Elements and ions'!$B$15, "")</f>
        <v/>
      </c>
      <c r="CJ128" s="88" t="str">
        <f>IF($BL128&lt;&gt;"", $BL128/'Elements and ions'!$G$17,"")</f>
        <v/>
      </c>
      <c r="CK128" s="89">
        <f t="shared" si="920"/>
        <v>1.8197008586099798E-3</v>
      </c>
      <c r="CL128" s="163" t="str">
        <f>IF($BN128&lt;&gt;"", $BN128/'Elements and ions'!$G$19,"")</f>
        <v/>
      </c>
      <c r="CM128" s="89">
        <f>IF($BO128&lt;&gt;"",$BO128/'Elements and ions'!$G$4,"")</f>
        <v>8.396721767616136E-2</v>
      </c>
      <c r="CN128" s="89">
        <f>IF($BP128&lt;&gt;"",$BP128/'Elements and ions'!$B$10,"")</f>
        <v>0</v>
      </c>
      <c r="CO128" s="104">
        <f>IF($BQ128&lt;&gt;"",$BQ128/'Elements and ions'!$G$18,"")</f>
        <v>0</v>
      </c>
      <c r="CP128" s="242"/>
      <c r="CQ128" s="238">
        <f t="shared" si="849"/>
        <v>0</v>
      </c>
      <c r="CR128" s="239">
        <f t="shared" si="850"/>
        <v>0</v>
      </c>
      <c r="CS128" s="239">
        <f t="shared" si="851"/>
        <v>0</v>
      </c>
      <c r="CT128" s="241">
        <f t="shared" si="852"/>
        <v>0</v>
      </c>
      <c r="CU128" s="238">
        <f t="shared" si="853"/>
        <v>9.2068223372719759E-3</v>
      </c>
      <c r="CV128" s="239">
        <f t="shared" si="854"/>
        <v>0</v>
      </c>
      <c r="CW128" s="239">
        <f t="shared" si="855"/>
        <v>0</v>
      </c>
      <c r="CX128" s="241">
        <f t="shared" si="856"/>
        <v>0</v>
      </c>
      <c r="CY128" s="258">
        <f t="shared" si="924"/>
        <v>5.4954087385762298E-9</v>
      </c>
      <c r="CZ128" s="259" t="str">
        <f t="shared" si="857"/>
        <v/>
      </c>
      <c r="DA128" s="260" t="str">
        <f t="shared" si="858"/>
        <v/>
      </c>
      <c r="DB128" s="261" t="str">
        <f t="shared" si="859"/>
        <v/>
      </c>
      <c r="DC128" s="262">
        <f t="shared" si="860"/>
        <v>0</v>
      </c>
      <c r="DD128" s="263" t="str">
        <f t="shared" si="861"/>
        <v/>
      </c>
      <c r="DE128" s="259" t="str">
        <f t="shared" si="862"/>
        <v/>
      </c>
      <c r="DF128" s="260">
        <f t="shared" si="863"/>
        <v>1.0095079948582729E-4</v>
      </c>
      <c r="DG128" s="260" t="str">
        <f t="shared" si="864"/>
        <v/>
      </c>
      <c r="DH128" s="264" t="str">
        <f t="shared" si="865"/>
        <v/>
      </c>
      <c r="DI128" s="258">
        <f t="shared" si="925"/>
        <v>1.8197008586099798E-6</v>
      </c>
      <c r="DJ128" s="260" t="str">
        <f t="shared" si="866"/>
        <v/>
      </c>
      <c r="DK128" s="260">
        <f t="shared" si="867"/>
        <v>8.3967217676161361E-5</v>
      </c>
      <c r="DL128" s="260">
        <f t="shared" si="868"/>
        <v>0</v>
      </c>
      <c r="DM128" s="265">
        <f t="shared" si="869"/>
        <v>0</v>
      </c>
      <c r="DN128" s="242"/>
      <c r="DO128" s="238">
        <f t="shared" si="870"/>
        <v>0</v>
      </c>
      <c r="DP128" s="239">
        <f t="shared" si="871"/>
        <v>0</v>
      </c>
      <c r="DQ128" s="239">
        <f t="shared" si="872"/>
        <v>0</v>
      </c>
      <c r="DR128" s="241">
        <f t="shared" si="873"/>
        <v>0</v>
      </c>
      <c r="DS128" s="238">
        <f t="shared" si="874"/>
        <v>-9.2068223372719764</v>
      </c>
      <c r="DT128" s="239">
        <f t="shared" si="875"/>
        <v>0</v>
      </c>
      <c r="DU128" s="239">
        <f t="shared" si="876"/>
        <v>0</v>
      </c>
      <c r="DV128" s="241">
        <f t="shared" si="877"/>
        <v>0</v>
      </c>
      <c r="DW128" s="91">
        <f t="shared" si="926"/>
        <v>5.4954087385762298E-6</v>
      </c>
      <c r="DX128" s="89">
        <f t="shared" si="878"/>
        <v>0</v>
      </c>
      <c r="DY128" s="89">
        <f t="shared" si="879"/>
        <v>0</v>
      </c>
      <c r="DZ128" s="89">
        <f t="shared" si="880"/>
        <v>0</v>
      </c>
      <c r="EA128" s="90">
        <f t="shared" si="881"/>
        <v>0</v>
      </c>
      <c r="EB128" s="91">
        <f t="shared" si="927"/>
        <v>-1.8197008586099798E-3</v>
      </c>
      <c r="EC128" s="89">
        <f t="shared" si="882"/>
        <v>0</v>
      </c>
      <c r="ED128" s="89">
        <f t="shared" si="883"/>
        <v>-0.16793443535232272</v>
      </c>
      <c r="EE128" s="89">
        <f t="shared" si="884"/>
        <v>0</v>
      </c>
      <c r="EF128" s="90">
        <f t="shared" si="885"/>
        <v>0</v>
      </c>
      <c r="EG128" s="242"/>
      <c r="EH128" s="245">
        <f t="shared" si="886"/>
        <v>5.4954087385762298E-6</v>
      </c>
      <c r="EI128" s="246">
        <f t="shared" si="887"/>
        <v>-9.376576473482908</v>
      </c>
      <c r="EJ128" s="198">
        <f t="shared" si="888"/>
        <v>-99.999882784392952</v>
      </c>
      <c r="EK128" s="198">
        <f t="shared" si="889"/>
        <v>4.6034111686359879E-3</v>
      </c>
      <c r="EL128" s="101" t="e">
        <f>IF(AND(CS128&lt;&gt;"",DK128&lt;&gt;""),LOG(CS128*DK128/Minerals!$C$6),"")</f>
        <v>#NUM!</v>
      </c>
      <c r="EM128" s="94" t="e">
        <f>IF(AND(CS128&lt;&gt;"",DK128&lt;&gt;""),LOG(CS128*DK128/Minerals!$C$5),"")</f>
        <v>#NUM!</v>
      </c>
      <c r="EN128" s="94" t="e">
        <f>IF(AND(CS128&lt;&gt;"",DL128&lt;&gt;""),LOG(CS128*DL128^2/Minerals!$C$2),"")</f>
        <v>#NUM!</v>
      </c>
      <c r="EO128" s="94" t="e">
        <f>IF(AND(CS128&lt;&gt;"",CX128&lt;&gt;""),LOG($CS128*$CX128/Minerals!$C$3),"")</f>
        <v>#NUM!</v>
      </c>
      <c r="EP128" s="95" t="e">
        <f>IF(AND(CS128&lt;&gt;"",CX128&lt;&gt;""),LOG($CS128*$CX128/Minerals!$C$4),"")</f>
        <v>#NUM!</v>
      </c>
      <c r="EQ128" s="199"/>
      <c r="ER128" s="101">
        <f t="shared" si="921"/>
        <v>0.92946114557064297</v>
      </c>
      <c r="ES128" s="94">
        <f t="shared" si="921"/>
        <v>0.92946114557064297</v>
      </c>
      <c r="ET128" s="94">
        <f t="shared" si="922"/>
        <v>0.74631979090454115</v>
      </c>
      <c r="EU128" s="94">
        <f t="shared" si="922"/>
        <v>0.74631979090454115</v>
      </c>
      <c r="EV128" s="95">
        <f t="shared" si="922"/>
        <v>0.74631979090454115</v>
      </c>
      <c r="EW128" s="101">
        <f t="shared" si="923"/>
        <v>0.92946114557064297</v>
      </c>
      <c r="EX128" s="94">
        <f t="shared" si="916"/>
        <v>0.74631979090454115</v>
      </c>
      <c r="EY128" s="94">
        <f t="shared" si="923"/>
        <v>0.92946114557064297</v>
      </c>
      <c r="EZ128" s="94">
        <f t="shared" si="923"/>
        <v>0.92946114557064297</v>
      </c>
      <c r="FA128" s="94">
        <f t="shared" si="923"/>
        <v>0.92946114557064297</v>
      </c>
      <c r="FB128" s="95">
        <f t="shared" si="917"/>
        <v>0.74631979090454115</v>
      </c>
      <c r="FC128" s="199"/>
      <c r="FD128" s="101">
        <f t="shared" si="890"/>
        <v>0</v>
      </c>
      <c r="FE128" s="94">
        <f t="shared" si="891"/>
        <v>0</v>
      </c>
      <c r="FF128" s="94">
        <f t="shared" si="892"/>
        <v>0</v>
      </c>
      <c r="FG128" s="94">
        <f t="shared" si="893"/>
        <v>0</v>
      </c>
      <c r="FH128" s="95" t="str">
        <f t="shared" si="894"/>
        <v/>
      </c>
      <c r="FI128" s="101">
        <f t="shared" si="895"/>
        <v>8.5573836366661955E-3</v>
      </c>
      <c r="FJ128" s="94">
        <f t="shared" si="896"/>
        <v>6.2666396338908835E-5</v>
      </c>
      <c r="FK128" s="94">
        <f t="shared" si="897"/>
        <v>0</v>
      </c>
      <c r="FL128" s="94">
        <f t="shared" si="898"/>
        <v>0</v>
      </c>
      <c r="FM128" s="94">
        <f t="shared" si="899"/>
        <v>0</v>
      </c>
      <c r="FN128" s="95">
        <f t="shared" si="900"/>
        <v>0</v>
      </c>
      <c r="FO128" s="199"/>
      <c r="FP128" s="101" t="e">
        <f>IF(EL128&lt;&gt;"",LOG(FF128*FJ128/Minerals!$C$6),"")</f>
        <v>#NUM!</v>
      </c>
      <c r="FQ128" s="94" t="e">
        <f>IF(EL128&lt;&gt;"",LOG(FF128*FJ128/Minerals!$C$5),"")</f>
        <v>#NUM!</v>
      </c>
      <c r="FR128" s="94" t="e">
        <f>IF(EN128&lt;&gt;"",LOG(FF128*FM128^2/Minerals!$C$2),"")</f>
        <v>#NUM!</v>
      </c>
      <c r="FS128" s="94" t="e">
        <f>IF(EO128&lt;&gt;"",LOG($FF128*$FN128/Minerals!$C$3),"")</f>
        <v>#NUM!</v>
      </c>
      <c r="FT128" s="95" t="e">
        <f>IF(EP128&lt;&gt;"",LOG($FF128*$FN128/Minerals!$C$4),"")</f>
        <v>#NUM!</v>
      </c>
      <c r="FU128" s="96"/>
      <c r="FV128" s="101" t="e">
        <f>IF(FP128&lt;&gt;"",LOG(FF128*FJ128/(EXP(-1*Minerals!$E$6/'Other Constants'!$B$2*(1/(273.15+'ppm-mgL-1'!$D128)-1/298.15)+LN(Minerals!$C$6)))),"")</f>
        <v>#NUM!</v>
      </c>
      <c r="FW128" s="94" t="e">
        <f>IF(FP128&lt;&gt;"",LOG(FF128*FJ128/(EXP(-1*Minerals!$E$5/'Other Constants'!$B$2*(1/(273.15+'ppm-mgL-1'!$D128)-1/298.15)+LN(Minerals!$C$5)))),"")</f>
        <v>#NUM!</v>
      </c>
      <c r="FX128" s="94" t="e">
        <f>IF(FR128&lt;&gt;"",LOG(FF128*FM128^2/(EXP(-1*Minerals!$E$2/'Other Constants'!$B$2*(1/(273.15+'ppm-mgL-1'!$D128)-1/298.15)+LN(Minerals!$C$2)))),"")</f>
        <v>#NUM!</v>
      </c>
      <c r="FY128" s="94" t="e">
        <f>IF(FS128&lt;&gt;"",LOG($FF128*$FN128/(EXP(-1*Minerals!$E$3/'Other Constants'!$B$2*(1/(273.15+'ppm-mgL-1'!$D128)-1/298.15)+LN(Minerals!$C$3)))),"")</f>
        <v>#NUM!</v>
      </c>
      <c r="FZ128" s="95" t="e">
        <f>IF(FT128&lt;&gt;"",LOG($FF128*$FN128/(EXP(-1*Minerals!$E$4/'Other Constants'!$B$2*(1/(273.15+'ppm-mgL-1'!$D128)-1/298.15)+LN(Minerals!$C$4)))),"")</f>
        <v>#NUM!</v>
      </c>
      <c r="GA128" s="96"/>
      <c r="GB128" s="96"/>
      <c r="GC128" s="101">
        <f>10^(-1825000*(79.755*EXP(-0.0046*($D128-20))*($D128+273.15))^-1.5*$EK128^0.5/(1+'Elements and ions'!$D$12*$EK128^0.5/(2*(79.755*EXP(-0.0046*($D128-20))*($D128+273.15))^0.5)))</f>
        <v>0.92890801032044756</v>
      </c>
      <c r="GD128" s="94">
        <f>10^(-1825000*(79.755*EXP(-0.0046*($D128-20))*($D128+273.15))^-1.5*$EK128^0.5/(1+'Elements and ions'!$D$20*$EK128^0.5/(2*(79.755*EXP(-0.0046*($D128-20))*($D128+273.15))^0.5)))</f>
        <v>0.92748104801721898</v>
      </c>
      <c r="GE128" s="94">
        <f>10^(-1825000*(79.755*EXP(-0.0046*($D128-20))*($D128+273.15))^-1.5*4*$EK128^0.5/(1+'Elements and ions'!$D$21*$EK128^0.5/(2*(79.755*EXP(-0.0046*($D128-20))*($D128+273.15))^0.5)))</f>
        <v>0.75321291549899316</v>
      </c>
      <c r="GF128" s="94">
        <f>10^(-1825000*(79.755*EXP(-0.0046*($D128-20))*($D128+273.15))^-1.5*4*$EK128^0.5/(1+'Elements and ions'!$D$13*$EK128^0.5/(2*(79.755*EXP(-0.0046*($D128-20))*($D128+273.15))^0.5)))</f>
        <v>0.76131620379874165</v>
      </c>
      <c r="GG128" s="95">
        <f>10^(-1825000*(79.755*EXP(-0.0046*($D128-20))*($D128+273.15))^-1.5*4*$EK128^0.5/(1+'Elements and ions'!$D$27*$EK128^0.5/(2*(79.755*EXP(-0.0046*($D128-20))*($D128+273.15))^0.5)))</f>
        <v>0.75321291549899316</v>
      </c>
      <c r="GH128" s="101">
        <f>10^(-1825000*(79.755*EXP(-0.0046*($D128-20))*($D128+273.15))^-1.5*$EK128^0.5/(1+'Elements and ions'!$G$3*$EK128^0.5/(2*(79.755*EXP(-0.0046*($D128-20))*($D128+273.15))^0.5)))</f>
        <v>0.92382725629398443</v>
      </c>
      <c r="GI128" s="94">
        <f>10^(-1825000*(79.755*EXP(-0.0046*($D128-20))*($D128+273.15))^-1.5*4*$EK128^0.5/(1+'Elements and ions'!$G$4*$EK128^0.5/(2*(79.755*EXP(-0.0046*($D128-20))*($D128+273.15))^0.5)))</f>
        <v>0.72833745088583202</v>
      </c>
      <c r="GJ128" s="94">
        <f>10^(-1825000*(79.755*EXP(-0.0046*($D128-20))*($D128+273.15))^-1.5*$EK128^0.5/(1+'Elements and ions'!$D$18*$EK128^0.5/(2*(79.755*EXP(-0.0046*($D128-20))*($D128+273.15))^0.5)))</f>
        <v>0.92748104801721898</v>
      </c>
      <c r="GK128" s="94">
        <f>10^(-1825000*(79.755*EXP(-0.0046*($D128-20))*($D128+273.15))^-1.5*$EK128^0.5/(1+'Elements and ions'!$I$7*$EK128^0.5/(2*(79.755*EXP(-0.0046*($D128-20))*($D128+273.15))^0.5)))</f>
        <v>0.92748104801721898</v>
      </c>
      <c r="GL128" s="94">
        <f>10^(-1825000*(79.755*EXP(-0.0046*($D128-20))*($D128+273.15))^-1.5*$EK128^0.5/(1+'Elements and ions'!$D$10*$EK128^0.5/(2*(79.755*EXP(-0.0046*($D128-20))*($D128+273.15))^0.5)))</f>
        <v>0.92820161513157728</v>
      </c>
      <c r="GM128" s="95">
        <f>10^(-1825000*(79.755*EXP(-0.0046*($D128-20))*($D128+273.15))^-1.5*4*$EK128^0.5/(1+'Elements and ions'!$I$5*$EK128^0.5/(2*(79.755*EXP(-0.0046*($D128-20))*($D128+273.15))^0.5)))</f>
        <v>0.74454479504249516</v>
      </c>
      <c r="GN128" s="96"/>
      <c r="GO128" s="101">
        <f t="shared" si="901"/>
        <v>0</v>
      </c>
      <c r="GP128" s="94">
        <f t="shared" si="902"/>
        <v>0</v>
      </c>
      <c r="GQ128" s="94">
        <f t="shared" si="903"/>
        <v>0</v>
      </c>
      <c r="GR128" s="94">
        <f t="shared" si="904"/>
        <v>0</v>
      </c>
      <c r="GS128" s="95" t="str">
        <f t="shared" si="905"/>
        <v/>
      </c>
      <c r="GT128" s="101">
        <f t="shared" si="906"/>
        <v>8.5055134190281378E-3</v>
      </c>
      <c r="GU128" s="94">
        <f t="shared" si="907"/>
        <v>6.1156469280231138E-5</v>
      </c>
      <c r="GV128" s="94">
        <f t="shared" si="908"/>
        <v>0</v>
      </c>
      <c r="GW128" s="94">
        <f t="shared" si="909"/>
        <v>0</v>
      </c>
      <c r="GX128" s="94">
        <f t="shared" si="910"/>
        <v>0</v>
      </c>
      <c r="GY128" s="102">
        <f t="shared" si="911"/>
        <v>0</v>
      </c>
      <c r="GZ128" s="199"/>
      <c r="HA128" s="92" t="e">
        <f>IF(AND(GQ128&lt;&gt;"",GU128&lt;&gt;""),LOG(GQ128*GU128/Minerals!$C$6),"")</f>
        <v>#NUM!</v>
      </c>
      <c r="HB128" s="94" t="e">
        <f>IF(AND(GQ128&lt;&gt;"",GU128&lt;&gt;""),LOG(GQ128*GU128/Minerals!$C$5),"")</f>
        <v>#NUM!</v>
      </c>
      <c r="HC128" s="94" t="e">
        <f>IF(AND(GQ128&lt;&gt;"",GX128&lt;&gt;""),LOG(GQ128*GX128^2/Minerals!$C$2),"")</f>
        <v>#NUM!</v>
      </c>
      <c r="HD128" s="94" t="e">
        <f>IF(AND(GQ128&lt;&gt;"",GY128&lt;&gt;""),LOG($GQ128*$GY128/Minerals!$C$3),"")</f>
        <v>#NUM!</v>
      </c>
      <c r="HE128" s="102" t="e">
        <f>IF(AND(GQ128&lt;&gt;"",GY128&lt;&gt;""),LOG($GQ128*$GY128/Minerals!$C$3),"")</f>
        <v>#NUM!</v>
      </c>
      <c r="HF128" s="199"/>
      <c r="HG128" s="92" t="e">
        <f>IF(HA128&lt;&gt;"",LOG(GQ128*GU128/(EXP(-1*Minerals!$E$6/'Other Constants'!$B$2*(1/(273.15+'ppm-mgL-1'!$D128)-1/298.15)+LN(Minerals!$C$6)))),"")</f>
        <v>#NUM!</v>
      </c>
      <c r="HH128" s="94" t="e">
        <f>IF(HA128&lt;&gt;"",LOG(GQ128*GU128/(EXP(-1*Minerals!$E$5/'Other Constants'!$B$2*(1/(273.15+'ppm-mgL-1'!$D128)-1/298.15)+LN(Minerals!$C$5)))),"")</f>
        <v>#NUM!</v>
      </c>
      <c r="HI128" s="94" t="e">
        <f>IF(HC128&lt;&gt;"",LOG(GQ128*GX128^2/(EXP(-1*Minerals!$E$2/'Other Constants'!$B$2*(1/(273.15+'ppm-mgL-1'!$D128)-1/298.15)+LN(Minerals!$C$2)))),"")</f>
        <v>#NUM!</v>
      </c>
      <c r="HJ128" s="94" t="e">
        <f>IF(HD128&lt;&gt;"",LOG($FF128*$FN128/(EXP(-1*Minerals!$E$3/'Other Constants'!$B$2*(1/(273.15+'ppm-mgL-1'!$D128)-1/298.15)+LN(Minerals!$C$3)))),"")</f>
        <v>#NUM!</v>
      </c>
      <c r="HK128" s="95" t="e">
        <f>IF(HE128&lt;&gt;"",LOG($FF128*$FN128/(EXP(-1*Minerals!$E$4/'Other Constants'!$B$2*(1/(273.15+'ppm-mgL-1'!$D128)-1/298.15)+LN(Minerals!$C$4)))),"")</f>
        <v>#NUM!</v>
      </c>
    </row>
    <row r="129" spans="1:221" x14ac:dyDescent="0.25">
      <c r="A129" t="s">
        <v>341</v>
      </c>
      <c r="C129" s="274">
        <v>41530</v>
      </c>
      <c r="D129">
        <v>22.9</v>
      </c>
      <c r="E129">
        <v>8.27</v>
      </c>
      <c r="F129"/>
      <c r="G129"/>
      <c r="H129"/>
      <c r="I129">
        <v>22.9</v>
      </c>
      <c r="AD129" s="83">
        <f>IF(E129&lt;&gt;"",10^(-2*$E129)/(10^(-2*$E129)+10^(-$E129-pKa!$B$2)+(10^(-pKa!$B$2-pKa!$C$2))),"")</f>
        <v>1.0504599611936401E-2</v>
      </c>
      <c r="AE129" s="84">
        <f>IF(E129&lt;&gt;"",10^(-$E129-pKa!$B$2)/(10^(-2*$E129)+10^(-$E129-pKa!$B$2)+10^(-pKa!$B$2-pKa!$C$2)),"")</f>
        <v>0.98034627659900031</v>
      </c>
      <c r="AF129" s="212">
        <f>IF(E129&lt;&gt;"",10^(-pKa!$B$2-pKa!$C$2)/(10^(-2*$E129)+10^(-$E129-pKa!$B$2)+10^(-pKa!$B$2-pKa!$C$2)),"")</f>
        <v>9.1491237890633185E-3</v>
      </c>
      <c r="AG129" s="152"/>
      <c r="AH129" s="163">
        <f t="shared" si="912"/>
        <v>5.729421746144534</v>
      </c>
      <c r="AI129" s="289">
        <f>68.90774625/1000/12.0107</f>
        <v>5.737196520602463E-3</v>
      </c>
      <c r="AJ129" s="84">
        <f>IF(AI129&lt;&gt;"",AI129*1000*'Elements and ions'!$B$7,"")</f>
        <v>68.907746250000002</v>
      </c>
      <c r="AK129" s="89">
        <f>IF($AI129&lt;&gt;"",$AH129*'Elements and ions'!$G$3,IF($E129="","","Enter DIC"))</f>
        <v>349.59120997702161</v>
      </c>
      <c r="AL129" s="88">
        <f>IF($AK129&lt;&gt;"",$AK129/'Elements and ions'!$G$3*Minerals!$B$6/2,IF($E129="","","Enter Alk(HCO3-)"))</f>
        <v>286.72003068209671</v>
      </c>
      <c r="AM129" s="199"/>
      <c r="AN129" s="101">
        <f t="shared" si="913"/>
        <v>6.0266952343923504E-5</v>
      </c>
      <c r="AO129" s="94">
        <f t="shared" si="914"/>
        <v>5.6244392470893648E-3</v>
      </c>
      <c r="AP129" s="95">
        <f t="shared" si="915"/>
        <v>5.2490321169175294E-5</v>
      </c>
      <c r="AQ129" s="199"/>
      <c r="AR129" s="199"/>
      <c r="AS129" s="83">
        <f t="shared" si="918"/>
        <v>0.1772557421880103</v>
      </c>
      <c r="AT129" s="83">
        <f>IF(AN129&lt;&gt;"",AN129/'Henrys law constants'!$B$7*1000000,"")</f>
        <v>1772.557421880103</v>
      </c>
      <c r="AU129" s="268">
        <f>'WC samples'!K107</f>
        <v>0</v>
      </c>
      <c r="AV129" s="269">
        <f>'WC samples'!M107</f>
        <v>0</v>
      </c>
      <c r="AW129" s="269">
        <f>'WC samples'!O107</f>
        <v>0</v>
      </c>
      <c r="AX129" s="269">
        <f>'WC samples'!N107</f>
        <v>0</v>
      </c>
      <c r="AY129" s="226">
        <f>AO129*'Elements and ions'!$G$3*1000</f>
        <v>343.18550962937223</v>
      </c>
      <c r="AZ129" s="269">
        <f>'WC samples'!Q107</f>
        <v>0</v>
      </c>
      <c r="BA129" s="269">
        <f>'WC samples'!T107</f>
        <v>0</v>
      </c>
      <c r="BB129" s="270">
        <f>'WC samples'!V107</f>
        <v>0</v>
      </c>
      <c r="BC129" s="222">
        <f>IF($E129&lt;&gt;"",10^-$E129*'Elements and ions'!B140*1000,"")</f>
        <v>0</v>
      </c>
      <c r="BE129" s="6"/>
      <c r="BF129" s="6"/>
      <c r="BG129" s="270">
        <f>'WC samples'!L107</f>
        <v>0</v>
      </c>
      <c r="BH129" s="3"/>
      <c r="BJ129" s="92">
        <f>IF($AN129&lt;&gt;"",$AN129*'Elements and ions'!$G$2*1000,"")</f>
        <v>3.7380444604023393</v>
      </c>
      <c r="BK129" s="229"/>
      <c r="BL129" s="230"/>
      <c r="BM129" s="101">
        <f>IF($E129&lt;&gt;"",(10^-14+$E129)*'Elements and ions'!$G$8,"")</f>
        <v>140.65070180000018</v>
      </c>
      <c r="BO129" s="102">
        <f>IF($AP129&lt;&gt;"",$AP129*'Elements and ions'!$G$4*1000,"")</f>
        <v>3.149886434008923</v>
      </c>
      <c r="BP129" s="269">
        <f>'WC samples'!P107</f>
        <v>0</v>
      </c>
      <c r="BQ129" s="270">
        <f>'WC samples'!R107</f>
        <v>0</v>
      </c>
      <c r="BR129" s="195"/>
      <c r="BS129" s="238">
        <f>IF($AU129&lt;&gt;"",$AU129/'Elements and ions'!$B$12,"")</f>
        <v>0</v>
      </c>
      <c r="BT129" s="239">
        <f>IF($AV129&lt;&gt;"",$AV129/'Elements and ions'!$B$20,"")</f>
        <v>0</v>
      </c>
      <c r="BU129" s="239">
        <f>IF($AW129&lt;&gt;"",$AW129/'Elements and ions'!$B$21, "")</f>
        <v>0</v>
      </c>
      <c r="BV129" s="240">
        <f>IF($AX129&lt;&gt;"",$AX129/'Elements and ions'!$B$13, "")</f>
        <v>0</v>
      </c>
      <c r="BW129" s="238">
        <f>IF($AY129&lt;&gt;"",$AY129/'Elements and ions'!$G$3,"")</f>
        <v>5.6244392470893656</v>
      </c>
      <c r="BX129" s="239">
        <f>IF($AZ129&lt;&gt;"",$AZ129/'Elements and ions'!$B$18,"")</f>
        <v>0</v>
      </c>
      <c r="BY129" s="239">
        <f>IF($BA129&lt;&gt;"",$BA129/'Elements and ions'!$G$7,"")</f>
        <v>0</v>
      </c>
      <c r="BZ129" s="241">
        <f>IF($BB129&lt;&gt;"",$BB129/'Elements and ions'!$G$5,"")</f>
        <v>0</v>
      </c>
      <c r="CA129" s="91">
        <f t="shared" si="919"/>
        <v>5.3703179637025318E-6</v>
      </c>
      <c r="CB129" s="163" t="str">
        <f>IF($BD129&lt;&gt;"",$BD129/'Elements and ions'!$B$14,"")</f>
        <v/>
      </c>
      <c r="CC129" s="89" t="str">
        <f>IF($BE129&lt;&gt;"",$BE129/'Elements and ions'!$B$27, "")</f>
        <v/>
      </c>
      <c r="CD129" s="249" t="str">
        <f>IF($BF129&lt;&gt;"",$BF129/'Elements and ions'!$B$26,"")</f>
        <v/>
      </c>
      <c r="CE129" s="250">
        <f>IF($BG129&lt;&gt;"",$BG129/'Elements and ions'!$G$6,"")</f>
        <v>0</v>
      </c>
      <c r="CF129" s="91" t="str">
        <f>IF($BH129&lt;&gt;"",$BH129/'Elements and ions'!$G$15,"")</f>
        <v/>
      </c>
      <c r="CG129" s="89" t="str">
        <f>IF($BI129&lt;&gt;"",$BI129/'Elements and ions'!$G$16,"")</f>
        <v/>
      </c>
      <c r="CH129" s="90">
        <f>IF($BJ129&lt;&gt;"",$BJ129/'Elements and ions'!$G$2,"")</f>
        <v>6.0266952343923506E-2</v>
      </c>
      <c r="CI129" s="91" t="str">
        <f>IF($BK129&lt;&gt;"",$BK129/'Elements and ions'!$B$15, "")</f>
        <v/>
      </c>
      <c r="CJ129" s="88" t="str">
        <f>IF($BL129&lt;&gt;"", $BL129/'Elements and ions'!$G$17,"")</f>
        <v/>
      </c>
      <c r="CK129" s="89">
        <f t="shared" si="920"/>
        <v>1.8620871366628634E-3</v>
      </c>
      <c r="CL129" s="163" t="str">
        <f>IF($BN129&lt;&gt;"", $BN129/'Elements and ions'!$G$19,"")</f>
        <v/>
      </c>
      <c r="CM129" s="89">
        <f>IF($BO129&lt;&gt;"",$BO129/'Elements and ions'!$G$4,"")</f>
        <v>5.2490321169175291E-2</v>
      </c>
      <c r="CN129" s="89">
        <f>IF($BP129&lt;&gt;"",$BP129/'Elements and ions'!$B$10,"")</f>
        <v>0</v>
      </c>
      <c r="CO129" s="104">
        <f>IF($BQ129&lt;&gt;"",$BQ129/'Elements and ions'!$G$18,"")</f>
        <v>0</v>
      </c>
      <c r="CP129" s="242"/>
      <c r="CQ129" s="238">
        <f t="shared" si="849"/>
        <v>0</v>
      </c>
      <c r="CR129" s="239">
        <f t="shared" si="850"/>
        <v>0</v>
      </c>
      <c r="CS129" s="239">
        <f t="shared" si="851"/>
        <v>0</v>
      </c>
      <c r="CT129" s="241">
        <f t="shared" si="852"/>
        <v>0</v>
      </c>
      <c r="CU129" s="238">
        <f t="shared" si="853"/>
        <v>5.6244392470893656E-3</v>
      </c>
      <c r="CV129" s="239">
        <f t="shared" si="854"/>
        <v>0</v>
      </c>
      <c r="CW129" s="239">
        <f t="shared" si="855"/>
        <v>0</v>
      </c>
      <c r="CX129" s="241">
        <f t="shared" si="856"/>
        <v>0</v>
      </c>
      <c r="CY129" s="258">
        <f t="shared" si="924"/>
        <v>5.3703179637025321E-9</v>
      </c>
      <c r="CZ129" s="259" t="str">
        <f t="shared" si="857"/>
        <v/>
      </c>
      <c r="DA129" s="260" t="str">
        <f t="shared" si="858"/>
        <v/>
      </c>
      <c r="DB129" s="261" t="str">
        <f t="shared" si="859"/>
        <v/>
      </c>
      <c r="DC129" s="262">
        <f t="shared" si="860"/>
        <v>0</v>
      </c>
      <c r="DD129" s="263" t="str">
        <f t="shared" si="861"/>
        <v/>
      </c>
      <c r="DE129" s="259" t="str">
        <f t="shared" si="862"/>
        <v/>
      </c>
      <c r="DF129" s="260">
        <f t="shared" si="863"/>
        <v>6.0266952343923504E-5</v>
      </c>
      <c r="DG129" s="260" t="str">
        <f t="shared" si="864"/>
        <v/>
      </c>
      <c r="DH129" s="264" t="str">
        <f t="shared" si="865"/>
        <v/>
      </c>
      <c r="DI129" s="258">
        <f t="shared" si="925"/>
        <v>1.8620871366628635E-6</v>
      </c>
      <c r="DJ129" s="260" t="str">
        <f t="shared" si="866"/>
        <v/>
      </c>
      <c r="DK129" s="260">
        <f t="shared" si="867"/>
        <v>5.2490321169175294E-5</v>
      </c>
      <c r="DL129" s="260">
        <f t="shared" si="868"/>
        <v>0</v>
      </c>
      <c r="DM129" s="265">
        <f t="shared" si="869"/>
        <v>0</v>
      </c>
      <c r="DN129" s="242"/>
      <c r="DO129" s="238">
        <f t="shared" si="870"/>
        <v>0</v>
      </c>
      <c r="DP129" s="239">
        <f t="shared" si="871"/>
        <v>0</v>
      </c>
      <c r="DQ129" s="239">
        <f t="shared" si="872"/>
        <v>0</v>
      </c>
      <c r="DR129" s="241">
        <f t="shared" si="873"/>
        <v>0</v>
      </c>
      <c r="DS129" s="238">
        <f t="shared" si="874"/>
        <v>-5.6244392470893656</v>
      </c>
      <c r="DT129" s="239">
        <f t="shared" si="875"/>
        <v>0</v>
      </c>
      <c r="DU129" s="239">
        <f t="shared" si="876"/>
        <v>0</v>
      </c>
      <c r="DV129" s="241">
        <f t="shared" si="877"/>
        <v>0</v>
      </c>
      <c r="DW129" s="91">
        <f t="shared" si="926"/>
        <v>5.3703179637025318E-6</v>
      </c>
      <c r="DX129" s="89">
        <f t="shared" si="878"/>
        <v>0</v>
      </c>
      <c r="DY129" s="89">
        <f t="shared" si="879"/>
        <v>0</v>
      </c>
      <c r="DZ129" s="89">
        <f t="shared" si="880"/>
        <v>0</v>
      </c>
      <c r="EA129" s="90">
        <f t="shared" si="881"/>
        <v>0</v>
      </c>
      <c r="EB129" s="91">
        <f t="shared" si="927"/>
        <v>-1.8620871366628634E-3</v>
      </c>
      <c r="EC129" s="89">
        <f t="shared" si="882"/>
        <v>0</v>
      </c>
      <c r="ED129" s="89">
        <f t="shared" si="883"/>
        <v>-0.10498064233835058</v>
      </c>
      <c r="EE129" s="89">
        <f t="shared" si="884"/>
        <v>0</v>
      </c>
      <c r="EF129" s="90">
        <f t="shared" si="885"/>
        <v>0</v>
      </c>
      <c r="EG129" s="242"/>
      <c r="EH129" s="245">
        <f t="shared" si="886"/>
        <v>5.3703179637025318E-6</v>
      </c>
      <c r="EI129" s="246">
        <f t="shared" si="887"/>
        <v>-5.7312819765643797</v>
      </c>
      <c r="EJ129" s="198">
        <f t="shared" si="888"/>
        <v>-99.999812596450383</v>
      </c>
      <c r="EK129" s="198">
        <f t="shared" si="889"/>
        <v>2.8122196235446828E-3</v>
      </c>
      <c r="EL129" s="101" t="e">
        <f>IF(AND(CS129&lt;&gt;"",DK129&lt;&gt;""),LOG(CS129*DK129/Minerals!$C$6),"")</f>
        <v>#NUM!</v>
      </c>
      <c r="EM129" s="94" t="e">
        <f>IF(AND(CS129&lt;&gt;"",DK129&lt;&gt;""),LOG(CS129*DK129/Minerals!$C$5),"")</f>
        <v>#NUM!</v>
      </c>
      <c r="EN129" s="94" t="e">
        <f>IF(AND(CS129&lt;&gt;"",DL129&lt;&gt;""),LOG(CS129*DL129^2/Minerals!$C$2),"")</f>
        <v>#NUM!</v>
      </c>
      <c r="EO129" s="94" t="e">
        <f>IF(AND(CS129&lt;&gt;"",CX129&lt;&gt;""),LOG($CS129*$CX129/Minerals!$C$3),"")</f>
        <v>#NUM!</v>
      </c>
      <c r="EP129" s="95" t="e">
        <f>IF(AND(CS129&lt;&gt;"",CX129&lt;&gt;""),LOG($CS129*$CX129/Minerals!$C$4),"")</f>
        <v>#NUM!</v>
      </c>
      <c r="EQ129" s="199"/>
      <c r="ER129" s="101">
        <f t="shared" si="921"/>
        <v>0.94366992869294497</v>
      </c>
      <c r="ES129" s="94">
        <f t="shared" si="921"/>
        <v>0.94366992869294497</v>
      </c>
      <c r="ET129" s="94">
        <f t="shared" si="922"/>
        <v>0.79301328619005551</v>
      </c>
      <c r="EU129" s="94">
        <f t="shared" si="922"/>
        <v>0.79301328619005551</v>
      </c>
      <c r="EV129" s="95">
        <f t="shared" si="922"/>
        <v>0.79301328619005551</v>
      </c>
      <c r="EW129" s="101">
        <f t="shared" si="923"/>
        <v>0.94366992869294497</v>
      </c>
      <c r="EX129" s="94">
        <f t="shared" si="916"/>
        <v>0.79301328619005551</v>
      </c>
      <c r="EY129" s="94">
        <f t="shared" si="923"/>
        <v>0.94366992869294497</v>
      </c>
      <c r="EZ129" s="94">
        <f t="shared" si="923"/>
        <v>0.94366992869294497</v>
      </c>
      <c r="FA129" s="94">
        <f t="shared" si="923"/>
        <v>0.94366992869294497</v>
      </c>
      <c r="FB129" s="95">
        <f t="shared" si="917"/>
        <v>0.79301328619005551</v>
      </c>
      <c r="FC129" s="199"/>
      <c r="FD129" s="101">
        <f t="shared" si="890"/>
        <v>0</v>
      </c>
      <c r="FE129" s="94">
        <f t="shared" si="891"/>
        <v>0</v>
      </c>
      <c r="FF129" s="94">
        <f t="shared" si="892"/>
        <v>0</v>
      </c>
      <c r="FG129" s="94">
        <f t="shared" si="893"/>
        <v>0</v>
      </c>
      <c r="FH129" s="95" t="str">
        <f t="shared" si="894"/>
        <v/>
      </c>
      <c r="FI129" s="101">
        <f t="shared" si="895"/>
        <v>5.3076141832386226E-3</v>
      </c>
      <c r="FJ129" s="94">
        <f t="shared" si="896"/>
        <v>4.1625522083539136E-5</v>
      </c>
      <c r="FK129" s="94">
        <f t="shared" si="897"/>
        <v>0</v>
      </c>
      <c r="FL129" s="94">
        <f t="shared" si="898"/>
        <v>0</v>
      </c>
      <c r="FM129" s="94">
        <f t="shared" si="899"/>
        <v>0</v>
      </c>
      <c r="FN129" s="95">
        <f t="shared" si="900"/>
        <v>0</v>
      </c>
      <c r="FO129" s="199"/>
      <c r="FP129" s="101" t="e">
        <f>IF(EL129&lt;&gt;"",LOG(FF129*FJ129/Minerals!$C$6),"")</f>
        <v>#NUM!</v>
      </c>
      <c r="FQ129" s="94" t="e">
        <f>IF(EL129&lt;&gt;"",LOG(FF129*FJ129/Minerals!$C$5),"")</f>
        <v>#NUM!</v>
      </c>
      <c r="FR129" s="94" t="e">
        <f>IF(EN129&lt;&gt;"",LOG(FF129*FM129^2/Minerals!$C$2),"")</f>
        <v>#NUM!</v>
      </c>
      <c r="FS129" s="94" t="e">
        <f>IF(EO129&lt;&gt;"",LOG($FF129*$FN129/Minerals!$C$3),"")</f>
        <v>#NUM!</v>
      </c>
      <c r="FT129" s="95" t="e">
        <f>IF(EP129&lt;&gt;"",LOG($FF129*$FN129/Minerals!$C$4),"")</f>
        <v>#NUM!</v>
      </c>
      <c r="FU129" s="96"/>
      <c r="FV129" s="101" t="e">
        <f>IF(FP129&lt;&gt;"",LOG(FF129*FJ129/(EXP(-1*Minerals!$E$6/'Other Constants'!$B$2*(1/(273.15+'ppm-mgL-1'!$D129)-1/298.15)+LN(Minerals!$C$6)))),"")</f>
        <v>#NUM!</v>
      </c>
      <c r="FW129" s="94" t="e">
        <f>IF(FP129&lt;&gt;"",LOG(FF129*FJ129/(EXP(-1*Minerals!$E$5/'Other Constants'!$B$2*(1/(273.15+'ppm-mgL-1'!$D129)-1/298.15)+LN(Minerals!$C$5)))),"")</f>
        <v>#NUM!</v>
      </c>
      <c r="FX129" s="94" t="e">
        <f>IF(FR129&lt;&gt;"",LOG(FF129*FM129^2/(EXP(-1*Minerals!$E$2/'Other Constants'!$B$2*(1/(273.15+'ppm-mgL-1'!$D129)-1/298.15)+LN(Minerals!$C$2)))),"")</f>
        <v>#NUM!</v>
      </c>
      <c r="FY129" s="94" t="e">
        <f>IF(FS129&lt;&gt;"",LOG($FF129*$FN129/(EXP(-1*Minerals!$E$3/'Other Constants'!$B$2*(1/(273.15+'ppm-mgL-1'!$D129)-1/298.15)+LN(Minerals!$C$3)))),"")</f>
        <v>#NUM!</v>
      </c>
      <c r="FZ129" s="95" t="e">
        <f>IF(FT129&lt;&gt;"",LOG($FF129*$FN129/(EXP(-1*Minerals!$E$4/'Other Constants'!$B$2*(1/(273.15+'ppm-mgL-1'!$D129)-1/298.15)+LN(Minerals!$C$4)))),"")</f>
        <v>#NUM!</v>
      </c>
      <c r="GA129" s="96"/>
      <c r="GB129" s="96"/>
      <c r="GC129" s="101">
        <f>10^(-1825000*(79.755*EXP(-0.0046*($D129-20))*($D129+273.15))^-1.5*$EK129^0.5/(1+'Elements and ions'!$D$12*$EK129^0.5/(2*(79.755*EXP(-0.0046*($D129-20))*($D129+273.15))^0.5)))</f>
        <v>0.94309198252566739</v>
      </c>
      <c r="GD129" s="94">
        <f>10^(-1825000*(79.755*EXP(-0.0046*($D129-20))*($D129+273.15))^-1.5*$EK129^0.5/(1+'Elements and ions'!$D$20*$EK129^0.5/(2*(79.755*EXP(-0.0046*($D129-20))*($D129+273.15))^0.5)))</f>
        <v>0.94218008602311498</v>
      </c>
      <c r="GE129" s="94">
        <f>10^(-1825000*(79.755*EXP(-0.0046*($D129-20))*($D129+273.15))^-1.5*4*$EK129^0.5/(1+'Elements and ions'!$D$21*$EK129^0.5/(2*(79.755*EXP(-0.0046*($D129-20))*($D129+273.15))^0.5)))</f>
        <v>0.79692718921354333</v>
      </c>
      <c r="GF129" s="94">
        <f>10^(-1825000*(79.755*EXP(-0.0046*($D129-20))*($D129+273.15))^-1.5*4*$EK129^0.5/(1+'Elements and ions'!$D$13*$EK129^0.5/(2*(79.755*EXP(-0.0046*($D129-20))*($D129+273.15))^0.5)))</f>
        <v>0.80246427495800021</v>
      </c>
      <c r="GG129" s="95">
        <f>10^(-1825000*(79.755*EXP(-0.0046*($D129-20))*($D129+273.15))^-1.5*4*$EK129^0.5/(1+'Elements and ions'!$D$27*$EK129^0.5/(2*(79.755*EXP(-0.0046*($D129-20))*($D129+273.15))^0.5)))</f>
        <v>0.79692718921354333</v>
      </c>
      <c r="GH129" s="101">
        <f>10^(-1825000*(79.755*EXP(-0.0046*($D129-20))*($D129+273.15))^-1.5*$EK129^0.5/(1+'Elements and ions'!$G$3*$EK129^0.5/(2*(79.755*EXP(-0.0046*($D129-20))*($D129+273.15))^0.5)))</f>
        <v>0.93987775798608963</v>
      </c>
      <c r="GI129" s="94">
        <f>10^(-1825000*(79.755*EXP(-0.0046*($D129-20))*($D129+273.15))^-1.5*4*$EK129^0.5/(1+'Elements and ions'!$G$4*$EK129^0.5/(2*(79.755*EXP(-0.0046*($D129-20))*($D129+273.15))^0.5)))</f>
        <v>0.78030937296856984</v>
      </c>
      <c r="GJ129" s="94">
        <f>10^(-1825000*(79.755*EXP(-0.0046*($D129-20))*($D129+273.15))^-1.5*$EK129^0.5/(1+'Elements and ions'!$D$18*$EK129^0.5/(2*(79.755*EXP(-0.0046*($D129-20))*($D129+273.15))^0.5)))</f>
        <v>0.94218008602311498</v>
      </c>
      <c r="GK129" s="94">
        <f>10^(-1825000*(79.755*EXP(-0.0046*($D129-20))*($D129+273.15))^-1.5*$EK129^0.5/(1+'Elements and ions'!$I$7*$EK129^0.5/(2*(79.755*EXP(-0.0046*($D129-20))*($D129+273.15))^0.5)))</f>
        <v>0.94218008602311498</v>
      </c>
      <c r="GL129" s="94">
        <f>10^(-1825000*(79.755*EXP(-0.0046*($D129-20))*($D129+273.15))^-1.5*$EK129^0.5/(1+'Elements and ions'!$D$10*$EK129^0.5/(2*(79.755*EXP(-0.0046*($D129-20))*($D129+273.15))^0.5)))</f>
        <v>0.94263965722020326</v>
      </c>
      <c r="GM129" s="95">
        <f>10^(-1825000*(79.755*EXP(-0.0046*($D129-20))*($D129+273.15))^-1.5*4*$EK129^0.5/(1+'Elements and ions'!$I$5*$EK129^0.5/(2*(79.755*EXP(-0.0046*($D129-20))*($D129+273.15))^0.5)))</f>
        <v>0.7910723612781474</v>
      </c>
      <c r="GN129" s="96"/>
      <c r="GO129" s="101">
        <f t="shared" si="901"/>
        <v>0</v>
      </c>
      <c r="GP129" s="94">
        <f t="shared" si="902"/>
        <v>0</v>
      </c>
      <c r="GQ129" s="94">
        <f t="shared" si="903"/>
        <v>0</v>
      </c>
      <c r="GR129" s="94">
        <f t="shared" si="904"/>
        <v>0</v>
      </c>
      <c r="GS129" s="95" t="str">
        <f t="shared" si="905"/>
        <v/>
      </c>
      <c r="GT129" s="101">
        <f t="shared" si="906"/>
        <v>5.2862853494833233E-3</v>
      </c>
      <c r="GU129" s="94">
        <f t="shared" si="907"/>
        <v>4.0958689598438021E-5</v>
      </c>
      <c r="GV129" s="94">
        <f t="shared" si="908"/>
        <v>0</v>
      </c>
      <c r="GW129" s="94">
        <f t="shared" si="909"/>
        <v>0</v>
      </c>
      <c r="GX129" s="94">
        <f t="shared" si="910"/>
        <v>0</v>
      </c>
      <c r="GY129" s="102">
        <f t="shared" si="911"/>
        <v>0</v>
      </c>
      <c r="GZ129" s="199"/>
      <c r="HA129" s="92" t="e">
        <f>IF(AND(GQ129&lt;&gt;"",GU129&lt;&gt;""),LOG(GQ129*GU129/Minerals!$C$6),"")</f>
        <v>#NUM!</v>
      </c>
      <c r="HB129" s="94" t="e">
        <f>IF(AND(GQ129&lt;&gt;"",GU129&lt;&gt;""),LOG(GQ129*GU129/Minerals!$C$5),"")</f>
        <v>#NUM!</v>
      </c>
      <c r="HC129" s="94" t="e">
        <f>IF(AND(GQ129&lt;&gt;"",GX129&lt;&gt;""),LOG(GQ129*GX129^2/Minerals!$C$2),"")</f>
        <v>#NUM!</v>
      </c>
      <c r="HD129" s="94" t="e">
        <f>IF(AND(GQ129&lt;&gt;"",GY129&lt;&gt;""),LOG($GQ129*$GY129/Minerals!$C$3),"")</f>
        <v>#NUM!</v>
      </c>
      <c r="HE129" s="102" t="e">
        <f>IF(AND(GQ129&lt;&gt;"",GY129&lt;&gt;""),LOG($GQ129*$GY129/Minerals!$C$3),"")</f>
        <v>#NUM!</v>
      </c>
      <c r="HF129" s="199"/>
      <c r="HG129" s="92" t="e">
        <f>IF(HA129&lt;&gt;"",LOG(GQ129*GU129/(EXP(-1*Minerals!$E$6/'Other Constants'!$B$2*(1/(273.15+'ppm-mgL-1'!$D129)-1/298.15)+LN(Minerals!$C$6)))),"")</f>
        <v>#NUM!</v>
      </c>
      <c r="HH129" s="94" t="e">
        <f>IF(HA129&lt;&gt;"",LOG(GQ129*GU129/(EXP(-1*Minerals!$E$5/'Other Constants'!$B$2*(1/(273.15+'ppm-mgL-1'!$D129)-1/298.15)+LN(Minerals!$C$5)))),"")</f>
        <v>#NUM!</v>
      </c>
      <c r="HI129" s="94" t="e">
        <f>IF(HC129&lt;&gt;"",LOG(GQ129*GX129^2/(EXP(-1*Minerals!$E$2/'Other Constants'!$B$2*(1/(273.15+'ppm-mgL-1'!$D129)-1/298.15)+LN(Minerals!$C$2)))),"")</f>
        <v>#NUM!</v>
      </c>
      <c r="HJ129" s="94" t="e">
        <f>IF(HD129&lt;&gt;"",LOG($FF129*$FN129/(EXP(-1*Minerals!$E$3/'Other Constants'!$B$2*(1/(273.15+'ppm-mgL-1'!$D129)-1/298.15)+LN(Minerals!$C$3)))),"")</f>
        <v>#NUM!</v>
      </c>
      <c r="HK129" s="95" t="e">
        <f>IF(HE129&lt;&gt;"",LOG($FF129*$FN129/(EXP(-1*Minerals!$E$4/'Other Constants'!$B$2*(1/(273.15+'ppm-mgL-1'!$D129)-1/298.15)+LN(Minerals!$C$4)))),"")</f>
        <v>#NUM!</v>
      </c>
    </row>
    <row r="130" spans="1:221" x14ac:dyDescent="0.25">
      <c r="A130" t="s">
        <v>341</v>
      </c>
      <c r="C130" s="274">
        <v>41572</v>
      </c>
      <c r="D130"/>
      <c r="E130">
        <v>8.3000000000000007</v>
      </c>
      <c r="F130"/>
      <c r="G130">
        <v>641.79999999999995</v>
      </c>
      <c r="H130"/>
      <c r="I130"/>
      <c r="AD130" s="83">
        <f>IF(E130&lt;&gt;"",10^(-2*$E130)/(10^(-2*$E130)+10^(-$E130-pKa!$B$2)+(10^(-pKa!$B$2-pKa!$C$2))),"")</f>
        <v>9.8039215686274977E-3</v>
      </c>
      <c r="AE130" s="84">
        <f>IF(E130&lt;&gt;"",10^(-$E130-pKa!$B$2)/(10^(-2*$E130)+10^(-$E130-pKa!$B$2)+10^(-pKa!$B$2-pKa!$C$2)),"")</f>
        <v>0.98039215686274495</v>
      </c>
      <c r="AF130" s="212">
        <f>IF(E130&lt;&gt;"",10^(-pKa!$B$2-pKa!$C$2)/(10^(-2*$E130)+10^(-$E130-pKa!$B$2)+10^(-pKa!$B$2-pKa!$C$2)),"")</f>
        <v>9.8039215686274977E-3</v>
      </c>
      <c r="AG130" s="152"/>
      <c r="AH130" s="163">
        <f t="shared" si="912"/>
        <v>7.5680268763936303</v>
      </c>
      <c r="AI130" s="289">
        <f>90.8972765/1000/12.0107</f>
        <v>7.5680248861431888E-3</v>
      </c>
      <c r="AJ130" s="84">
        <f>IF(AI130&lt;&gt;"",AI130*1000*'Elements and ions'!$B$7,"")</f>
        <v>90.89727649999999</v>
      </c>
      <c r="AK130" s="89">
        <f>IF($AI130&lt;&gt;"",$AH130*'Elements and ions'!$G$3,IF($E130="","","Enter DIC"))</f>
        <v>461.77708503260988</v>
      </c>
      <c r="AL130" s="88">
        <f>IF($AK130&lt;&gt;"",$AK130/'Elements and ions'!$G$3*Minerals!$B$6/2,IF($E130="","","Enter Alk(HCO3-)"))</f>
        <v>378.73017458746079</v>
      </c>
      <c r="AM130" s="199"/>
      <c r="AN130" s="101">
        <f t="shared" si="913"/>
        <v>7.4196322413168868E-5</v>
      </c>
      <c r="AO130" s="94">
        <f t="shared" si="914"/>
        <v>7.4196322413168508E-3</v>
      </c>
      <c r="AP130" s="95">
        <f t="shared" si="915"/>
        <v>7.4196322413168868E-5</v>
      </c>
      <c r="AQ130" s="199"/>
      <c r="AR130" s="199"/>
      <c r="AS130" s="83">
        <f t="shared" si="918"/>
        <v>0.21822447768579076</v>
      </c>
      <c r="AT130" s="83">
        <f>IF(AN130&lt;&gt;"",AN130/'Henrys law constants'!$B$7*1000000,"")</f>
        <v>2182.2447768579077</v>
      </c>
      <c r="AU130" s="268">
        <f>'WC samples'!K108</f>
        <v>0</v>
      </c>
      <c r="AV130" s="269">
        <f>'WC samples'!M108</f>
        <v>0</v>
      </c>
      <c r="AW130" s="269">
        <f>'WC samples'!O108</f>
        <v>0</v>
      </c>
      <c r="AX130" s="269">
        <f>'WC samples'!N108</f>
        <v>0</v>
      </c>
      <c r="AY130" s="226">
        <f>AO130*'Elements and ions'!$G$3*1000</f>
        <v>452.72251332727166</v>
      </c>
      <c r="AZ130" s="269">
        <f>'WC samples'!Q108</f>
        <v>0</v>
      </c>
      <c r="BA130" s="269">
        <f>'WC samples'!T108</f>
        <v>0</v>
      </c>
      <c r="BB130" s="270">
        <f>'WC samples'!V108</f>
        <v>0</v>
      </c>
      <c r="BC130" s="222">
        <f>IF($E130&lt;&gt;"",10^-$E130*'Elements and ions'!B141*1000,"")</f>
        <v>0</v>
      </c>
      <c r="BE130" s="6"/>
      <c r="BF130" s="6"/>
      <c r="BG130" s="270">
        <f>'WC samples'!L108</f>
        <v>0</v>
      </c>
      <c r="BH130" s="3"/>
      <c r="BJ130" s="92">
        <f>IF($AN130&lt;&gt;"",$AN130*'Elements and ions'!$G$2*1000,"")</f>
        <v>4.6020105744858677</v>
      </c>
      <c r="BK130" s="229"/>
      <c r="BL130" s="230"/>
      <c r="BM130" s="101">
        <f>IF($E130&lt;&gt;"",(10^-14+$E130)*'Elements and ions'!$G$8,"")</f>
        <v>141.1609220000002</v>
      </c>
      <c r="BO130" s="102">
        <f>IF($AP130&lt;&gt;"",$AP130*'Elements and ions'!$G$4*1000,"")</f>
        <v>4.4524396920596088</v>
      </c>
      <c r="BP130" s="269">
        <f>'WC samples'!P108</f>
        <v>0</v>
      </c>
      <c r="BQ130" s="270">
        <f>'WC samples'!R108</f>
        <v>0</v>
      </c>
      <c r="BR130" s="195"/>
      <c r="BS130" s="238">
        <f>IF($AU130&lt;&gt;"",$AU130/'Elements and ions'!$B$12,"")</f>
        <v>0</v>
      </c>
      <c r="BT130" s="239">
        <f>IF($AV130&lt;&gt;"",$AV130/'Elements and ions'!$B$20,"")</f>
        <v>0</v>
      </c>
      <c r="BU130" s="239">
        <f>IF($AW130&lt;&gt;"",$AW130/'Elements and ions'!$B$21, "")</f>
        <v>0</v>
      </c>
      <c r="BV130" s="240">
        <f>IF($AX130&lt;&gt;"",$AX130/'Elements and ions'!$B$13, "")</f>
        <v>0</v>
      </c>
      <c r="BW130" s="238">
        <f>IF($AY130&lt;&gt;"",$AY130/'Elements and ions'!$G$3,"")</f>
        <v>7.419632241316851</v>
      </c>
      <c r="BX130" s="239">
        <f>IF($AZ130&lt;&gt;"",$AZ130/'Elements and ions'!$B$18,"")</f>
        <v>0</v>
      </c>
      <c r="BY130" s="239">
        <f>IF($BA130&lt;&gt;"",$BA130/'Elements and ions'!$G$7,"")</f>
        <v>0</v>
      </c>
      <c r="BZ130" s="241">
        <f>IF($BB130&lt;&gt;"",$BB130/'Elements and ions'!$G$5,"")</f>
        <v>0</v>
      </c>
      <c r="CA130" s="91">
        <f t="shared" si="919"/>
        <v>5.0118723362727114E-6</v>
      </c>
      <c r="CB130" s="163" t="str">
        <f>IF($BD130&lt;&gt;"",$BD130/'Elements and ions'!$B$14,"")</f>
        <v/>
      </c>
      <c r="CC130" s="89" t="str">
        <f>IF($BE130&lt;&gt;"",$BE130/'Elements and ions'!$B$27, "")</f>
        <v/>
      </c>
      <c r="CD130" s="249" t="str">
        <f>IF($BF130&lt;&gt;"",$BF130/'Elements and ions'!$B$26,"")</f>
        <v/>
      </c>
      <c r="CE130" s="250">
        <f>IF($BG130&lt;&gt;"",$BG130/'Elements and ions'!$G$6,"")</f>
        <v>0</v>
      </c>
      <c r="CF130" s="91" t="str">
        <f>IF($BH130&lt;&gt;"",$BH130/'Elements and ions'!$G$15,"")</f>
        <v/>
      </c>
      <c r="CG130" s="89" t="str">
        <f>IF($BI130&lt;&gt;"",$BI130/'Elements and ions'!$G$16,"")</f>
        <v/>
      </c>
      <c r="CH130" s="90">
        <f>IF($BJ130&lt;&gt;"",$BJ130/'Elements and ions'!$G$2,"")</f>
        <v>7.4196322413168869E-2</v>
      </c>
      <c r="CI130" s="91" t="str">
        <f>IF($BK130&lt;&gt;"",$BK130/'Elements and ions'!$B$15, "")</f>
        <v/>
      </c>
      <c r="CJ130" s="88" t="str">
        <f>IF($BL130&lt;&gt;"", $BL130/'Elements and ions'!$G$17,"")</f>
        <v/>
      </c>
      <c r="CK130" s="89">
        <f t="shared" si="920"/>
        <v>1.9952623149688815E-3</v>
      </c>
      <c r="CL130" s="163" t="str">
        <f>IF($BN130&lt;&gt;"", $BN130/'Elements and ions'!$G$19,"")</f>
        <v/>
      </c>
      <c r="CM130" s="89">
        <f>IF($BO130&lt;&gt;"",$BO130/'Elements and ions'!$G$4,"")</f>
        <v>7.4196322413168869E-2</v>
      </c>
      <c r="CN130" s="89">
        <f>IF($BP130&lt;&gt;"",$BP130/'Elements and ions'!$B$10,"")</f>
        <v>0</v>
      </c>
      <c r="CO130" s="104">
        <f>IF($BQ130&lt;&gt;"",$BQ130/'Elements and ions'!$G$18,"")</f>
        <v>0</v>
      </c>
      <c r="CP130" s="242"/>
      <c r="CQ130" s="238">
        <f t="shared" si="849"/>
        <v>0</v>
      </c>
      <c r="CR130" s="239">
        <f t="shared" si="850"/>
        <v>0</v>
      </c>
      <c r="CS130" s="239">
        <f t="shared" si="851"/>
        <v>0</v>
      </c>
      <c r="CT130" s="241">
        <f t="shared" si="852"/>
        <v>0</v>
      </c>
      <c r="CU130" s="238">
        <f t="shared" si="853"/>
        <v>7.4196322413168508E-3</v>
      </c>
      <c r="CV130" s="239">
        <f t="shared" si="854"/>
        <v>0</v>
      </c>
      <c r="CW130" s="239">
        <f t="shared" si="855"/>
        <v>0</v>
      </c>
      <c r="CX130" s="241">
        <f t="shared" si="856"/>
        <v>0</v>
      </c>
      <c r="CY130" s="258">
        <f t="shared" si="924"/>
        <v>5.0118723362727114E-9</v>
      </c>
      <c r="CZ130" s="259" t="str">
        <f t="shared" si="857"/>
        <v/>
      </c>
      <c r="DA130" s="260" t="str">
        <f t="shared" si="858"/>
        <v/>
      </c>
      <c r="DB130" s="261" t="str">
        <f t="shared" si="859"/>
        <v/>
      </c>
      <c r="DC130" s="262">
        <f t="shared" si="860"/>
        <v>0</v>
      </c>
      <c r="DD130" s="263" t="str">
        <f t="shared" si="861"/>
        <v/>
      </c>
      <c r="DE130" s="259" t="str">
        <f t="shared" si="862"/>
        <v/>
      </c>
      <c r="DF130" s="260">
        <f t="shared" si="863"/>
        <v>7.4196322413168868E-5</v>
      </c>
      <c r="DG130" s="260" t="str">
        <f t="shared" si="864"/>
        <v/>
      </c>
      <c r="DH130" s="264" t="str">
        <f t="shared" si="865"/>
        <v/>
      </c>
      <c r="DI130" s="258">
        <f t="shared" si="925"/>
        <v>1.9952623149688817E-6</v>
      </c>
      <c r="DJ130" s="260" t="str">
        <f t="shared" si="866"/>
        <v/>
      </c>
      <c r="DK130" s="260">
        <f t="shared" si="867"/>
        <v>7.4196322413168868E-5</v>
      </c>
      <c r="DL130" s="260">
        <f t="shared" si="868"/>
        <v>0</v>
      </c>
      <c r="DM130" s="265">
        <f t="shared" si="869"/>
        <v>0</v>
      </c>
      <c r="DN130" s="242"/>
      <c r="DO130" s="238">
        <f t="shared" si="870"/>
        <v>0</v>
      </c>
      <c r="DP130" s="239">
        <f t="shared" si="871"/>
        <v>0</v>
      </c>
      <c r="DQ130" s="239">
        <f t="shared" si="872"/>
        <v>0</v>
      </c>
      <c r="DR130" s="241">
        <f t="shared" si="873"/>
        <v>0</v>
      </c>
      <c r="DS130" s="238">
        <f t="shared" si="874"/>
        <v>-7.419632241316851</v>
      </c>
      <c r="DT130" s="239">
        <f t="shared" si="875"/>
        <v>0</v>
      </c>
      <c r="DU130" s="239">
        <f t="shared" si="876"/>
        <v>0</v>
      </c>
      <c r="DV130" s="241">
        <f t="shared" si="877"/>
        <v>0</v>
      </c>
      <c r="DW130" s="91">
        <f t="shared" si="926"/>
        <v>5.0118723362727114E-6</v>
      </c>
      <c r="DX130" s="89">
        <f t="shared" si="878"/>
        <v>0</v>
      </c>
      <c r="DY130" s="89">
        <f t="shared" si="879"/>
        <v>0</v>
      </c>
      <c r="DZ130" s="89">
        <f t="shared" si="880"/>
        <v>0</v>
      </c>
      <c r="EA130" s="90">
        <f t="shared" si="881"/>
        <v>0</v>
      </c>
      <c r="EB130" s="91">
        <f t="shared" si="927"/>
        <v>-1.9952623149688815E-3</v>
      </c>
      <c r="EC130" s="89">
        <f t="shared" si="882"/>
        <v>0</v>
      </c>
      <c r="ED130" s="89">
        <f t="shared" si="883"/>
        <v>-0.14839264482633774</v>
      </c>
      <c r="EE130" s="89">
        <f t="shared" si="884"/>
        <v>0</v>
      </c>
      <c r="EF130" s="90">
        <f t="shared" si="885"/>
        <v>0</v>
      </c>
      <c r="EG130" s="242"/>
      <c r="EH130" s="245">
        <f t="shared" si="886"/>
        <v>5.0118723362727114E-6</v>
      </c>
      <c r="EI130" s="246">
        <f t="shared" si="887"/>
        <v>-7.5700201484581573</v>
      </c>
      <c r="EJ130" s="198">
        <f t="shared" si="888"/>
        <v>-99.999867586375728</v>
      </c>
      <c r="EK130" s="198">
        <f t="shared" si="889"/>
        <v>3.7098161206584254E-3</v>
      </c>
      <c r="EL130" s="101" t="e">
        <f>IF(AND(CS130&lt;&gt;"",DK130&lt;&gt;""),LOG(CS130*DK130/Minerals!$C$6),"")</f>
        <v>#NUM!</v>
      </c>
      <c r="EM130" s="94" t="e">
        <f>IF(AND(CS130&lt;&gt;"",DK130&lt;&gt;""),LOG(CS130*DK130/Minerals!$C$5),"")</f>
        <v>#NUM!</v>
      </c>
      <c r="EN130" s="94" t="e">
        <f>IF(AND(CS130&lt;&gt;"",DL130&lt;&gt;""),LOG(CS130*DL130^2/Minerals!$C$2),"")</f>
        <v>#NUM!</v>
      </c>
      <c r="EO130" s="94" t="e">
        <f>IF(AND(CS130&lt;&gt;"",CX130&lt;&gt;""),LOG($CS130*$CX130/Minerals!$C$3),"")</f>
        <v>#NUM!</v>
      </c>
      <c r="EP130" s="95" t="e">
        <f>IF(AND(CS130&lt;&gt;"",CX130&lt;&gt;""),LOG($CS130*$CX130/Minerals!$C$4),"")</f>
        <v>#NUM!</v>
      </c>
      <c r="EQ130" s="199"/>
      <c r="ER130" s="101">
        <f t="shared" si="921"/>
        <v>0.93603973546985031</v>
      </c>
      <c r="ES130" s="94">
        <f t="shared" si="921"/>
        <v>0.93603973546985031</v>
      </c>
      <c r="ET130" s="94">
        <f t="shared" si="922"/>
        <v>0.7676745459665929</v>
      </c>
      <c r="EU130" s="94">
        <f t="shared" si="922"/>
        <v>0.7676745459665929</v>
      </c>
      <c r="EV130" s="95">
        <f t="shared" si="922"/>
        <v>0.7676745459665929</v>
      </c>
      <c r="EW130" s="101">
        <f t="shared" si="923"/>
        <v>0.93603973546985031</v>
      </c>
      <c r="EX130" s="94">
        <f t="shared" si="916"/>
        <v>0.7676745459665929</v>
      </c>
      <c r="EY130" s="94">
        <f t="shared" si="923"/>
        <v>0.93603973546985031</v>
      </c>
      <c r="EZ130" s="94">
        <f t="shared" si="923"/>
        <v>0.93603973546985031</v>
      </c>
      <c r="FA130" s="94">
        <f t="shared" si="923"/>
        <v>0.93603973546985031</v>
      </c>
      <c r="FB130" s="95">
        <f t="shared" si="917"/>
        <v>0.7676745459665929</v>
      </c>
      <c r="FC130" s="199"/>
      <c r="FD130" s="101">
        <f t="shared" si="890"/>
        <v>0</v>
      </c>
      <c r="FE130" s="94">
        <f t="shared" si="891"/>
        <v>0</v>
      </c>
      <c r="FF130" s="94">
        <f t="shared" si="892"/>
        <v>0</v>
      </c>
      <c r="FG130" s="94">
        <f t="shared" si="893"/>
        <v>0</v>
      </c>
      <c r="FH130" s="95" t="str">
        <f t="shared" si="894"/>
        <v/>
      </c>
      <c r="FI130" s="101">
        <f t="shared" si="895"/>
        <v>6.9450706004457975E-3</v>
      </c>
      <c r="FJ130" s="94">
        <f t="shared" si="896"/>
        <v>5.6958628120920354E-5</v>
      </c>
      <c r="FK130" s="94">
        <f t="shared" si="897"/>
        <v>0</v>
      </c>
      <c r="FL130" s="94">
        <f t="shared" si="898"/>
        <v>0</v>
      </c>
      <c r="FM130" s="94">
        <f t="shared" si="899"/>
        <v>0</v>
      </c>
      <c r="FN130" s="95">
        <f t="shared" si="900"/>
        <v>0</v>
      </c>
      <c r="FO130" s="199"/>
      <c r="FP130" s="101" t="e">
        <f>IF(EL130&lt;&gt;"",LOG(FF130*FJ130/Minerals!$C$6),"")</f>
        <v>#NUM!</v>
      </c>
      <c r="FQ130" s="94" t="e">
        <f>IF(EL130&lt;&gt;"",LOG(FF130*FJ130/Minerals!$C$5),"")</f>
        <v>#NUM!</v>
      </c>
      <c r="FR130" s="94" t="e">
        <f>IF(EN130&lt;&gt;"",LOG(FF130*FM130^2/Minerals!$C$2),"")</f>
        <v>#NUM!</v>
      </c>
      <c r="FS130" s="94" t="e">
        <f>IF(EO130&lt;&gt;"",LOG($FF130*$FN130/Minerals!$C$3),"")</f>
        <v>#NUM!</v>
      </c>
      <c r="FT130" s="95" t="e">
        <f>IF(EP130&lt;&gt;"",LOG($FF130*$FN130/Minerals!$C$4),"")</f>
        <v>#NUM!</v>
      </c>
      <c r="FU130" s="96"/>
      <c r="FV130" s="101" t="e">
        <f>IF(FP130&lt;&gt;"",LOG(FF130*FJ130/(EXP(-1*Minerals!$E$6/'Other Constants'!$B$2*(1/(273.15+'ppm-mgL-1'!$D130)-1/298.15)+LN(Minerals!$C$6)))),"")</f>
        <v>#NUM!</v>
      </c>
      <c r="FW130" s="94" t="e">
        <f>IF(FP130&lt;&gt;"",LOG(FF130*FJ130/(EXP(-1*Minerals!$E$5/'Other Constants'!$B$2*(1/(273.15+'ppm-mgL-1'!$D130)-1/298.15)+LN(Minerals!$C$5)))),"")</f>
        <v>#NUM!</v>
      </c>
      <c r="FX130" s="94" t="e">
        <f>IF(FR130&lt;&gt;"",LOG(FF130*FM130^2/(EXP(-1*Minerals!$E$2/'Other Constants'!$B$2*(1/(273.15+'ppm-mgL-1'!$D130)-1/298.15)+LN(Minerals!$C$2)))),"")</f>
        <v>#NUM!</v>
      </c>
      <c r="FY130" s="94" t="e">
        <f>IF(FS130&lt;&gt;"",LOG($FF130*$FN130/(EXP(-1*Minerals!$E$3/'Other Constants'!$B$2*(1/(273.15+'ppm-mgL-1'!$D130)-1/298.15)+LN(Minerals!$C$3)))),"")</f>
        <v>#NUM!</v>
      </c>
      <c r="FZ130" s="95" t="e">
        <f>IF(FT130&lt;&gt;"",LOG($FF130*$FN130/(EXP(-1*Minerals!$E$4/'Other Constants'!$B$2*(1/(273.15+'ppm-mgL-1'!$D130)-1/298.15)+LN(Minerals!$C$4)))),"")</f>
        <v>#NUM!</v>
      </c>
      <c r="GA130" s="96"/>
      <c r="GB130" s="96"/>
      <c r="GC130" s="101">
        <f>10^(-1825000*(79.755*EXP(-0.0046*($D130-20))*($D130+273.15))^-1.5*$EK130^0.5/(1+'Elements and ions'!$D$12*$EK130^0.5/(2*(79.755*EXP(-0.0046*($D130-20))*($D130+273.15))^0.5)))</f>
        <v>0.93774827354403523</v>
      </c>
      <c r="GD130" s="94">
        <f>10^(-1825000*(79.755*EXP(-0.0046*($D130-20))*($D130+273.15))^-1.5*$EK130^0.5/(1+'Elements and ions'!$D$20*$EK130^0.5/(2*(79.755*EXP(-0.0046*($D130-20))*($D130+273.15))^0.5)))</f>
        <v>0.93662753219058748</v>
      </c>
      <c r="GE130" s="94">
        <f>10^(-1825000*(79.755*EXP(-0.0046*($D130-20))*($D130+273.15))^-1.5*4*$EK130^0.5/(1+'Elements and ions'!$D$21*$EK130^0.5/(2*(79.755*EXP(-0.0046*($D130-20))*($D130+273.15))^0.5)))</f>
        <v>0.78033353532063621</v>
      </c>
      <c r="GF130" s="94">
        <f>10^(-1825000*(79.755*EXP(-0.0046*($D130-20))*($D130+273.15))^-1.5*4*$EK130^0.5/(1+'Elements and ions'!$D$13*$EK130^0.5/(2*(79.755*EXP(-0.0046*($D130-20))*($D130+273.15))^0.5)))</f>
        <v>0.7869506697353511</v>
      </c>
      <c r="GG130" s="95">
        <f>10^(-1825000*(79.755*EXP(-0.0046*($D130-20))*($D130+273.15))^-1.5*4*$EK130^0.5/(1+'Elements and ions'!$D$27*$EK130^0.5/(2*(79.755*EXP(-0.0046*($D130-20))*($D130+273.15))^0.5)))</f>
        <v>0.78033353532063621</v>
      </c>
      <c r="GH130" s="101">
        <f>10^(-1825000*(79.755*EXP(-0.0046*($D130-20))*($D130+273.15))^-1.5*$EK130^0.5/(1+'Elements and ions'!$G$3*$EK130^0.5/(2*(79.755*EXP(-0.0046*($D130-20))*($D130+273.15))^0.5)))</f>
        <v>0.93377841155300634</v>
      </c>
      <c r="GI130" s="94">
        <f>10^(-1825000*(79.755*EXP(-0.0046*($D130-20))*($D130+273.15))^-1.5*4*$EK130^0.5/(1+'Elements and ions'!$G$4*$EK130^0.5/(2*(79.755*EXP(-0.0046*($D130-20))*($D130+273.15))^0.5)))</f>
        <v>0.76024216284191815</v>
      </c>
      <c r="GJ130" s="94">
        <f>10^(-1825000*(79.755*EXP(-0.0046*($D130-20))*($D130+273.15))^-1.5*$EK130^0.5/(1+'Elements and ions'!$D$18*$EK130^0.5/(2*(79.755*EXP(-0.0046*($D130-20))*($D130+273.15))^0.5)))</f>
        <v>0.93662753219058748</v>
      </c>
      <c r="GK130" s="94">
        <f>10^(-1825000*(79.755*EXP(-0.0046*($D130-20))*($D130+273.15))^-1.5*$EK130^0.5/(1+'Elements and ions'!$I$7*$EK130^0.5/(2*(79.755*EXP(-0.0046*($D130-20))*($D130+273.15))^0.5)))</f>
        <v>0.93662753219058748</v>
      </c>
      <c r="GL130" s="94">
        <f>10^(-1825000*(79.755*EXP(-0.0046*($D130-20))*($D130+273.15))^-1.5*$EK130^0.5/(1+'Elements and ions'!$D$10*$EK130^0.5/(2*(79.755*EXP(-0.0046*($D130-20))*($D130+273.15))^0.5)))</f>
        <v>0.93719290033695202</v>
      </c>
      <c r="GM130" s="95">
        <f>10^(-1825000*(79.755*EXP(-0.0046*($D130-20))*($D130+273.15))^-1.5*4*$EK130^0.5/(1+'Elements and ions'!$I$5*$EK130^0.5/(2*(79.755*EXP(-0.0046*($D130-20))*($D130+273.15))^0.5)))</f>
        <v>0.77329480578569587</v>
      </c>
      <c r="GN130" s="96"/>
      <c r="GO130" s="101">
        <f t="shared" si="901"/>
        <v>0</v>
      </c>
      <c r="GP130" s="94">
        <f t="shared" si="902"/>
        <v>0</v>
      </c>
      <c r="GQ130" s="94">
        <f t="shared" si="903"/>
        <v>0</v>
      </c>
      <c r="GR130" s="94">
        <f t="shared" si="904"/>
        <v>0</v>
      </c>
      <c r="GS130" s="95" t="str">
        <f t="shared" si="905"/>
        <v/>
      </c>
      <c r="GT130" s="101">
        <f t="shared" si="906"/>
        <v>6.9282924086043213E-3</v>
      </c>
      <c r="GU130" s="94">
        <f t="shared" si="907"/>
        <v>5.6407172626303786E-5</v>
      </c>
      <c r="GV130" s="94">
        <f t="shared" si="908"/>
        <v>0</v>
      </c>
      <c r="GW130" s="94">
        <f t="shared" si="909"/>
        <v>0</v>
      </c>
      <c r="GX130" s="94">
        <f t="shared" si="910"/>
        <v>0</v>
      </c>
      <c r="GY130" s="102">
        <f t="shared" si="911"/>
        <v>0</v>
      </c>
      <c r="GZ130" s="199"/>
      <c r="HA130" s="92" t="e">
        <f>IF(AND(GQ130&lt;&gt;"",GU130&lt;&gt;""),LOG(GQ130*GU130/Minerals!$C$6),"")</f>
        <v>#NUM!</v>
      </c>
      <c r="HB130" s="94" t="e">
        <f>IF(AND(GQ130&lt;&gt;"",GU130&lt;&gt;""),LOG(GQ130*GU130/Minerals!$C$5),"")</f>
        <v>#NUM!</v>
      </c>
      <c r="HC130" s="94" t="e">
        <f>IF(AND(GQ130&lt;&gt;"",GX130&lt;&gt;""),LOG(GQ130*GX130^2/Minerals!$C$2),"")</f>
        <v>#NUM!</v>
      </c>
      <c r="HD130" s="94" t="e">
        <f>IF(AND(GQ130&lt;&gt;"",GY130&lt;&gt;""),LOG($GQ130*$GY130/Minerals!$C$3),"")</f>
        <v>#NUM!</v>
      </c>
      <c r="HE130" s="102" t="e">
        <f>IF(AND(GQ130&lt;&gt;"",GY130&lt;&gt;""),LOG($GQ130*$GY130/Minerals!$C$3),"")</f>
        <v>#NUM!</v>
      </c>
      <c r="HF130" s="199"/>
      <c r="HG130" s="92" t="e">
        <f>IF(HA130&lt;&gt;"",LOG(GQ130*GU130/(EXP(-1*Minerals!$E$6/'Other Constants'!$B$2*(1/(273.15+'ppm-mgL-1'!$D130)-1/298.15)+LN(Minerals!$C$6)))),"")</f>
        <v>#NUM!</v>
      </c>
      <c r="HH130" s="94" t="e">
        <f>IF(HA130&lt;&gt;"",LOG(GQ130*GU130/(EXP(-1*Minerals!$E$5/'Other Constants'!$B$2*(1/(273.15+'ppm-mgL-1'!$D130)-1/298.15)+LN(Minerals!$C$5)))),"")</f>
        <v>#NUM!</v>
      </c>
      <c r="HI130" s="94" t="e">
        <f>IF(HC130&lt;&gt;"",LOG(GQ130*GX130^2/(EXP(-1*Minerals!$E$2/'Other Constants'!$B$2*(1/(273.15+'ppm-mgL-1'!$D130)-1/298.15)+LN(Minerals!$C$2)))),"")</f>
        <v>#NUM!</v>
      </c>
      <c r="HJ130" s="94" t="e">
        <f>IF(HD130&lt;&gt;"",LOG($FF130*$FN130/(EXP(-1*Minerals!$E$3/'Other Constants'!$B$2*(1/(273.15+'ppm-mgL-1'!$D130)-1/298.15)+LN(Minerals!$C$3)))),"")</f>
        <v>#NUM!</v>
      </c>
      <c r="HK130" s="95" t="e">
        <f>IF(HE130&lt;&gt;"",LOG($FF130*$FN130/(EXP(-1*Minerals!$E$4/'Other Constants'!$B$2*(1/(273.15+'ppm-mgL-1'!$D130)-1/298.15)+LN(Minerals!$C$4)))),"")</f>
        <v>#NUM!</v>
      </c>
    </row>
    <row r="131" spans="1:221" x14ac:dyDescent="0.25">
      <c r="A131" s="267" t="s">
        <v>380</v>
      </c>
      <c r="C131" s="266">
        <v>42929</v>
      </c>
      <c r="D131" s="4">
        <v>16</v>
      </c>
      <c r="E131" s="4">
        <v>7.8</v>
      </c>
      <c r="AD131" s="83">
        <f>IF(E131&lt;&gt;"",10^(-2*$E131)/(10^(-2*$E131)+10^(-$E131-pKa!$B$2)+(10^(-pKa!$B$2-pKa!$C$2))),"")</f>
        <v>3.0559753903907527E-2</v>
      </c>
      <c r="AE131" s="84">
        <f>IF(E131&lt;&gt;"",10^(-$E131-pKa!$B$2)/(10^(-2*$E131)+10^(-$E131-pKa!$B$2)+10^(-pKa!$B$2-pKa!$C$2)),"")</f>
        <v>0.96638427070570176</v>
      </c>
      <c r="AF131" s="212">
        <f>IF(E131&lt;&gt;"",10^(-pKa!$B$2-pKa!$C$2)/(10^(-2*$E131)+10^(-$E131-pKa!$B$2)+10^(-pKa!$B$2-pKa!$C$2)),"")</f>
        <v>3.0559753903907382E-3</v>
      </c>
      <c r="AG131" s="152"/>
      <c r="AH131" s="222">
        <f>IF($AK131&lt;&gt;"",$AK131/'Elements and ions'!$G$3,IF($E131="","",""))</f>
        <v>4.3329021955250386</v>
      </c>
      <c r="AI131" s="287">
        <f t="shared" ref="AI131" si="928">IF($AH131&lt;&gt;"",($AH131-10^(-14+$E131)+10^(-$E131))/1000/(AE131+2*AF131),IF($E131="","",""))</f>
        <v>4.4554431006360974E-3</v>
      </c>
      <c r="AJ131" s="84">
        <f>IF(AI131&lt;&gt;"",AI131*1000*'Elements and ions'!$B$7,"")</f>
        <v>53.512990448809973</v>
      </c>
      <c r="AK131" s="99">
        <v>264.38</v>
      </c>
      <c r="AL131" s="88">
        <f>IF($AK131&lt;&gt;"",$AK131/'Elements and ions'!$G$3*Minerals!$B$6/2,IF($E131="","","Enter Alk(HCO3-)"))</f>
        <v>216.8333743766475</v>
      </c>
      <c r="AM131" s="199"/>
      <c r="AN131" s="101">
        <f t="shared" si="913"/>
        <v>1.3615724468830182E-4</v>
      </c>
      <c r="AO131" s="94">
        <f t="shared" si="914"/>
        <v>4.3056701314789659E-3</v>
      </c>
      <c r="AP131" s="95">
        <f t="shared" si="915"/>
        <v>1.3615724468830119E-5</v>
      </c>
      <c r="AQ131" s="199"/>
      <c r="AR131" s="199"/>
      <c r="AS131" s="83">
        <f t="shared" si="918"/>
        <v>0.40046248437735832</v>
      </c>
      <c r="AT131" s="83">
        <f>IF(AN131&lt;&gt;"",AN131/'Henrys law constants'!$B$7*1000000,"")</f>
        <v>4004.6248437735831</v>
      </c>
      <c r="AU131" s="268">
        <v>8.83</v>
      </c>
      <c r="AV131" s="269">
        <v>1.22</v>
      </c>
      <c r="AW131" s="269">
        <v>40.01</v>
      </c>
      <c r="AX131" s="269">
        <v>43.18</v>
      </c>
      <c r="AY131" s="226">
        <f>AO131*'Elements and ions'!$G$3*1000</f>
        <v>262.71838550523103</v>
      </c>
      <c r="AZ131" s="269">
        <v>6.09</v>
      </c>
      <c r="BA131" s="269">
        <v>1.1499999999999999</v>
      </c>
      <c r="BB131" s="270">
        <v>49.93</v>
      </c>
      <c r="BC131" s="222">
        <f>IF($E131&lt;&gt;"",10^-$E131*'Elements and ions'!B135*1000,"")</f>
        <v>0</v>
      </c>
      <c r="BE131" s="269">
        <v>4.5999999999999999E-3</v>
      </c>
      <c r="BF131" s="269">
        <v>3.4000000000000002E-4</v>
      </c>
      <c r="BG131" s="270">
        <f>'WC samples'!L102</f>
        <v>0</v>
      </c>
      <c r="BH131" s="3"/>
      <c r="BJ131" s="92">
        <f>IF($AN131&lt;&gt;"",$AN131*'Elements and ions'!$G$2*1000,"")</f>
        <v>8.4451231471980872</v>
      </c>
      <c r="BK131" s="229"/>
      <c r="BL131" s="230"/>
      <c r="BM131" s="101">
        <f>IF($E131&lt;&gt;"",(10^-14+$E131)*'Elements and ions'!$G$8,"")</f>
        <v>132.65725200000017</v>
      </c>
      <c r="BO131" s="102">
        <f>IF($AP131&lt;&gt;"",$AP131*'Elements and ions'!$G$4*1000,"")</f>
        <v>0.81706464807757972</v>
      </c>
      <c r="BP131" s="269">
        <v>1.62</v>
      </c>
      <c r="BQ131" s="270"/>
      <c r="BR131" s="195"/>
      <c r="BS131" s="238">
        <f>IF($AU131&lt;&gt;"",$AU131/'Elements and ions'!$B$12,"")</f>
        <v>0.3840838893360134</v>
      </c>
      <c r="BT131" s="239">
        <f>IF($AV131&lt;&gt;"",$AV131/'Elements and ions'!$B$20,"")</f>
        <v>3.1203402705488471E-2</v>
      </c>
      <c r="BU131" s="239">
        <f>IF($AW131&lt;&gt;"",$AW131/'Elements and ions'!$B$21, "")</f>
        <v>0.9983033085483306</v>
      </c>
      <c r="BV131" s="240">
        <f>IF($AX131&lt;&gt;"",$AX131/'Elements and ions'!$B$13, "")</f>
        <v>1.7765891791812385</v>
      </c>
      <c r="BW131" s="238">
        <f>IF($AY131&lt;&gt;"",$AY131/'Elements and ions'!$G$3,"")</f>
        <v>4.3056701314789665</v>
      </c>
      <c r="BX131" s="239">
        <f>IF($AZ131&lt;&gt;"",$AZ131/'Elements and ions'!$B$18,"")</f>
        <v>0.17177671847234366</v>
      </c>
      <c r="BY131" s="239">
        <f>IF($BA131&lt;&gt;"",$BA131/'Elements and ions'!$G$7,"")</f>
        <v>1.8546921291704363E-2</v>
      </c>
      <c r="BZ131" s="241">
        <f>IF($BB131&lt;&gt;"",$BB131/'Elements and ions'!$G$5,"")</f>
        <v>0.51976523641875194</v>
      </c>
      <c r="CA131" s="91">
        <f t="shared" si="919"/>
        <v>1.5848931924611134E-5</v>
      </c>
      <c r="CB131" s="163" t="str">
        <f>IF($BD131&lt;&gt;"",$BD131/'Elements and ions'!$B$14,"")</f>
        <v/>
      </c>
      <c r="CC131" s="89">
        <f>IF($BE131&lt;&gt;"",$BE131/'Elements and ions'!$B$27, "")</f>
        <v>8.2370847882532006E-5</v>
      </c>
      <c r="CD131" s="249">
        <f>IF($BF131&lt;&gt;"",$BF131/'Elements and ions'!$B$26,"")</f>
        <v>6.188794641231934E-6</v>
      </c>
      <c r="CE131" s="250">
        <f>IF($BG131&lt;&gt;"",$BG131/'Elements and ions'!$G$6,"")</f>
        <v>0</v>
      </c>
      <c r="CF131" s="91" t="str">
        <f>IF($BH131&lt;&gt;"",$BH131/'Elements and ions'!$G$15,"")</f>
        <v/>
      </c>
      <c r="CG131" s="89" t="str">
        <f>IF($BI131&lt;&gt;"",$BI131/'Elements and ions'!$G$16,"")</f>
        <v/>
      </c>
      <c r="CH131" s="90">
        <f>IF($BJ131&lt;&gt;"",$BJ131/'Elements and ions'!$G$2,"")</f>
        <v>0.13615724468830182</v>
      </c>
      <c r="CI131" s="91" t="str">
        <f>IF($BK131&lt;&gt;"",$BK131/'Elements and ions'!$B$15, "")</f>
        <v/>
      </c>
      <c r="CJ131" s="88" t="str">
        <f>IF($BL131&lt;&gt;"", $BL131/'Elements and ions'!$G$17,"")</f>
        <v/>
      </c>
      <c r="CK131" s="89">
        <f t="shared" si="920"/>
        <v>6.3095734448019255E-4</v>
      </c>
      <c r="CL131" s="163" t="str">
        <f>IF($BN131&lt;&gt;"", $BN131/'Elements and ions'!$G$19,"")</f>
        <v/>
      </c>
      <c r="CM131" s="89">
        <f>IF($BO131&lt;&gt;"",$BO131/'Elements and ions'!$G$4,"")</f>
        <v>1.361572446883012E-2</v>
      </c>
      <c r="CN131" s="89">
        <f>IF($BP131&lt;&gt;"",$BP131/'Elements and ions'!$B$10,"")</f>
        <v>8.527032419229845E-2</v>
      </c>
      <c r="CO131" s="104" t="str">
        <f>IF($BQ131&lt;&gt;"",$BQ131/'Elements and ions'!$G$18,"")</f>
        <v/>
      </c>
      <c r="CP131" s="242"/>
      <c r="CQ131" s="238">
        <f t="shared" si="849"/>
        <v>3.8408388933601338E-4</v>
      </c>
      <c r="CR131" s="239">
        <f t="shared" si="850"/>
        <v>3.1203402705488469E-5</v>
      </c>
      <c r="CS131" s="239">
        <f t="shared" si="851"/>
        <v>9.9830330854833063E-4</v>
      </c>
      <c r="CT131" s="241">
        <f t="shared" si="852"/>
        <v>1.7765891791812385E-3</v>
      </c>
      <c r="CU131" s="238">
        <f t="shared" si="853"/>
        <v>4.3056701314789668E-3</v>
      </c>
      <c r="CV131" s="239">
        <f t="shared" si="854"/>
        <v>1.7177671847234366E-4</v>
      </c>
      <c r="CW131" s="239">
        <f t="shared" si="855"/>
        <v>1.8546921291704362E-5</v>
      </c>
      <c r="CX131" s="241">
        <f t="shared" si="856"/>
        <v>5.1976523641875192E-4</v>
      </c>
      <c r="CY131" s="258">
        <f t="shared" si="924"/>
        <v>1.5848931924611133E-8</v>
      </c>
      <c r="CZ131" s="259" t="str">
        <f t="shared" si="857"/>
        <v/>
      </c>
      <c r="DA131" s="260">
        <f t="shared" si="858"/>
        <v>8.237084788253201E-8</v>
      </c>
      <c r="DB131" s="261">
        <f t="shared" si="859"/>
        <v>6.1887946412319342E-9</v>
      </c>
      <c r="DC131" s="262">
        <f t="shared" si="860"/>
        <v>0</v>
      </c>
      <c r="DD131" s="263" t="str">
        <f t="shared" si="861"/>
        <v/>
      </c>
      <c r="DE131" s="259" t="str">
        <f t="shared" si="862"/>
        <v/>
      </c>
      <c r="DF131" s="260">
        <f t="shared" si="863"/>
        <v>1.3615724468830182E-4</v>
      </c>
      <c r="DG131" s="260" t="str">
        <f t="shared" si="864"/>
        <v/>
      </c>
      <c r="DH131" s="264" t="str">
        <f t="shared" si="865"/>
        <v/>
      </c>
      <c r="DI131" s="258">
        <f t="shared" si="925"/>
        <v>6.3095734448019254E-7</v>
      </c>
      <c r="DJ131" s="260" t="str">
        <f t="shared" si="866"/>
        <v/>
      </c>
      <c r="DK131" s="260">
        <f t="shared" si="867"/>
        <v>1.361572446883012E-5</v>
      </c>
      <c r="DL131" s="260">
        <f t="shared" si="868"/>
        <v>8.5270324192298456E-5</v>
      </c>
      <c r="DM131" s="265" t="str">
        <f t="shared" si="869"/>
        <v/>
      </c>
      <c r="DN131" s="242"/>
      <c r="DO131" s="238">
        <f t="shared" si="870"/>
        <v>0.3840838893360134</v>
      </c>
      <c r="DP131" s="239">
        <f t="shared" si="871"/>
        <v>3.1203402705488471E-2</v>
      </c>
      <c r="DQ131" s="239">
        <f t="shared" si="872"/>
        <v>1.9966066170966612</v>
      </c>
      <c r="DR131" s="241">
        <f t="shared" si="873"/>
        <v>3.553178358362477</v>
      </c>
      <c r="DS131" s="238">
        <f t="shared" si="874"/>
        <v>-4.3056701314789665</v>
      </c>
      <c r="DT131" s="239">
        <f t="shared" si="875"/>
        <v>-0.17177671847234366</v>
      </c>
      <c r="DU131" s="239">
        <f t="shared" si="876"/>
        <v>-1.8546921291704363E-2</v>
      </c>
      <c r="DV131" s="241">
        <f t="shared" si="877"/>
        <v>-1.0395304728375039</v>
      </c>
      <c r="DW131" s="91">
        <f t="shared" si="926"/>
        <v>1.5848931924611134E-5</v>
      </c>
      <c r="DX131" s="89">
        <f t="shared" si="878"/>
        <v>0</v>
      </c>
      <c r="DY131" s="89">
        <f t="shared" si="879"/>
        <v>1.6474169576506401E-4</v>
      </c>
      <c r="DZ131" s="89">
        <f t="shared" si="880"/>
        <v>1.2377589282463868E-5</v>
      </c>
      <c r="EA131" s="90">
        <f t="shared" si="881"/>
        <v>0</v>
      </c>
      <c r="EB131" s="91">
        <f t="shared" si="927"/>
        <v>-6.3095734448019255E-4</v>
      </c>
      <c r="EC131" s="89">
        <f t="shared" si="882"/>
        <v>0</v>
      </c>
      <c r="ED131" s="89">
        <f t="shared" si="883"/>
        <v>-2.7231448937660239E-2</v>
      </c>
      <c r="EE131" s="89">
        <f t="shared" si="884"/>
        <v>-8.527032419229845E-2</v>
      </c>
      <c r="EF131" s="90">
        <f t="shared" si="885"/>
        <v>0</v>
      </c>
      <c r="EG131" s="242"/>
      <c r="EH131" s="245">
        <f t="shared" si="886"/>
        <v>5.9652652357176112</v>
      </c>
      <c r="EI131" s="246">
        <f t="shared" si="887"/>
        <v>-5.6486569745549566</v>
      </c>
      <c r="EJ131" s="198">
        <f t="shared" si="888"/>
        <v>2.7261097106592738</v>
      </c>
      <c r="EK131" s="198">
        <f t="shared" si="889"/>
        <v>1.5677236073723223E-2</v>
      </c>
      <c r="EL131" s="101">
        <f>IF(AND(CS131&lt;&gt;"",DK131&lt;&gt;""),LOG(CS131*DK131/Minerals!$C$6),"")</f>
        <v>0.61347527100496513</v>
      </c>
      <c r="EM131" s="94">
        <f>IF(AND(CS131&lt;&gt;"",DK131&lt;&gt;""),LOG(CS131*DK131/Minerals!$C$5),"")</f>
        <v>0.48299574164874742</v>
      </c>
      <c r="EN131" s="94">
        <f>IF(AND(CS131&lt;&gt;"",DL131&lt;&gt;""),LOG(CS131*DL131^2/Minerals!$C$2),"")</f>
        <v>-0.56921671681772046</v>
      </c>
      <c r="EO131" s="94">
        <f>IF(AND(CS131&lt;&gt;"",CX131&lt;&gt;""),LOG($CS131*$CX131/Minerals!$C$3),"")</f>
        <v>-1.6849498955075246</v>
      </c>
      <c r="EP131" s="95">
        <f>IF(AND(CS131&lt;&gt;"",CX131&lt;&gt;""),LOG($CS131*$CX131/Minerals!$C$4),"")</f>
        <v>-1.9249344069734269</v>
      </c>
      <c r="EQ131" s="199"/>
      <c r="ER131" s="101">
        <f t="shared" si="921"/>
        <v>0.8797554840316375</v>
      </c>
      <c r="ES131" s="94">
        <f t="shared" si="921"/>
        <v>0.8797554840316375</v>
      </c>
      <c r="ET131" s="94">
        <f t="shared" si="922"/>
        <v>0.59902911460381281</v>
      </c>
      <c r="EU131" s="94">
        <f t="shared" si="922"/>
        <v>0.59902911460381281</v>
      </c>
      <c r="EV131" s="95">
        <f t="shared" si="922"/>
        <v>0.59902911460381281</v>
      </c>
      <c r="EW131" s="101">
        <f t="shared" si="923"/>
        <v>0.8797554840316375</v>
      </c>
      <c r="EX131" s="94">
        <f t="shared" si="916"/>
        <v>0.59902911460381281</v>
      </c>
      <c r="EY131" s="94">
        <f t="shared" si="923"/>
        <v>0.8797554840316375</v>
      </c>
      <c r="EZ131" s="94">
        <f t="shared" si="923"/>
        <v>0.8797554840316375</v>
      </c>
      <c r="FA131" s="94">
        <f t="shared" si="923"/>
        <v>0.8797554840316375</v>
      </c>
      <c r="FB131" s="95">
        <f t="shared" si="917"/>
        <v>0.59902911460381281</v>
      </c>
      <c r="FC131" s="199"/>
      <c r="FD131" s="101">
        <f t="shared" si="890"/>
        <v>3.3789990797155836E-4</v>
      </c>
      <c r="FE131" s="94">
        <f t="shared" si="891"/>
        <v>2.7451364650601115E-5</v>
      </c>
      <c r="FF131" s="94">
        <f t="shared" si="892"/>
        <v>5.9801274702576349E-4</v>
      </c>
      <c r="FG131" s="94">
        <f t="shared" si="893"/>
        <v>1.0642286430196518E-3</v>
      </c>
      <c r="FH131" s="95">
        <f t="shared" si="894"/>
        <v>4.9342536076238496E-8</v>
      </c>
      <c r="FI131" s="101">
        <f t="shared" si="895"/>
        <v>3.7879369105998425E-3</v>
      </c>
      <c r="FJ131" s="94">
        <f t="shared" si="896"/>
        <v>8.1562153732527772E-6</v>
      </c>
      <c r="FK131" s="94">
        <f t="shared" si="897"/>
        <v>1.5112151010500302E-4</v>
      </c>
      <c r="FL131" s="94">
        <f t="shared" si="898"/>
        <v>1.6316755718280053E-5</v>
      </c>
      <c r="FM131" s="94">
        <f t="shared" si="899"/>
        <v>7.5017035333330178E-5</v>
      </c>
      <c r="FN131" s="95">
        <f t="shared" si="900"/>
        <v>3.1135450937376638E-4</v>
      </c>
      <c r="FO131" s="199"/>
      <c r="FP131" s="101">
        <f>IF(EL131&lt;&gt;"",LOG(FF131*FJ131/Minerals!$C$6),"")</f>
        <v>0.16837113282698715</v>
      </c>
      <c r="FQ131" s="94">
        <f>IF(EL131&lt;&gt;"",LOG(FF131*FJ131/Minerals!$C$5),"")</f>
        <v>3.7891603470769412E-2</v>
      </c>
      <c r="FR131" s="94">
        <f>IF(EN131&lt;&gt;"",LOG(FF131*FM131^2/Minerals!$C$2),"")</f>
        <v>-0.90304482045120393</v>
      </c>
      <c r="FS131" s="94">
        <f>IF(EO131&lt;&gt;"",LOG($FF131*$FN131/Minerals!$C$3),"")</f>
        <v>-2.1300540336855027</v>
      </c>
      <c r="FT131" s="95">
        <f>IF(EP131&lt;&gt;"",LOG($FF131*$FN131/Minerals!$C$4),"")</f>
        <v>-2.370038545151405</v>
      </c>
      <c r="FU131" s="96"/>
      <c r="FV131" s="101">
        <f>IF(FP131&lt;&gt;"",LOG(FF131*FJ131/(EXP(-1*Minerals!$E$6/'Other Constants'!$B$2*(1/(273.15+'ppm-mgL-1'!$D131)-1/298.15)+LN(Minerals!$C$6)))),"")</f>
        <v>-3.4509505582372473</v>
      </c>
      <c r="FW131" s="94">
        <f>IF(FP131&lt;&gt;"",LOG(FF131*FJ131/(EXP(-1*Minerals!$E$5/'Other Constants'!$B$2*(1/(273.15+'ppm-mgL-1'!$D131)-1/298.15)+LN(Minerals!$C$5)))),"")</f>
        <v>-3.5817572851416148</v>
      </c>
      <c r="FX131" s="94">
        <f>IF(FR131&lt;&gt;"",LOG(FF131*FM131^2/(EXP(-1*Minerals!$E$2/'Other Constants'!$B$2*(1/(273.15+'ppm-mgL-1'!$D131)-1/298.15)+LN(Minerals!$C$2)))),"")</f>
        <v>-0.75002543376647401</v>
      </c>
      <c r="FY131" s="94">
        <f>IF(FS131&lt;&gt;"",LOG($FF131*$FN131/(EXP(-1*Minerals!$E$3/'Other Constants'!$B$2*(1/(273.15+'ppm-mgL-1'!$D131)-1/298.15)+LN(Minerals!$C$3)))),"")</f>
        <v>0.98992728011210185</v>
      </c>
      <c r="FZ131" s="95">
        <f>IF(FT131&lt;&gt;"",LOG($FF131*$FN131/(EXP(-1*Minerals!$E$4/'Other Constants'!$B$2*(1/(273.15+'ppm-mgL-1'!$D131)-1/298.15)+LN(Minerals!$C$4)))),"")</f>
        <v>-2.4594180087209949</v>
      </c>
      <c r="GA131" s="96"/>
      <c r="GB131" s="96"/>
      <c r="GC131" s="101">
        <f>10^(-1825000*(79.755*EXP(-0.0046*($D131-20))*($D131+273.15))^-1.5*$EK131^0.5/(1+'Elements and ions'!$D$12*$EK131^0.5/(2*(79.755*EXP(-0.0046*($D131-20))*($D131+273.15))^0.5)))</f>
        <v>0.88194468432251238</v>
      </c>
      <c r="GD131" s="94">
        <f>10^(-1825000*(79.755*EXP(-0.0046*($D131-20))*($D131+273.15))^-1.5*$EK131^0.5/(1+'Elements and ions'!$D$20*$EK131^0.5/(2*(79.755*EXP(-0.0046*($D131-20))*($D131+273.15))^0.5)))</f>
        <v>0.87792220388910325</v>
      </c>
      <c r="GE131" s="94">
        <f>10^(-1825000*(79.755*EXP(-0.0046*($D131-20))*($D131+273.15))^-1.5*4*$EK131^0.5/(1+'Elements and ions'!$D$21*$EK131^0.5/(2*(79.755*EXP(-0.0046*($D131-20))*($D131+273.15))^0.5)))</f>
        <v>0.62529465646082771</v>
      </c>
      <c r="GF131" s="94">
        <f>10^(-1825000*(79.755*EXP(-0.0046*($D131-20))*($D131+273.15))^-1.5*4*$EK131^0.5/(1+'Elements and ions'!$D$13*$EK131^0.5/(2*(79.755*EXP(-0.0046*($D131-20))*($D131+273.15))^0.5)))</f>
        <v>0.64363646881556502</v>
      </c>
      <c r="GG131" s="95">
        <f>10^(-1825000*(79.755*EXP(-0.0046*($D131-20))*($D131+273.15))^-1.5*4*$EK131^0.5/(1+'Elements and ions'!$D$27*$EK131^0.5/(2*(79.755*EXP(-0.0046*($D131-20))*($D131+273.15))^0.5)))</f>
        <v>0.62529465646082771</v>
      </c>
      <c r="GH131" s="101">
        <f>10^(-1825000*(79.755*EXP(-0.0046*($D131-20))*($D131+273.15))^-1.5*$EK131^0.5/(1+'Elements and ions'!$G$3*$EK131^0.5/(2*(79.755*EXP(-0.0046*($D131-20))*($D131+273.15))^0.5)))</f>
        <v>0.86710257644698896</v>
      </c>
      <c r="GI131" s="94">
        <f>10^(-1825000*(79.755*EXP(-0.0046*($D131-20))*($D131+273.15))^-1.5*4*$EK131^0.5/(1+'Elements and ions'!$G$4*$EK131^0.5/(2*(79.755*EXP(-0.0046*($D131-20))*($D131+273.15))^0.5)))</f>
        <v>0.56517423615201656</v>
      </c>
      <c r="GJ131" s="94">
        <f>10^(-1825000*(79.755*EXP(-0.0046*($D131-20))*($D131+273.15))^-1.5*$EK131^0.5/(1+'Elements and ions'!$D$18*$EK131^0.5/(2*(79.755*EXP(-0.0046*($D131-20))*($D131+273.15))^0.5)))</f>
        <v>0.87792220388910325</v>
      </c>
      <c r="GK131" s="94">
        <f>10^(-1825000*(79.755*EXP(-0.0046*($D131-20))*($D131+273.15))^-1.5*$EK131^0.5/(1+'Elements and ions'!$I$7*$EK131^0.5/(2*(79.755*EXP(-0.0046*($D131-20))*($D131+273.15))^0.5)))</f>
        <v>0.87792220388910325</v>
      </c>
      <c r="GL131" s="94">
        <f>10^(-1825000*(79.755*EXP(-0.0046*($D131-20))*($D131+273.15))^-1.5*$EK131^0.5/(1+'Elements and ions'!$D$10*$EK131^0.5/(2*(79.755*EXP(-0.0046*($D131-20))*($D131+273.15))^0.5)))</f>
        <v>0.87996708552154346</v>
      </c>
      <c r="GM131" s="95">
        <f>10^(-1825000*(79.755*EXP(-0.0046*($D131-20))*($D131+273.15))^-1.5*4*$EK131^0.5/(1+'Elements and ions'!$I$5*$EK131^0.5/(2*(79.755*EXP(-0.0046*($D131-20))*($D131+273.15))^0.5)))</f>
        <v>0.60501394930243191</v>
      </c>
      <c r="GN131" s="96"/>
      <c r="GO131" s="101">
        <f t="shared" si="901"/>
        <v>3.387407445338131E-4</v>
      </c>
      <c r="GP131" s="94">
        <f t="shared" si="902"/>
        <v>2.7394160072041643E-5</v>
      </c>
      <c r="GQ131" s="94">
        <f t="shared" si="903"/>
        <v>6.2423372436243611E-4</v>
      </c>
      <c r="GR131" s="94">
        <f t="shared" si="904"/>
        <v>1.1434775858241554E-3</v>
      </c>
      <c r="GS131" s="95">
        <f t="shared" si="905"/>
        <v>5.1506051029094951E-8</v>
      </c>
      <c r="GT131" s="101">
        <f t="shared" si="906"/>
        <v>3.7334576643362578E-3</v>
      </c>
      <c r="GU131" s="94">
        <f t="shared" si="907"/>
        <v>7.695256676327384E-6</v>
      </c>
      <c r="GV131" s="94">
        <f t="shared" si="908"/>
        <v>1.5080659525807798E-4</v>
      </c>
      <c r="GW131" s="94">
        <f t="shared" si="909"/>
        <v>1.6282754015770825E-5</v>
      </c>
      <c r="GX131" s="94">
        <f t="shared" si="910"/>
        <v>7.5035078660974031E-5</v>
      </c>
      <c r="GY131" s="102">
        <f t="shared" si="911"/>
        <v>3.1446521839582133E-4</v>
      </c>
      <c r="GZ131" s="199"/>
      <c r="HA131" s="92">
        <f>IF(AND(GQ131&lt;&gt;"",GU131&lt;&gt;""),LOG(GQ131*GU131/Minerals!$C$6),"")</f>
        <v>0.16174234440133523</v>
      </c>
      <c r="HB131" s="94">
        <f>IF(AND(GQ131&lt;&gt;"",GU131&lt;&gt;""),LOG(GQ131*GU131/Minerals!$C$5),"")</f>
        <v>3.1262815045117499E-2</v>
      </c>
      <c r="HC131" s="94">
        <f>IF(AND(GQ131&lt;&gt;"",GX131&lt;&gt;""),LOG(GQ131*GX131^2/Minerals!$C$2),"")</f>
        <v>-0.88419914342362027</v>
      </c>
      <c r="HD131" s="94">
        <f>IF(AND(GQ131&lt;&gt;"",GY131&lt;&gt;""),LOG($GQ131*$GY131/Minerals!$C$3),"")</f>
        <v>-2.1070997901987698</v>
      </c>
      <c r="HE131" s="102">
        <f>IF(AND(GQ131&lt;&gt;"",GY131&lt;&gt;""),LOG($GQ131*$GY131/Minerals!$C$3),"")</f>
        <v>-2.1070997901987698</v>
      </c>
      <c r="HF131" s="199"/>
      <c r="HG131" s="92">
        <f>IF(HA131&lt;&gt;"",LOG(GQ131*GU131/(EXP(-1*Minerals!$E$6/'Other Constants'!$B$2*(1/(273.15+'ppm-mgL-1'!$D131)-1/298.15)+LN(Minerals!$C$6)))),"")</f>
        <v>-3.4575793466628992</v>
      </c>
      <c r="HH131" s="94">
        <f>IF(HA131&lt;&gt;"",LOG(GQ131*GU131/(EXP(-1*Minerals!$E$5/'Other Constants'!$B$2*(1/(273.15+'ppm-mgL-1'!$D131)-1/298.15)+LN(Minerals!$C$5)))),"")</f>
        <v>-3.5883860735672668</v>
      </c>
      <c r="HI131" s="94">
        <f>IF(HC131&lt;&gt;"",LOG(GQ131*GX131^2/(EXP(-1*Minerals!$E$2/'Other Constants'!$B$2*(1/(273.15+'ppm-mgL-1'!$D131)-1/298.15)+LN(Minerals!$C$2)))),"")</f>
        <v>-0.73117975673889035</v>
      </c>
      <c r="HJ131" s="94">
        <f>IF(HD131&lt;&gt;"",LOG($FF131*$FN131/(EXP(-1*Minerals!$E$3/'Other Constants'!$B$2*(1/(273.15+'ppm-mgL-1'!$D131)-1/298.15)+LN(Minerals!$C$3)))),"")</f>
        <v>0.98992728011210185</v>
      </c>
      <c r="HK131" s="95">
        <f>IF(HE131&lt;&gt;"",LOG($FF131*$FN131/(EXP(-1*Minerals!$E$4/'Other Constants'!$B$2*(1/(273.15+'ppm-mgL-1'!$D131)-1/298.15)+LN(Minerals!$C$4)))),"")</f>
        <v>-2.4594180087209949</v>
      </c>
      <c r="HL131" s="199"/>
      <c r="HM131" s="199"/>
    </row>
  </sheetData>
  <mergeCells count="48">
    <mergeCell ref="I1:J1"/>
    <mergeCell ref="U1:V1"/>
    <mergeCell ref="EH1:EI1"/>
    <mergeCell ref="K1:L1"/>
    <mergeCell ref="M1:N1"/>
    <mergeCell ref="O1:P1"/>
    <mergeCell ref="Q1:R1"/>
    <mergeCell ref="S1:T1"/>
    <mergeCell ref="AA1:AB1"/>
    <mergeCell ref="Y1:Z1"/>
    <mergeCell ref="W1:X1"/>
    <mergeCell ref="AD1:AF1"/>
    <mergeCell ref="AH1:AL1"/>
    <mergeCell ref="AN1:AP1"/>
    <mergeCell ref="AU1:AX1"/>
    <mergeCell ref="AY1:BB1"/>
    <mergeCell ref="BM1:BQ1"/>
    <mergeCell ref="DD1:DH1"/>
    <mergeCell ref="CY1:DC1"/>
    <mergeCell ref="CU1:CX1"/>
    <mergeCell ref="CQ1:CT1"/>
    <mergeCell ref="CI1:CO1"/>
    <mergeCell ref="FD1:FH1"/>
    <mergeCell ref="CF1:CH1"/>
    <mergeCell ref="CA1:CE1"/>
    <mergeCell ref="BW1:BZ1"/>
    <mergeCell ref="BS1:BV1"/>
    <mergeCell ref="EB1:EF1"/>
    <mergeCell ref="DW1:EA1"/>
    <mergeCell ref="DS1:DV1"/>
    <mergeCell ref="DO1:DR1"/>
    <mergeCell ref="DI1:DM1"/>
    <mergeCell ref="A1:C1"/>
    <mergeCell ref="D1:H1"/>
    <mergeCell ref="BH1:BL1"/>
    <mergeCell ref="BC1:BG1"/>
    <mergeCell ref="HG1:HK1"/>
    <mergeCell ref="GC1:GG1"/>
    <mergeCell ref="EL1:EP1"/>
    <mergeCell ref="FV1:FZ1"/>
    <mergeCell ref="FP1:FT1"/>
    <mergeCell ref="HA1:HE1"/>
    <mergeCell ref="GH1:GM1"/>
    <mergeCell ref="GO1:GS1"/>
    <mergeCell ref="GT1:GY1"/>
    <mergeCell ref="FI1:FN1"/>
    <mergeCell ref="ER1:EV1"/>
    <mergeCell ref="EW1:FB1"/>
  </mergeCells>
  <conditionalFormatting sqref="FX3:GB17 FV18:HM26 ER3:FU27 ER28:HM118 HL119:HM123 ER119:HK130">
    <cfRule type="expression" dxfId="16" priority="93" stopIfTrue="1">
      <formula>$EK3&gt;0.1</formula>
    </cfRule>
  </conditionalFormatting>
  <conditionalFormatting sqref="EJ3:EJ26 EJ28:EJ130">
    <cfRule type="cellIs" dxfId="15" priority="92" stopIfTrue="1" operator="lessThan">
      <formula>-5</formula>
    </cfRule>
    <cfRule type="cellIs" dxfId="14" priority="95" stopIfTrue="1" operator="greaterThan">
      <formula>5</formula>
    </cfRule>
    <cfRule type="colorScale" priority="96">
      <colorScale>
        <cfvo type="num" val="-5"/>
        <cfvo type="num" val="0"/>
        <cfvo type="num" val="5"/>
        <color theme="5" tint="0.59999389629810485"/>
        <color theme="0"/>
        <color theme="5" tint="0.59999389629810485"/>
      </colorScale>
    </cfRule>
  </conditionalFormatting>
  <conditionalFormatting sqref="EN3:EQ17">
    <cfRule type="colorScale" priority="94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P3:GB17">
    <cfRule type="colorScale" priority="101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GC3:HK17">
    <cfRule type="expression" dxfId="13" priority="85" stopIfTrue="1">
      <formula>$EK3&gt;0.1</formula>
    </cfRule>
  </conditionalFormatting>
  <conditionalFormatting sqref="HA3:HK17">
    <cfRule type="colorScale" priority="9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V3:FW17">
    <cfRule type="expression" dxfId="12" priority="98" stopIfTrue="1">
      <formula>$EK3&gt;0.1</formula>
    </cfRule>
  </conditionalFormatting>
  <conditionalFormatting sqref="HL3:HL17">
    <cfRule type="expression" dxfId="11" priority="73" stopIfTrue="1">
      <formula>$EK3&gt;0.1</formula>
    </cfRule>
  </conditionalFormatting>
  <conditionalFormatting sqref="HL3:HL17">
    <cfRule type="colorScale" priority="74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M3:HM17">
    <cfRule type="expression" dxfId="10" priority="69" stopIfTrue="1">
      <formula>$EK3&gt;0.1</formula>
    </cfRule>
  </conditionalFormatting>
  <conditionalFormatting sqref="HM3:HM17">
    <cfRule type="colorScale" priority="7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X27:GB27">
    <cfRule type="expression" dxfId="9" priority="46" stopIfTrue="1">
      <formula>$EK27&gt;0.1</formula>
    </cfRule>
  </conditionalFormatting>
  <conditionalFormatting sqref="EK27:EM27">
    <cfRule type="colorScale" priority="50">
      <colorScale>
        <cfvo type="min"/>
        <cfvo type="max"/>
        <color theme="9" tint="0.79998168889431442"/>
        <color theme="9" tint="0.39997558519241921"/>
      </colorScale>
    </cfRule>
  </conditionalFormatting>
  <conditionalFormatting sqref="EJ27">
    <cfRule type="cellIs" dxfId="8" priority="45" stopIfTrue="1" operator="lessThan">
      <formula>-5</formula>
    </cfRule>
    <cfRule type="cellIs" dxfId="7" priority="48" stopIfTrue="1" operator="greaterThan">
      <formula>5</formula>
    </cfRule>
    <cfRule type="colorScale" priority="49">
      <colorScale>
        <cfvo type="num" val="-5"/>
        <cfvo type="num" val="0"/>
        <cfvo type="num" val="5"/>
        <color theme="5" tint="0.59999389629810485"/>
        <color theme="0"/>
        <color theme="5" tint="0.59999389629810485"/>
      </colorScale>
    </cfRule>
  </conditionalFormatting>
  <conditionalFormatting sqref="EN27:EQ27">
    <cfRule type="colorScale" priority="47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P27:GB27">
    <cfRule type="colorScale" priority="52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GC27:HK27">
    <cfRule type="expression" dxfId="6" priority="43" stopIfTrue="1">
      <formula>$EK27&gt;0.1</formula>
    </cfRule>
  </conditionalFormatting>
  <conditionalFormatting sqref="HA27:HK27">
    <cfRule type="colorScale" priority="44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V27:FW27">
    <cfRule type="expression" dxfId="5" priority="51" stopIfTrue="1">
      <formula>$EK27&gt;0.1</formula>
    </cfRule>
  </conditionalFormatting>
  <conditionalFormatting sqref="HL27">
    <cfRule type="expression" dxfId="4" priority="41" stopIfTrue="1">
      <formula>$EK27&gt;0.1</formula>
    </cfRule>
  </conditionalFormatting>
  <conditionalFormatting sqref="HL27">
    <cfRule type="colorScale" priority="42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M27">
    <cfRule type="expression" dxfId="3" priority="39" stopIfTrue="1">
      <formula>$EK27&gt;0.1</formula>
    </cfRule>
  </conditionalFormatting>
  <conditionalFormatting sqref="HM27">
    <cfRule type="colorScale" priority="4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EK3:EM17 EK18:EK26">
    <cfRule type="colorScale" priority="115">
      <colorScale>
        <cfvo type="min"/>
        <cfvo type="max"/>
        <color theme="9" tint="0.79998168889431442"/>
        <color theme="9" tint="0.39997558519241921"/>
      </colorScale>
    </cfRule>
  </conditionalFormatting>
  <conditionalFormatting sqref="EL18:EM26">
    <cfRule type="colorScale" priority="118">
      <colorScale>
        <cfvo type="min"/>
        <cfvo type="max"/>
        <color theme="9" tint="0.79998168889431442"/>
        <color theme="9" tint="0.39997558519241921"/>
      </colorScale>
    </cfRule>
  </conditionalFormatting>
  <conditionalFormatting sqref="EN18:EQ26">
    <cfRule type="colorScale" priority="119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P18:GB26">
    <cfRule type="colorScale" priority="12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A18:HK26">
    <cfRule type="colorScale" priority="122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L18:HL26">
    <cfRule type="colorScale" priority="125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M18:HM26">
    <cfRule type="colorScale" priority="127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EK28:EM130">
    <cfRule type="colorScale" priority="200">
      <colorScale>
        <cfvo type="min"/>
        <cfvo type="max"/>
        <color theme="9" tint="0.79998168889431442"/>
        <color theme="9" tint="0.39997558519241921"/>
      </colorScale>
    </cfRule>
  </conditionalFormatting>
  <conditionalFormatting sqref="EN28:EQ130">
    <cfRule type="colorScale" priority="202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P28:GB130">
    <cfRule type="colorScale" priority="204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A28:HK130">
    <cfRule type="colorScale" priority="206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L28:HL123">
    <cfRule type="colorScale" priority="208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M28:HM123">
    <cfRule type="colorScale" priority="21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ER131:HM131">
    <cfRule type="expression" dxfId="2" priority="2" stopIfTrue="1">
      <formula>$EK131&gt;0.1</formula>
    </cfRule>
  </conditionalFormatting>
  <conditionalFormatting sqref="EJ131">
    <cfRule type="cellIs" dxfId="1" priority="1" stopIfTrue="1" operator="lessThan">
      <formula>-5</formula>
    </cfRule>
    <cfRule type="cellIs" dxfId="0" priority="3" stopIfTrue="1" operator="greaterThan">
      <formula>5</formula>
    </cfRule>
    <cfRule type="colorScale" priority="4">
      <colorScale>
        <cfvo type="num" val="-5"/>
        <cfvo type="num" val="0"/>
        <cfvo type="num" val="5"/>
        <color theme="5" tint="0.59999389629810485"/>
        <color theme="0"/>
        <color theme="5" tint="0.59999389629810485"/>
      </colorScale>
    </cfRule>
  </conditionalFormatting>
  <conditionalFormatting sqref="EK131:EM131">
    <cfRule type="colorScale" priority="5">
      <colorScale>
        <cfvo type="min"/>
        <cfvo type="max"/>
        <color theme="9" tint="0.79998168889431442"/>
        <color theme="9" tint="0.39997558519241921"/>
      </colorScale>
    </cfRule>
  </conditionalFormatting>
  <conditionalFormatting sqref="EN131:EQ131">
    <cfRule type="colorScale" priority="6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FP131:GB131">
    <cfRule type="colorScale" priority="7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A131:HK131">
    <cfRule type="colorScale" priority="8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L131">
    <cfRule type="colorScale" priority="9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conditionalFormatting sqref="HM131">
    <cfRule type="colorScale" priority="10">
      <colorScale>
        <cfvo type="min"/>
        <cfvo type="num" val="0"/>
        <cfvo type="max"/>
        <color theme="9" tint="0.39997558519241921"/>
        <color rgb="FFFCFCFF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5" sqref="E5"/>
    </sheetView>
  </sheetViews>
  <sheetFormatPr defaultRowHeight="15" x14ac:dyDescent="0.25"/>
  <cols>
    <col min="1" max="1" width="16.42578125" bestFit="1" customWidth="1"/>
    <col min="2" max="4" width="5.28515625" bestFit="1" customWidth="1"/>
  </cols>
  <sheetData>
    <row r="1" spans="1:4" ht="15.75" thickBot="1" x14ac:dyDescent="0.3">
      <c r="A1" s="178" t="s">
        <v>225</v>
      </c>
      <c r="B1" s="153" t="s">
        <v>226</v>
      </c>
      <c r="C1" s="154" t="s">
        <v>227</v>
      </c>
      <c r="D1" s="177" t="s">
        <v>228</v>
      </c>
    </row>
    <row r="2" spans="1:4" x14ac:dyDescent="0.25">
      <c r="A2" s="187" t="s">
        <v>334</v>
      </c>
      <c r="B2" s="130">
        <v>6.3</v>
      </c>
      <c r="C2" s="157">
        <v>10.3</v>
      </c>
      <c r="D2" s="158"/>
    </row>
    <row r="3" spans="1:4" x14ac:dyDescent="0.25">
      <c r="A3" s="202" t="s">
        <v>333</v>
      </c>
      <c r="B3" s="101">
        <v>7</v>
      </c>
      <c r="C3" s="94">
        <v>14</v>
      </c>
      <c r="D3" s="15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workbookViewId="0">
      <selection activeCell="G23" sqref="G23"/>
    </sheetView>
  </sheetViews>
  <sheetFormatPr defaultRowHeight="15" x14ac:dyDescent="0.25"/>
  <cols>
    <col min="1" max="1" width="10.7109375" style="274" bestFit="1" customWidth="1"/>
  </cols>
  <sheetData>
    <row r="1" spans="1:26" s="273" customFormat="1" x14ac:dyDescent="0.25">
      <c r="A1" s="271" t="s">
        <v>296</v>
      </c>
      <c r="B1" s="271" t="s">
        <v>343</v>
      </c>
      <c r="C1" s="271" t="s">
        <v>344</v>
      </c>
      <c r="D1" s="271" t="s">
        <v>345</v>
      </c>
      <c r="E1" s="272" t="s">
        <v>346</v>
      </c>
      <c r="F1" s="271" t="s">
        <v>2</v>
      </c>
      <c r="G1" s="271" t="s">
        <v>347</v>
      </c>
      <c r="H1" s="271" t="s">
        <v>290</v>
      </c>
      <c r="I1" s="27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s="271" t="s">
        <v>363</v>
      </c>
      <c r="Y1" s="271" t="s">
        <v>364</v>
      </c>
    </row>
    <row r="2" spans="1:26" x14ac:dyDescent="0.25">
      <c r="A2" s="274">
        <v>41471</v>
      </c>
      <c r="B2" t="s">
        <v>338</v>
      </c>
      <c r="D2">
        <v>-10.926185188000003</v>
      </c>
      <c r="E2">
        <v>138.44284837500001</v>
      </c>
      <c r="F2">
        <v>8.25</v>
      </c>
      <c r="G2">
        <v>862.1</v>
      </c>
      <c r="H2">
        <v>350.6</v>
      </c>
      <c r="I2">
        <v>24.1</v>
      </c>
      <c r="J2">
        <v>3.3E-3</v>
      </c>
      <c r="K2">
        <v>11.645</v>
      </c>
      <c r="L2">
        <v>0</v>
      </c>
      <c r="M2">
        <v>1.1973</v>
      </c>
      <c r="N2">
        <v>33.6419</v>
      </c>
      <c r="O2">
        <v>54.591900000000003</v>
      </c>
      <c r="P2">
        <v>0.30180000000000001</v>
      </c>
      <c r="Q2">
        <v>16.674700000000001</v>
      </c>
      <c r="R2">
        <v>0</v>
      </c>
      <c r="S2">
        <v>0.1096</v>
      </c>
      <c r="T2">
        <v>1.8113999999999999</v>
      </c>
      <c r="U2">
        <v>0</v>
      </c>
      <c r="V2">
        <v>18.133700000000001</v>
      </c>
      <c r="Z2">
        <f>N2/O2</f>
        <v>0.61624343538143933</v>
      </c>
    </row>
    <row r="3" spans="1:26" x14ac:dyDescent="0.25">
      <c r="A3" s="274">
        <v>41530</v>
      </c>
      <c r="B3" t="s">
        <v>338</v>
      </c>
      <c r="D3">
        <v>-11.982817933333333</v>
      </c>
      <c r="E3">
        <v>69.26797590000001</v>
      </c>
      <c r="F3">
        <v>8.39</v>
      </c>
      <c r="G3">
        <v>746.2</v>
      </c>
      <c r="I3">
        <v>24</v>
      </c>
      <c r="J3">
        <v>3.0000000000000001E-3</v>
      </c>
      <c r="K3">
        <v>11.836</v>
      </c>
      <c r="L3">
        <v>0</v>
      </c>
      <c r="M3">
        <v>1.2407999999999999</v>
      </c>
      <c r="N3">
        <v>33.761299999999999</v>
      </c>
      <c r="O3">
        <v>67.916399999999996</v>
      </c>
      <c r="P3">
        <v>0.29859999999999998</v>
      </c>
      <c r="Q3">
        <v>16.995100000000001</v>
      </c>
      <c r="R3">
        <v>0</v>
      </c>
      <c r="S3">
        <v>0.1205</v>
      </c>
      <c r="T3">
        <v>1.9015</v>
      </c>
      <c r="U3">
        <v>0</v>
      </c>
      <c r="V3">
        <v>18.310700000000001</v>
      </c>
      <c r="Z3">
        <f t="shared" ref="Z3:Z8" si="0">N3/O3</f>
        <v>0.49710084751253014</v>
      </c>
    </row>
    <row r="4" spans="1:26" x14ac:dyDescent="0.25">
      <c r="A4" s="274">
        <v>41572</v>
      </c>
      <c r="B4" t="s">
        <v>338</v>
      </c>
      <c r="D4">
        <v>-11.660674999999998</v>
      </c>
      <c r="E4">
        <v>104.34434094</v>
      </c>
      <c r="F4">
        <v>8.17</v>
      </c>
      <c r="G4">
        <v>766.4</v>
      </c>
      <c r="H4">
        <v>458.9</v>
      </c>
      <c r="I4">
        <v>16.7</v>
      </c>
      <c r="J4">
        <v>3.0999999999999999E-3</v>
      </c>
      <c r="K4">
        <v>11.2242</v>
      </c>
      <c r="L4">
        <v>0</v>
      </c>
      <c r="M4">
        <v>1.0839000000000001</v>
      </c>
      <c r="N4">
        <v>34.004300000000001</v>
      </c>
      <c r="O4">
        <v>100.152</v>
      </c>
      <c r="P4">
        <v>0.28520000000000001</v>
      </c>
      <c r="Q4">
        <v>16.905799999999999</v>
      </c>
      <c r="R4">
        <v>0</v>
      </c>
      <c r="S4">
        <v>0.1429</v>
      </c>
      <c r="T4">
        <v>2.4679000000000002</v>
      </c>
      <c r="U4">
        <v>0</v>
      </c>
      <c r="V4">
        <v>18.533300000000001</v>
      </c>
      <c r="Z4">
        <f t="shared" si="0"/>
        <v>0.33952691908299387</v>
      </c>
    </row>
    <row r="5" spans="1:26" x14ac:dyDescent="0.25">
      <c r="A5" s="274">
        <v>41436</v>
      </c>
      <c r="B5" t="s">
        <v>341</v>
      </c>
      <c r="D5">
        <v>-9.9088933120000036</v>
      </c>
      <c r="E5">
        <v>87.485923374999999</v>
      </c>
      <c r="F5">
        <v>8.32</v>
      </c>
      <c r="H5">
        <v>307</v>
      </c>
      <c r="I5">
        <v>22.6</v>
      </c>
      <c r="J5">
        <v>3.3999999999999998E-3</v>
      </c>
      <c r="K5">
        <v>10.869899999999999</v>
      </c>
      <c r="L5">
        <v>0</v>
      </c>
      <c r="M5">
        <v>1.1113</v>
      </c>
      <c r="N5">
        <v>32.681800000000003</v>
      </c>
      <c r="O5">
        <v>48.844999999999999</v>
      </c>
      <c r="P5">
        <v>0.28370000000000001</v>
      </c>
      <c r="Q5">
        <v>15.3133</v>
      </c>
      <c r="R5">
        <v>0</v>
      </c>
      <c r="S5">
        <v>0.1129</v>
      </c>
      <c r="T5">
        <v>1.2512000000000001</v>
      </c>
      <c r="U5">
        <v>0</v>
      </c>
      <c r="V5">
        <v>16.726099999999999</v>
      </c>
      <c r="Z5">
        <f t="shared" si="0"/>
        <v>0.669092025795885</v>
      </c>
    </row>
    <row r="6" spans="1:26" x14ac:dyDescent="0.25">
      <c r="A6" s="274">
        <v>41471</v>
      </c>
      <c r="B6" t="s">
        <v>341</v>
      </c>
      <c r="D6">
        <v>-10.128197688000004</v>
      </c>
      <c r="E6">
        <v>112.80137587499999</v>
      </c>
      <c r="F6">
        <v>8.26</v>
      </c>
      <c r="H6">
        <v>307</v>
      </c>
      <c r="I6">
        <v>23.8</v>
      </c>
      <c r="J6">
        <v>3.0000000000000001E-3</v>
      </c>
      <c r="K6">
        <v>10.859400000000001</v>
      </c>
      <c r="L6">
        <v>0</v>
      </c>
      <c r="M6">
        <v>1.1135999999999999</v>
      </c>
      <c r="N6">
        <v>32.548299999999998</v>
      </c>
      <c r="O6">
        <v>54.017000000000003</v>
      </c>
      <c r="P6">
        <v>0.29239999999999999</v>
      </c>
      <c r="Q6">
        <v>15.328099999999999</v>
      </c>
      <c r="R6">
        <v>0</v>
      </c>
      <c r="S6">
        <v>0.1268</v>
      </c>
      <c r="T6">
        <v>1.0818000000000001</v>
      </c>
      <c r="U6">
        <v>0</v>
      </c>
      <c r="V6">
        <v>16.803599999999999</v>
      </c>
      <c r="Z6">
        <f t="shared" si="0"/>
        <v>0.6025566025510487</v>
      </c>
    </row>
    <row r="7" spans="1:26" x14ac:dyDescent="0.25">
      <c r="A7" s="274">
        <v>41530</v>
      </c>
      <c r="B7" t="s">
        <v>341</v>
      </c>
      <c r="D7">
        <v>-10.326234599999999</v>
      </c>
      <c r="E7">
        <v>68.907746250000002</v>
      </c>
      <c r="F7">
        <v>8.27</v>
      </c>
      <c r="H7">
        <v>291</v>
      </c>
      <c r="I7">
        <v>22.9</v>
      </c>
      <c r="J7">
        <v>3.2000000000000002E-3</v>
      </c>
      <c r="K7">
        <v>10.8461</v>
      </c>
      <c r="L7">
        <v>0</v>
      </c>
      <c r="M7">
        <v>1.1355</v>
      </c>
      <c r="N7">
        <v>32.503700000000002</v>
      </c>
      <c r="O7">
        <v>57.8249</v>
      </c>
      <c r="P7">
        <v>0.29339999999999999</v>
      </c>
      <c r="Q7">
        <v>15.429399999999999</v>
      </c>
      <c r="R7">
        <v>0</v>
      </c>
      <c r="S7">
        <v>0.1283</v>
      </c>
      <c r="T7">
        <v>1.2028000000000001</v>
      </c>
      <c r="U7">
        <v>0</v>
      </c>
      <c r="V7">
        <v>16.823399999999999</v>
      </c>
      <c r="Z7">
        <f t="shared" si="0"/>
        <v>0.5621055981073898</v>
      </c>
    </row>
    <row r="8" spans="1:26" x14ac:dyDescent="0.25">
      <c r="A8" s="274">
        <v>41572</v>
      </c>
      <c r="B8" t="s">
        <v>341</v>
      </c>
      <c r="D8">
        <v>-10.306874999999998</v>
      </c>
      <c r="E8">
        <v>90.897276500000004</v>
      </c>
      <c r="F8">
        <v>8.3000000000000007</v>
      </c>
      <c r="G8">
        <v>641.79999999999995</v>
      </c>
      <c r="H8">
        <v>424.2</v>
      </c>
      <c r="J8">
        <v>3.0000000000000001E-3</v>
      </c>
      <c r="K8">
        <v>10.376200000000001</v>
      </c>
      <c r="L8">
        <v>0</v>
      </c>
      <c r="M8">
        <v>1.0445</v>
      </c>
      <c r="N8">
        <v>32.606499999999997</v>
      </c>
      <c r="O8">
        <v>84.948999999999998</v>
      </c>
      <c r="P8">
        <v>0.27379999999999999</v>
      </c>
      <c r="Q8">
        <v>15.273099999999999</v>
      </c>
      <c r="R8">
        <v>0</v>
      </c>
      <c r="S8">
        <v>0.1076</v>
      </c>
      <c r="T8">
        <v>1.6671</v>
      </c>
      <c r="U8">
        <v>0</v>
      </c>
      <c r="V8">
        <v>16.4117</v>
      </c>
      <c r="Z8">
        <f t="shared" si="0"/>
        <v>0.38383618406337916</v>
      </c>
    </row>
    <row r="9" spans="1:26" x14ac:dyDescent="0.25">
      <c r="A9" s="274">
        <v>41436</v>
      </c>
      <c r="B9" t="s">
        <v>342</v>
      </c>
      <c r="D9">
        <v>-13.152279026285719</v>
      </c>
      <c r="E9">
        <v>111.98900499999999</v>
      </c>
      <c r="F9">
        <v>7.03</v>
      </c>
      <c r="I9">
        <v>26.8</v>
      </c>
      <c r="J9">
        <v>3.0000000000000001E-3</v>
      </c>
      <c r="K9">
        <v>10.547800000000001</v>
      </c>
      <c r="L9">
        <v>0</v>
      </c>
      <c r="M9">
        <v>1.0342</v>
      </c>
      <c r="N9">
        <v>33.122399999999999</v>
      </c>
      <c r="O9">
        <v>90.632199999999997</v>
      </c>
      <c r="P9">
        <v>0.2833</v>
      </c>
      <c r="Q9">
        <v>15.609</v>
      </c>
      <c r="R9">
        <v>0</v>
      </c>
      <c r="S9">
        <v>9.8100000000000007E-2</v>
      </c>
      <c r="T9">
        <v>1.6915</v>
      </c>
      <c r="U9">
        <v>0</v>
      </c>
      <c r="V9">
        <v>16.4284</v>
      </c>
    </row>
    <row r="10" spans="1:26" x14ac:dyDescent="0.25">
      <c r="A10" s="274">
        <v>41530</v>
      </c>
      <c r="B10" t="s">
        <v>342</v>
      </c>
      <c r="D10">
        <v>-11.456601266666667</v>
      </c>
      <c r="E10">
        <v>104.70808004999999</v>
      </c>
      <c r="F10">
        <v>7.05</v>
      </c>
      <c r="H10">
        <v>468.71</v>
      </c>
      <c r="I10">
        <v>27.2</v>
      </c>
      <c r="J10">
        <v>3.2000000000000002E-3</v>
      </c>
      <c r="K10">
        <v>10.777699999999999</v>
      </c>
      <c r="L10">
        <v>-0.12920000000000001</v>
      </c>
      <c r="M10">
        <v>1.1884999999999999</v>
      </c>
      <c r="N10">
        <v>33.011400000000002</v>
      </c>
      <c r="O10">
        <v>103.554</v>
      </c>
      <c r="P10">
        <v>0.30509999999999998</v>
      </c>
      <c r="Q10">
        <v>15.900600000000001</v>
      </c>
      <c r="R10">
        <v>0</v>
      </c>
      <c r="S10">
        <v>0.1663</v>
      </c>
      <c r="T10">
        <v>1.7060999999999999</v>
      </c>
      <c r="U10">
        <v>0</v>
      </c>
      <c r="V10">
        <v>16.932300000000001</v>
      </c>
    </row>
    <row r="11" spans="1:26" x14ac:dyDescent="0.25">
      <c r="A11" s="274">
        <v>41572</v>
      </c>
      <c r="B11" t="s">
        <v>342</v>
      </c>
      <c r="D11">
        <v>-12.549074999999998</v>
      </c>
      <c r="E11">
        <v>97.652675200000004</v>
      </c>
      <c r="F11">
        <v>6.63</v>
      </c>
      <c r="H11">
        <v>412.86</v>
      </c>
      <c r="J11">
        <v>2.7000000000000001E-3</v>
      </c>
      <c r="K11">
        <v>10.0328</v>
      </c>
      <c r="L11">
        <v>0</v>
      </c>
      <c r="M11">
        <v>1.3429</v>
      </c>
      <c r="N11">
        <v>31.6922</v>
      </c>
      <c r="O11">
        <v>104.58280000000001</v>
      </c>
      <c r="P11">
        <v>0.27839999999999998</v>
      </c>
      <c r="Q11">
        <v>15.7948</v>
      </c>
      <c r="R11">
        <v>0</v>
      </c>
      <c r="S11">
        <v>0.1033</v>
      </c>
      <c r="T11">
        <v>2.4851000000000001</v>
      </c>
      <c r="U11">
        <v>0</v>
      </c>
      <c r="V11">
        <v>16.104900000000001</v>
      </c>
    </row>
    <row r="12" spans="1:26" x14ac:dyDescent="0.25">
      <c r="A12" s="274">
        <v>41502</v>
      </c>
      <c r="B12" t="s">
        <v>365</v>
      </c>
      <c r="D12">
        <v>-11.501625714285712</v>
      </c>
      <c r="E12">
        <v>91.710718571428572</v>
      </c>
      <c r="F12">
        <v>7.63</v>
      </c>
      <c r="G12">
        <v>324.2</v>
      </c>
      <c r="H12">
        <v>159</v>
      </c>
      <c r="I12">
        <v>21.7</v>
      </c>
      <c r="J12">
        <v>2.028581338883108E-3</v>
      </c>
      <c r="K12">
        <v>2.5178751578217136</v>
      </c>
      <c r="L12">
        <v>-0.28258138050641696</v>
      </c>
      <c r="M12">
        <v>1.5088587998612557</v>
      </c>
      <c r="N12">
        <v>3.0724892958723551</v>
      </c>
      <c r="O12">
        <v>56.168374401664934</v>
      </c>
      <c r="P12">
        <v>0.24667549080818593</v>
      </c>
      <c r="Q12">
        <v>3.5550887963926465</v>
      </c>
      <c r="R12">
        <v>0</v>
      </c>
      <c r="S12">
        <v>6.8566049254249042E-2</v>
      </c>
      <c r="T12">
        <v>13.18111296566077</v>
      </c>
      <c r="U12">
        <v>0</v>
      </c>
      <c r="V12">
        <v>8.0370364065209845</v>
      </c>
    </row>
    <row r="13" spans="1:26" x14ac:dyDescent="0.25">
      <c r="A13" s="274">
        <v>41546</v>
      </c>
      <c r="B13" t="s">
        <v>365</v>
      </c>
      <c r="D13">
        <v>-11.425356630303028</v>
      </c>
      <c r="E13">
        <v>37.375855899999998</v>
      </c>
      <c r="F13">
        <v>7.64</v>
      </c>
      <c r="H13">
        <v>162</v>
      </c>
      <c r="I13">
        <v>20.6</v>
      </c>
      <c r="J13">
        <v>1E-3</v>
      </c>
      <c r="K13">
        <v>2.8698999999999999</v>
      </c>
      <c r="L13">
        <v>0</v>
      </c>
      <c r="M13">
        <v>1.7506999999999999</v>
      </c>
      <c r="N13">
        <v>3.4338000000000002</v>
      </c>
      <c r="O13">
        <v>53.887099999999997</v>
      </c>
      <c r="P13">
        <v>0.16889999999999999</v>
      </c>
      <c r="Q13">
        <v>4.2321999999999997</v>
      </c>
      <c r="R13">
        <v>0</v>
      </c>
      <c r="S13">
        <v>0</v>
      </c>
      <c r="T13">
        <v>10.138999999999999</v>
      </c>
      <c r="U13">
        <v>0</v>
      </c>
      <c r="V13">
        <v>8.2616999999999994</v>
      </c>
    </row>
    <row r="14" spans="1:26" x14ac:dyDescent="0.25">
      <c r="A14" s="274">
        <v>41566</v>
      </c>
      <c r="B14" t="s">
        <v>365</v>
      </c>
      <c r="D14">
        <v>-11.03892993197279</v>
      </c>
      <c r="E14">
        <v>35.189853600000006</v>
      </c>
      <c r="F14">
        <v>7.57</v>
      </c>
      <c r="G14">
        <v>290</v>
      </c>
      <c r="H14">
        <v>140</v>
      </c>
      <c r="I14">
        <v>20.100000000000001</v>
      </c>
      <c r="J14">
        <v>8.0000000000000004E-4</v>
      </c>
      <c r="K14">
        <v>2.4820000000000002</v>
      </c>
      <c r="L14">
        <v>0</v>
      </c>
      <c r="M14">
        <v>1.9426000000000001</v>
      </c>
      <c r="N14">
        <v>3.1181000000000001</v>
      </c>
      <c r="O14">
        <v>47.576099999999997</v>
      </c>
      <c r="P14">
        <v>0.20130000000000001</v>
      </c>
      <c r="Q14">
        <v>3.1793</v>
      </c>
      <c r="R14">
        <v>0</v>
      </c>
      <c r="S14">
        <v>0</v>
      </c>
      <c r="T14">
        <v>6.3261000000000003</v>
      </c>
      <c r="U14">
        <v>0</v>
      </c>
      <c r="V14">
        <v>6.0820999999999996</v>
      </c>
    </row>
    <row r="15" spans="1:26" x14ac:dyDescent="0.25">
      <c r="A15" s="274">
        <v>41594</v>
      </c>
      <c r="B15" t="s">
        <v>365</v>
      </c>
      <c r="D15">
        <v>-10.604693333333335</v>
      </c>
      <c r="E15">
        <v>41.062530049999999</v>
      </c>
      <c r="F15">
        <v>8.07</v>
      </c>
      <c r="G15">
        <v>410.9</v>
      </c>
      <c r="H15">
        <v>178</v>
      </c>
      <c r="J15">
        <v>8.0000000000000004E-4</v>
      </c>
      <c r="K15">
        <v>2.9026999999999998</v>
      </c>
      <c r="L15">
        <v>0</v>
      </c>
      <c r="M15">
        <v>1.427</v>
      </c>
      <c r="N15">
        <v>4.0167000000000002</v>
      </c>
      <c r="O15">
        <v>66.715599999999995</v>
      </c>
      <c r="P15">
        <v>0.18260000000000001</v>
      </c>
      <c r="Q15">
        <v>3.8148</v>
      </c>
      <c r="R15">
        <v>0</v>
      </c>
      <c r="S15">
        <v>9.2100000000000001E-2</v>
      </c>
      <c r="T15">
        <v>20.111000000000001</v>
      </c>
      <c r="U15">
        <v>0</v>
      </c>
      <c r="V15">
        <v>7.8151999999999999</v>
      </c>
    </row>
    <row r="16" spans="1:26" x14ac:dyDescent="0.25">
      <c r="A16" s="274">
        <v>41624</v>
      </c>
      <c r="B16" t="s">
        <v>365</v>
      </c>
      <c r="D16">
        <v>-10.826107950000004</v>
      </c>
      <c r="E16">
        <v>36.080690874999988</v>
      </c>
      <c r="F16">
        <v>7.71</v>
      </c>
      <c r="G16">
        <v>422</v>
      </c>
      <c r="H16">
        <v>181</v>
      </c>
      <c r="I16">
        <v>20.3</v>
      </c>
      <c r="J16">
        <v>1.1000000000000001E-3</v>
      </c>
      <c r="K16">
        <v>10.4345</v>
      </c>
      <c r="L16">
        <v>0</v>
      </c>
      <c r="M16">
        <v>1.4378</v>
      </c>
      <c r="N16">
        <v>3.8540000000000001</v>
      </c>
      <c r="O16">
        <v>66.619799999999998</v>
      </c>
      <c r="P16">
        <v>0.1958</v>
      </c>
      <c r="Q16">
        <v>20.613499999999998</v>
      </c>
      <c r="R16">
        <v>0</v>
      </c>
      <c r="S16">
        <v>7.6899999999999996E-2</v>
      </c>
      <c r="T16">
        <v>23.210899999999999</v>
      </c>
      <c r="U16">
        <v>0</v>
      </c>
      <c r="V16">
        <v>8.6523000000000003</v>
      </c>
    </row>
    <row r="17" spans="1:22" x14ac:dyDescent="0.25">
      <c r="A17" s="274">
        <v>41659</v>
      </c>
      <c r="B17" t="s">
        <v>365</v>
      </c>
      <c r="D17">
        <v>-10.61415</v>
      </c>
      <c r="E17">
        <v>36.443574999999996</v>
      </c>
      <c r="F17">
        <v>7.55</v>
      </c>
      <c r="H17">
        <v>171</v>
      </c>
      <c r="J17">
        <v>8.0000000000000004E-4</v>
      </c>
      <c r="K17">
        <v>4.0119999999999996</v>
      </c>
      <c r="L17">
        <v>0</v>
      </c>
      <c r="M17">
        <v>1.1338999999999999</v>
      </c>
      <c r="N17">
        <v>3.6044</v>
      </c>
      <c r="O17">
        <v>68.141900000000007</v>
      </c>
      <c r="P17">
        <v>0.17660000000000001</v>
      </c>
      <c r="Q17">
        <v>5.4783999999999997</v>
      </c>
      <c r="R17">
        <v>0</v>
      </c>
      <c r="S17">
        <v>0.1018</v>
      </c>
      <c r="T17">
        <v>23.054099999999998</v>
      </c>
      <c r="U17">
        <v>0</v>
      </c>
      <c r="V17">
        <v>7.6661000000000001</v>
      </c>
    </row>
    <row r="18" spans="1:22" x14ac:dyDescent="0.25">
      <c r="A18" s="274">
        <v>41502</v>
      </c>
      <c r="B18" t="s">
        <v>366</v>
      </c>
      <c r="D18">
        <v>-11.105197142857142</v>
      </c>
      <c r="E18">
        <v>93.229232857142875</v>
      </c>
      <c r="F18">
        <v>7.66</v>
      </c>
      <c r="G18">
        <v>318</v>
      </c>
      <c r="H18">
        <v>159</v>
      </c>
      <c r="I18">
        <v>22.7</v>
      </c>
      <c r="J18">
        <v>8.8800104452278371E-4</v>
      </c>
      <c r="K18">
        <v>2.5048733463898682</v>
      </c>
      <c r="L18">
        <v>0</v>
      </c>
      <c r="M18">
        <v>1.5081809740174956</v>
      </c>
      <c r="N18">
        <v>3.0566771954563259</v>
      </c>
      <c r="O18">
        <v>56.092539579579579</v>
      </c>
      <c r="P18">
        <v>0.21240984984984984</v>
      </c>
      <c r="Q18">
        <v>3.4930409087348218</v>
      </c>
      <c r="R18">
        <v>0</v>
      </c>
      <c r="S18">
        <v>0</v>
      </c>
      <c r="T18">
        <v>13.279345220002611</v>
      </c>
      <c r="U18">
        <v>0</v>
      </c>
      <c r="V18">
        <v>7.9884573965269619</v>
      </c>
    </row>
    <row r="19" spans="1:22" x14ac:dyDescent="0.25">
      <c r="A19" s="274">
        <v>41546</v>
      </c>
      <c r="B19" t="s">
        <v>366</v>
      </c>
      <c r="D19">
        <v>-11.06045663030303</v>
      </c>
      <c r="E19">
        <v>32.956631449999996</v>
      </c>
      <c r="F19">
        <v>7.68</v>
      </c>
      <c r="H19">
        <v>183</v>
      </c>
      <c r="I19">
        <v>20.2</v>
      </c>
      <c r="J19">
        <v>1E-3</v>
      </c>
      <c r="K19">
        <v>2.8654999999999999</v>
      </c>
      <c r="L19">
        <v>0</v>
      </c>
      <c r="M19">
        <v>1.7597</v>
      </c>
      <c r="N19">
        <v>3.4384999999999999</v>
      </c>
      <c r="O19">
        <v>53.9146</v>
      </c>
      <c r="P19">
        <v>0.1668</v>
      </c>
      <c r="Q19">
        <v>4.2294</v>
      </c>
      <c r="R19">
        <v>0</v>
      </c>
      <c r="S19">
        <v>2.3900000000000001E-2</v>
      </c>
      <c r="T19">
        <v>10.18</v>
      </c>
      <c r="U19">
        <v>0</v>
      </c>
      <c r="V19">
        <v>8.3048999999999999</v>
      </c>
    </row>
    <row r="20" spans="1:22" x14ac:dyDescent="0.25">
      <c r="A20" s="274">
        <v>41566</v>
      </c>
      <c r="B20" t="s">
        <v>366</v>
      </c>
      <c r="D20">
        <v>-10.50622993197279</v>
      </c>
      <c r="E20">
        <v>31.818543500000004</v>
      </c>
      <c r="F20">
        <v>6.98</v>
      </c>
      <c r="G20">
        <v>271.39999999999998</v>
      </c>
      <c r="H20">
        <v>149</v>
      </c>
      <c r="I20">
        <v>20.3</v>
      </c>
      <c r="J20">
        <v>8.9999999999999998E-4</v>
      </c>
      <c r="K20">
        <v>2.4855999999999998</v>
      </c>
      <c r="L20">
        <v>-0.1333</v>
      </c>
      <c r="M20">
        <v>2.0935000000000001</v>
      </c>
      <c r="N20">
        <v>3.0813999999999999</v>
      </c>
      <c r="O20">
        <v>46.9754</v>
      </c>
      <c r="P20">
        <v>0.1973</v>
      </c>
      <c r="Q20">
        <v>3.2545999999999999</v>
      </c>
      <c r="R20">
        <v>0</v>
      </c>
      <c r="S20">
        <v>0</v>
      </c>
      <c r="T20">
        <v>640.38499999999999</v>
      </c>
      <c r="U20">
        <v>0</v>
      </c>
      <c r="V20">
        <v>6.6021000000000001</v>
      </c>
    </row>
    <row r="21" spans="1:22" x14ac:dyDescent="0.25">
      <c r="A21" s="274">
        <v>41594</v>
      </c>
      <c r="B21" t="s">
        <v>366</v>
      </c>
      <c r="D21">
        <v>-10.32206</v>
      </c>
      <c r="E21">
        <v>40.240151900000001</v>
      </c>
      <c r="F21">
        <v>8.2100000000000009</v>
      </c>
      <c r="G21">
        <v>369.6</v>
      </c>
      <c r="H21">
        <v>181</v>
      </c>
      <c r="I21">
        <v>20.9</v>
      </c>
      <c r="J21">
        <v>8.9999999999999998E-4</v>
      </c>
      <c r="K21">
        <v>2.9001000000000001</v>
      </c>
      <c r="L21">
        <v>0</v>
      </c>
      <c r="M21">
        <v>1.4275</v>
      </c>
      <c r="N21">
        <v>4.0237999999999996</v>
      </c>
      <c r="O21">
        <v>66.688500000000005</v>
      </c>
      <c r="P21">
        <v>0.17660000000000001</v>
      </c>
      <c r="Q21">
        <v>3.7639</v>
      </c>
      <c r="R21">
        <v>0</v>
      </c>
      <c r="S21">
        <v>7.8700000000000006E-2</v>
      </c>
      <c r="T21">
        <v>20.166399999999999</v>
      </c>
      <c r="U21">
        <v>0</v>
      </c>
      <c r="V21">
        <v>7.7005999999999997</v>
      </c>
    </row>
    <row r="22" spans="1:22" x14ac:dyDescent="0.25">
      <c r="A22" s="274">
        <v>41624</v>
      </c>
      <c r="B22" t="s">
        <v>366</v>
      </c>
      <c r="D22">
        <v>-10.55077461666667</v>
      </c>
      <c r="E22">
        <v>35.126831500000002</v>
      </c>
      <c r="F22">
        <v>7.7</v>
      </c>
      <c r="G22">
        <v>418</v>
      </c>
      <c r="H22">
        <v>164</v>
      </c>
      <c r="I22">
        <v>20.2</v>
      </c>
      <c r="J22">
        <v>8.9999999999999998E-4</v>
      </c>
      <c r="K22">
        <v>10.4156</v>
      </c>
      <c r="L22">
        <v>0</v>
      </c>
      <c r="M22">
        <v>1.3592</v>
      </c>
      <c r="N22">
        <v>3.8614999999999999</v>
      </c>
      <c r="O22">
        <v>66.732900000000001</v>
      </c>
      <c r="P22">
        <v>0.182</v>
      </c>
      <c r="Q22">
        <v>20.669599999999999</v>
      </c>
      <c r="R22">
        <v>0</v>
      </c>
      <c r="S22">
        <v>6.0999999999999999E-2</v>
      </c>
      <c r="T22">
        <v>23.095700000000001</v>
      </c>
      <c r="U22">
        <v>0</v>
      </c>
      <c r="V22">
        <v>8.6652000000000005</v>
      </c>
    </row>
    <row r="23" spans="1:22" x14ac:dyDescent="0.25">
      <c r="A23" s="274">
        <v>41727</v>
      </c>
      <c r="B23" t="s">
        <v>366</v>
      </c>
      <c r="D23">
        <v>-9.2833499999999987</v>
      </c>
      <c r="E23">
        <v>58.609425000000009</v>
      </c>
      <c r="F23">
        <v>8.33</v>
      </c>
      <c r="G23">
        <v>356.6</v>
      </c>
      <c r="H23">
        <v>179</v>
      </c>
      <c r="I23">
        <v>21.2</v>
      </c>
      <c r="J23">
        <v>2E-3</v>
      </c>
      <c r="K23">
        <v>6.0708000000000002</v>
      </c>
      <c r="L23">
        <v>0</v>
      </c>
      <c r="M23">
        <v>1.3</v>
      </c>
      <c r="N23">
        <v>3.6191</v>
      </c>
      <c r="O23">
        <v>60.086100000000002</v>
      </c>
      <c r="P23">
        <v>0.192</v>
      </c>
      <c r="Q23">
        <v>11.0786</v>
      </c>
      <c r="R23">
        <v>0</v>
      </c>
      <c r="S23">
        <v>8.4900000000000003E-2</v>
      </c>
      <c r="T23">
        <v>20.8444</v>
      </c>
      <c r="U23">
        <v>0</v>
      </c>
      <c r="V23">
        <v>8.4830000000000005</v>
      </c>
    </row>
    <row r="24" spans="1:22" x14ac:dyDescent="0.25">
      <c r="A24" s="274">
        <v>41044</v>
      </c>
      <c r="B24" t="s">
        <v>367</v>
      </c>
      <c r="F24">
        <v>8.2200000000000006</v>
      </c>
      <c r="G24">
        <v>440</v>
      </c>
      <c r="H24">
        <v>21.3</v>
      </c>
      <c r="I24">
        <v>21.3</v>
      </c>
      <c r="J24">
        <v>7.7630268624528237E-4</v>
      </c>
      <c r="K24">
        <v>4.7397160508705714</v>
      </c>
      <c r="L24">
        <v>0</v>
      </c>
      <c r="M24">
        <v>5.8482762868288347</v>
      </c>
      <c r="N24">
        <v>6.1457942913323391</v>
      </c>
      <c r="O24">
        <v>44.041786223082042</v>
      </c>
      <c r="P24">
        <v>7.8212495639212204E-2</v>
      </c>
      <c r="Q24">
        <v>7.5831187149154795</v>
      </c>
      <c r="R24">
        <v>0</v>
      </c>
      <c r="S24">
        <v>4.7936690875646185E-2</v>
      </c>
      <c r="T24">
        <v>16.27732064951952</v>
      </c>
      <c r="U24">
        <v>0</v>
      </c>
      <c r="V24">
        <v>13.194816758111065</v>
      </c>
    </row>
    <row r="25" spans="1:22" x14ac:dyDescent="0.25">
      <c r="A25" s="274">
        <v>41502</v>
      </c>
      <c r="B25" t="s">
        <v>367</v>
      </c>
      <c r="D25">
        <v>-11.898468571428568</v>
      </c>
      <c r="E25">
        <v>119.17558028571429</v>
      </c>
      <c r="F25">
        <v>7.7</v>
      </c>
      <c r="G25">
        <v>504.9</v>
      </c>
      <c r="H25">
        <v>272</v>
      </c>
      <c r="I25">
        <v>21.9</v>
      </c>
      <c r="J25">
        <v>1.0779628241051344E-3</v>
      </c>
      <c r="K25">
        <v>4.8676489285291451</v>
      </c>
      <c r="L25">
        <v>0</v>
      </c>
      <c r="M25">
        <v>5.4945921070286916</v>
      </c>
      <c r="N25">
        <v>6.3921039543786264</v>
      </c>
      <c r="O25">
        <v>90.320780291250642</v>
      </c>
      <c r="P25">
        <v>8.6883803622873845E-2</v>
      </c>
      <c r="Q25">
        <v>7.0722984963889663</v>
      </c>
      <c r="R25">
        <v>0</v>
      </c>
      <c r="S25">
        <v>6.2737436362918828E-2</v>
      </c>
      <c r="T25">
        <v>15.670345574016341</v>
      </c>
      <c r="U25">
        <v>0</v>
      </c>
      <c r="V25">
        <v>13.215177445834485</v>
      </c>
    </row>
    <row r="26" spans="1:22" x14ac:dyDescent="0.25">
      <c r="A26" s="274">
        <v>41566</v>
      </c>
      <c r="B26" t="s">
        <v>367</v>
      </c>
      <c r="D26">
        <v>-12.681229931972791</v>
      </c>
      <c r="E26">
        <v>66.963699999999989</v>
      </c>
      <c r="F26">
        <v>7.83</v>
      </c>
      <c r="G26">
        <v>505.4</v>
      </c>
      <c r="H26">
        <v>225</v>
      </c>
      <c r="I26">
        <v>22.2</v>
      </c>
      <c r="J26">
        <v>1E-3</v>
      </c>
      <c r="K26">
        <v>4.7954999999999997</v>
      </c>
      <c r="L26">
        <v>0</v>
      </c>
      <c r="M26">
        <v>5.6825000000000001</v>
      </c>
      <c r="N26">
        <v>6.4169999999999998</v>
      </c>
      <c r="O26">
        <v>88.970399999999998</v>
      </c>
      <c r="P26">
        <v>6.2300000000000001E-2</v>
      </c>
      <c r="Q26">
        <v>5.7857000000000003</v>
      </c>
      <c r="R26">
        <v>0</v>
      </c>
      <c r="S26">
        <v>0.1198</v>
      </c>
      <c r="T26">
        <v>801.8886</v>
      </c>
      <c r="U26">
        <v>0</v>
      </c>
      <c r="V26">
        <v>12.689299999999999</v>
      </c>
    </row>
    <row r="27" spans="1:22" x14ac:dyDescent="0.25">
      <c r="A27" s="274">
        <v>41594</v>
      </c>
      <c r="B27" t="s">
        <v>367</v>
      </c>
      <c r="D27">
        <v>-12.04156</v>
      </c>
      <c r="E27">
        <v>64.393527500000005</v>
      </c>
      <c r="F27">
        <v>8.23</v>
      </c>
      <c r="G27">
        <v>514</v>
      </c>
      <c r="H27">
        <v>271</v>
      </c>
      <c r="I27">
        <v>22.4</v>
      </c>
      <c r="J27">
        <v>8.9999999999999998E-4</v>
      </c>
      <c r="K27">
        <v>4.7304000000000004</v>
      </c>
      <c r="L27">
        <v>0</v>
      </c>
      <c r="M27">
        <v>5.6776</v>
      </c>
      <c r="N27">
        <v>6.4469000000000003</v>
      </c>
      <c r="O27">
        <v>89.191599999999994</v>
      </c>
      <c r="P27">
        <v>0.09</v>
      </c>
      <c r="Q27">
        <v>5.7861000000000002</v>
      </c>
      <c r="R27">
        <v>0</v>
      </c>
      <c r="S27">
        <v>4.65E-2</v>
      </c>
      <c r="T27">
        <v>15.4099</v>
      </c>
      <c r="U27">
        <v>0</v>
      </c>
      <c r="V27">
        <v>11.615500000000001</v>
      </c>
    </row>
    <row r="28" spans="1:22" x14ac:dyDescent="0.25">
      <c r="A28" s="274">
        <v>41624</v>
      </c>
      <c r="B28" t="s">
        <v>367</v>
      </c>
      <c r="D28">
        <v>-12.430857950000004</v>
      </c>
      <c r="E28">
        <v>58.565111166666668</v>
      </c>
      <c r="F28">
        <v>8.15</v>
      </c>
      <c r="G28">
        <v>500.1</v>
      </c>
      <c r="H28">
        <v>269</v>
      </c>
      <c r="I28">
        <v>22.1</v>
      </c>
      <c r="J28">
        <v>8.9999999999999998E-4</v>
      </c>
      <c r="K28">
        <v>4.5468999999999999</v>
      </c>
      <c r="L28">
        <v>0</v>
      </c>
      <c r="M28">
        <v>5.5835999999999997</v>
      </c>
      <c r="N28">
        <v>6.4375999999999998</v>
      </c>
      <c r="O28">
        <v>70.268100000000004</v>
      </c>
      <c r="P28">
        <v>7.85E-2</v>
      </c>
      <c r="Q28">
        <v>5.5172999999999996</v>
      </c>
      <c r="R28">
        <v>0</v>
      </c>
      <c r="S28">
        <v>0</v>
      </c>
      <c r="T28">
        <v>15.097200000000001</v>
      </c>
      <c r="U28">
        <v>0</v>
      </c>
      <c r="V28">
        <v>10.3142</v>
      </c>
    </row>
    <row r="29" spans="1:22" x14ac:dyDescent="0.25">
      <c r="A29" s="274">
        <v>41659</v>
      </c>
      <c r="B29" t="s">
        <v>367</v>
      </c>
      <c r="D29">
        <v>-12.685150000000002</v>
      </c>
      <c r="E29">
        <v>53.728149999999999</v>
      </c>
      <c r="F29">
        <v>8.1999999999999993</v>
      </c>
      <c r="G29">
        <v>485</v>
      </c>
      <c r="H29">
        <v>260</v>
      </c>
      <c r="I29">
        <v>22.2</v>
      </c>
      <c r="J29">
        <v>8.0000000000000004E-4</v>
      </c>
      <c r="K29">
        <v>4.4695</v>
      </c>
      <c r="L29">
        <v>0</v>
      </c>
      <c r="M29">
        <v>5.3662000000000001</v>
      </c>
      <c r="N29">
        <v>6.3956</v>
      </c>
      <c r="O29">
        <v>74.092299999999994</v>
      </c>
      <c r="P29">
        <v>7.6300000000000007E-2</v>
      </c>
      <c r="Q29">
        <v>5.6657999999999999</v>
      </c>
      <c r="R29">
        <v>0</v>
      </c>
      <c r="S29">
        <v>4.7699999999999999E-2</v>
      </c>
      <c r="T29">
        <v>14.683999999999999</v>
      </c>
      <c r="U29">
        <v>0</v>
      </c>
      <c r="V29">
        <v>10.006500000000001</v>
      </c>
    </row>
    <row r="30" spans="1:22" x14ac:dyDescent="0.25">
      <c r="A30" s="274">
        <v>41685</v>
      </c>
      <c r="B30" t="s">
        <v>367</v>
      </c>
      <c r="D30">
        <v>-12.241219999999998</v>
      </c>
      <c r="E30">
        <v>98.17995599999999</v>
      </c>
      <c r="F30">
        <v>8.3000000000000007</v>
      </c>
      <c r="G30">
        <v>483.2</v>
      </c>
      <c r="H30">
        <v>266</v>
      </c>
      <c r="I30">
        <v>21.9</v>
      </c>
      <c r="J30">
        <v>8.0000000000000004E-4</v>
      </c>
      <c r="K30">
        <v>4.4337999999999997</v>
      </c>
      <c r="L30">
        <v>0</v>
      </c>
      <c r="M30">
        <v>5.1971999999999996</v>
      </c>
      <c r="N30">
        <v>6.3625999999999996</v>
      </c>
      <c r="O30">
        <v>83.875200000000007</v>
      </c>
      <c r="P30">
        <v>8.3799999999999999E-2</v>
      </c>
      <c r="Q30">
        <v>5.7686999999999999</v>
      </c>
      <c r="R30">
        <v>0</v>
      </c>
      <c r="S30">
        <v>0.1205</v>
      </c>
      <c r="T30">
        <v>14.344200000000001</v>
      </c>
      <c r="U30">
        <v>0</v>
      </c>
      <c r="V30">
        <v>9.9438999999999993</v>
      </c>
    </row>
    <row r="31" spans="1:22" x14ac:dyDescent="0.25">
      <c r="A31" s="274">
        <v>41727</v>
      </c>
      <c r="B31" t="s">
        <v>367</v>
      </c>
      <c r="D31">
        <v>-12.936799999999998</v>
      </c>
      <c r="E31">
        <v>116.2303325</v>
      </c>
      <c r="F31">
        <v>8.3699999999999992</v>
      </c>
      <c r="H31">
        <v>264.73</v>
      </c>
      <c r="I31">
        <v>21.8</v>
      </c>
      <c r="J31">
        <v>6.9999999999999999E-4</v>
      </c>
      <c r="K31">
        <v>4.4356</v>
      </c>
      <c r="L31">
        <v>1E-4</v>
      </c>
      <c r="M31">
        <v>5.0960000000000001</v>
      </c>
      <c r="N31">
        <v>6.4435000000000002</v>
      </c>
      <c r="O31">
        <v>83.042199999999994</v>
      </c>
      <c r="P31">
        <v>8.4500000000000006E-2</v>
      </c>
      <c r="Q31">
        <v>5.9713000000000003</v>
      </c>
      <c r="R31">
        <v>0</v>
      </c>
      <c r="S31">
        <v>5.2299999999999999E-2</v>
      </c>
      <c r="T31">
        <v>14.5389</v>
      </c>
      <c r="U31">
        <v>0</v>
      </c>
      <c r="V31">
        <v>10.0238</v>
      </c>
    </row>
    <row r="32" spans="1:22" x14ac:dyDescent="0.25">
      <c r="A32" s="274">
        <v>41448</v>
      </c>
      <c r="B32" t="s">
        <v>368</v>
      </c>
      <c r="F32">
        <v>7.99</v>
      </c>
      <c r="G32">
        <v>433.9</v>
      </c>
      <c r="H32">
        <v>241</v>
      </c>
      <c r="I32">
        <v>21</v>
      </c>
      <c r="J32">
        <v>6.9999999999999999E-4</v>
      </c>
      <c r="K32">
        <v>3.2065999999999999</v>
      </c>
      <c r="L32">
        <v>-0.1386</v>
      </c>
      <c r="M32">
        <v>1.0750999999999999</v>
      </c>
      <c r="N32">
        <v>4.468</v>
      </c>
      <c r="O32">
        <v>69.308000000000007</v>
      </c>
      <c r="P32">
        <v>0.1082</v>
      </c>
      <c r="Q32">
        <v>4.7199</v>
      </c>
      <c r="R32">
        <v>0</v>
      </c>
      <c r="S32">
        <v>5.7599999999999998E-2</v>
      </c>
      <c r="T32">
        <v>16.633800000000001</v>
      </c>
      <c r="U32">
        <v>0</v>
      </c>
      <c r="V32">
        <v>8.3904999999999994</v>
      </c>
    </row>
    <row r="33" spans="1:22" x14ac:dyDescent="0.25">
      <c r="A33" s="274">
        <v>41474</v>
      </c>
      <c r="B33" t="s">
        <v>368</v>
      </c>
      <c r="F33">
        <v>7.89</v>
      </c>
      <c r="G33">
        <v>471.8</v>
      </c>
      <c r="H33">
        <v>240</v>
      </c>
      <c r="I33">
        <v>21.4</v>
      </c>
      <c r="J33">
        <v>0</v>
      </c>
      <c r="K33">
        <v>3.2663000000000002</v>
      </c>
      <c r="L33">
        <v>0</v>
      </c>
      <c r="M33">
        <v>1.0936999999999999</v>
      </c>
      <c r="N33">
        <v>4.1532</v>
      </c>
      <c r="O33">
        <v>84.378699999999995</v>
      </c>
      <c r="P33">
        <v>0.121</v>
      </c>
      <c r="Q33">
        <v>5.7546999999999997</v>
      </c>
      <c r="R33">
        <v>0</v>
      </c>
      <c r="S33">
        <v>5.8400000000000001E-2</v>
      </c>
      <c r="T33">
        <v>16.4846</v>
      </c>
      <c r="U33">
        <v>0</v>
      </c>
      <c r="V33">
        <v>10.0618</v>
      </c>
    </row>
    <row r="34" spans="1:22" x14ac:dyDescent="0.25">
      <c r="A34" s="274">
        <v>41502</v>
      </c>
      <c r="B34" t="s">
        <v>368</v>
      </c>
      <c r="F34">
        <v>7.66</v>
      </c>
      <c r="G34">
        <v>434.5</v>
      </c>
      <c r="H34">
        <v>247</v>
      </c>
      <c r="I34">
        <v>21.9</v>
      </c>
      <c r="J34">
        <v>9.4327318206181886E-4</v>
      </c>
      <c r="K34">
        <v>3.2384454886546363</v>
      </c>
      <c r="L34">
        <v>0</v>
      </c>
      <c r="M34">
        <v>1.0313748972663925</v>
      </c>
      <c r="N34">
        <v>4.0043833124888328</v>
      </c>
      <c r="O34">
        <v>87.014309880293013</v>
      </c>
      <c r="P34">
        <v>0.10772179739145971</v>
      </c>
      <c r="Q34">
        <v>5.6085136859031621</v>
      </c>
      <c r="R34">
        <v>0</v>
      </c>
      <c r="S34">
        <v>0</v>
      </c>
      <c r="T34">
        <v>16.260709076290873</v>
      </c>
      <c r="U34">
        <v>0</v>
      </c>
      <c r="V34">
        <v>9.7436346614257623</v>
      </c>
    </row>
    <row r="35" spans="1:22" x14ac:dyDescent="0.25">
      <c r="A35" s="274">
        <v>41546</v>
      </c>
      <c r="B35" t="s">
        <v>368</v>
      </c>
      <c r="D35">
        <v>-10.878556630303027</v>
      </c>
      <c r="E35">
        <v>57.857446999999993</v>
      </c>
      <c r="F35">
        <v>7.88</v>
      </c>
      <c r="G35">
        <v>444.7</v>
      </c>
      <c r="H35">
        <v>242</v>
      </c>
      <c r="I35">
        <v>21.2</v>
      </c>
      <c r="J35">
        <v>8.9999999999999998E-4</v>
      </c>
      <c r="K35">
        <v>3.194</v>
      </c>
      <c r="L35">
        <v>0</v>
      </c>
      <c r="M35">
        <v>1.0927</v>
      </c>
      <c r="N35">
        <v>4.4481999999999999</v>
      </c>
      <c r="O35">
        <v>82.925700000000006</v>
      </c>
      <c r="P35">
        <v>0.1032</v>
      </c>
      <c r="Q35">
        <v>5.4722999999999997</v>
      </c>
      <c r="R35">
        <v>0</v>
      </c>
      <c r="S35">
        <v>6.9000000000000006E-2</v>
      </c>
      <c r="T35">
        <v>16.633099999999999</v>
      </c>
      <c r="U35">
        <v>0</v>
      </c>
      <c r="V35">
        <v>9.4178999999999995</v>
      </c>
    </row>
    <row r="36" spans="1:22" x14ac:dyDescent="0.25">
      <c r="A36" s="274">
        <v>41566</v>
      </c>
      <c r="B36" t="s">
        <v>368</v>
      </c>
      <c r="D36">
        <v>-10.47702993197279</v>
      </c>
      <c r="E36">
        <v>60.887123599999995</v>
      </c>
      <c r="F36">
        <v>8.17</v>
      </c>
      <c r="G36">
        <v>452.5</v>
      </c>
      <c r="H36">
        <v>263</v>
      </c>
      <c r="I36">
        <v>21.6</v>
      </c>
      <c r="J36">
        <v>8.0000000000000004E-4</v>
      </c>
      <c r="K36">
        <v>3.2928000000000002</v>
      </c>
      <c r="L36">
        <v>0</v>
      </c>
      <c r="M36">
        <v>1.1343000000000001</v>
      </c>
      <c r="N36">
        <v>3.9565999999999999</v>
      </c>
      <c r="O36">
        <v>70.5398</v>
      </c>
      <c r="P36">
        <v>0.114</v>
      </c>
      <c r="Q36">
        <v>4.7115999999999998</v>
      </c>
      <c r="R36">
        <v>0</v>
      </c>
      <c r="S36">
        <v>0</v>
      </c>
      <c r="T36">
        <v>15.1395</v>
      </c>
      <c r="U36">
        <v>0</v>
      </c>
      <c r="V36">
        <v>8.6590000000000007</v>
      </c>
    </row>
    <row r="37" spans="1:22" x14ac:dyDescent="0.25">
      <c r="A37" s="274">
        <v>41594</v>
      </c>
      <c r="B37" t="s">
        <v>368</v>
      </c>
      <c r="D37">
        <v>-10.418760000000002</v>
      </c>
      <c r="E37">
        <v>51.745559750000005</v>
      </c>
      <c r="F37">
        <v>8.42</v>
      </c>
      <c r="G37">
        <v>452.2</v>
      </c>
      <c r="H37">
        <v>241</v>
      </c>
      <c r="I37">
        <v>21.3</v>
      </c>
      <c r="J37">
        <v>8.9999999999999998E-4</v>
      </c>
      <c r="K37">
        <v>3.2641</v>
      </c>
      <c r="L37">
        <v>0</v>
      </c>
      <c r="M37">
        <v>1.1204000000000001</v>
      </c>
      <c r="N37">
        <v>4.3410000000000002</v>
      </c>
      <c r="O37">
        <v>77.054299999999998</v>
      </c>
      <c r="P37">
        <v>0.1144</v>
      </c>
      <c r="Q37">
        <v>4.9153000000000002</v>
      </c>
      <c r="R37">
        <v>0</v>
      </c>
      <c r="S37">
        <v>7.5700000000000003E-2</v>
      </c>
      <c r="T37">
        <v>17.148599999999998</v>
      </c>
      <c r="U37">
        <v>0</v>
      </c>
      <c r="V37">
        <v>8.7296999999999993</v>
      </c>
    </row>
    <row r="38" spans="1:22" x14ac:dyDescent="0.25">
      <c r="A38" s="274">
        <v>41624</v>
      </c>
      <c r="B38" t="s">
        <v>368</v>
      </c>
      <c r="D38">
        <v>-10.460941283333337</v>
      </c>
      <c r="E38">
        <v>50.112645291666659</v>
      </c>
      <c r="F38">
        <v>8.18</v>
      </c>
      <c r="G38">
        <v>458.5</v>
      </c>
      <c r="H38">
        <v>240</v>
      </c>
      <c r="I38">
        <v>21.4</v>
      </c>
      <c r="J38">
        <v>8.9999999999999998E-4</v>
      </c>
      <c r="K38">
        <v>3.4418000000000002</v>
      </c>
      <c r="L38">
        <v>0</v>
      </c>
      <c r="M38">
        <v>1.0779000000000001</v>
      </c>
      <c r="N38">
        <v>4.2194000000000003</v>
      </c>
      <c r="O38">
        <v>71.279899999999998</v>
      </c>
      <c r="P38">
        <v>0.113</v>
      </c>
      <c r="Q38">
        <v>5.5934999999999997</v>
      </c>
      <c r="R38">
        <v>0</v>
      </c>
      <c r="S38">
        <v>8.2299999999999998E-2</v>
      </c>
      <c r="T38">
        <v>18.802099999999999</v>
      </c>
      <c r="U38">
        <v>0</v>
      </c>
      <c r="V38">
        <v>8.9583999999999993</v>
      </c>
    </row>
    <row r="39" spans="1:22" x14ac:dyDescent="0.25">
      <c r="A39" s="274">
        <v>41659</v>
      </c>
      <c r="B39" t="s">
        <v>368</v>
      </c>
      <c r="D39">
        <v>-10.038816666666669</v>
      </c>
      <c r="E39">
        <v>46.698050000000009</v>
      </c>
      <c r="F39">
        <v>8.2200000000000006</v>
      </c>
      <c r="G39">
        <v>443.8</v>
      </c>
      <c r="H39">
        <v>231</v>
      </c>
      <c r="I39">
        <v>21</v>
      </c>
      <c r="J39">
        <v>8.9999999999999998E-4</v>
      </c>
      <c r="K39">
        <v>3.3235999999999999</v>
      </c>
      <c r="L39">
        <v>0</v>
      </c>
      <c r="M39">
        <v>1.0848</v>
      </c>
      <c r="N39">
        <v>4.2751000000000001</v>
      </c>
      <c r="O39">
        <v>71.703900000000004</v>
      </c>
      <c r="P39">
        <v>0.1138</v>
      </c>
      <c r="Q39">
        <v>5.1182999999999996</v>
      </c>
      <c r="R39">
        <v>0</v>
      </c>
      <c r="S39">
        <v>9.7299999999999998E-2</v>
      </c>
      <c r="T39">
        <v>17.236599999999999</v>
      </c>
      <c r="U39">
        <v>0</v>
      </c>
      <c r="V39">
        <v>8.5337999999999994</v>
      </c>
    </row>
    <row r="40" spans="1:22" x14ac:dyDescent="0.25">
      <c r="A40" s="274">
        <v>41685</v>
      </c>
      <c r="B40" t="s">
        <v>368</v>
      </c>
      <c r="F40">
        <v>8.24</v>
      </c>
      <c r="G40">
        <v>443.5</v>
      </c>
      <c r="H40">
        <v>226</v>
      </c>
      <c r="I40">
        <v>21</v>
      </c>
      <c r="J40">
        <v>8.0000000000000004E-4</v>
      </c>
      <c r="K40">
        <v>3.3170000000000002</v>
      </c>
      <c r="L40">
        <v>0</v>
      </c>
      <c r="M40">
        <v>1.087</v>
      </c>
      <c r="N40">
        <v>4.7183000000000002</v>
      </c>
      <c r="O40">
        <v>75.529600000000002</v>
      </c>
      <c r="P40">
        <v>0.1082</v>
      </c>
      <c r="Q40">
        <v>5.1073000000000004</v>
      </c>
      <c r="R40">
        <v>0</v>
      </c>
      <c r="S40">
        <v>8.1699999999999995E-2</v>
      </c>
      <c r="T40">
        <v>17.6785</v>
      </c>
      <c r="U40">
        <v>0</v>
      </c>
      <c r="V40">
        <v>8.3989999999999991</v>
      </c>
    </row>
    <row r="41" spans="1:22" x14ac:dyDescent="0.25">
      <c r="A41" s="274">
        <v>41727</v>
      </c>
      <c r="B41" t="s">
        <v>368</v>
      </c>
      <c r="D41">
        <v>-10.476949999999997</v>
      </c>
      <c r="E41">
        <v>110.53022250000001</v>
      </c>
      <c r="F41">
        <v>8.2100000000000009</v>
      </c>
      <c r="G41">
        <v>442.1</v>
      </c>
      <c r="H41">
        <v>226.83</v>
      </c>
      <c r="I41">
        <v>21.2</v>
      </c>
      <c r="J41">
        <v>6.9999999999999999E-4</v>
      </c>
      <c r="K41">
        <v>3.3591000000000002</v>
      </c>
      <c r="L41">
        <v>0</v>
      </c>
      <c r="M41">
        <v>1.0834999999999999</v>
      </c>
      <c r="N41">
        <v>4.6662999999999997</v>
      </c>
      <c r="O41">
        <v>74.9983</v>
      </c>
      <c r="P41">
        <v>0.1077</v>
      </c>
      <c r="Q41">
        <v>5.2995000000000001</v>
      </c>
      <c r="R41">
        <v>0</v>
      </c>
      <c r="S41">
        <v>6.4399999999999999E-2</v>
      </c>
      <c r="T41">
        <v>17.795300000000001</v>
      </c>
      <c r="U41">
        <v>0</v>
      </c>
      <c r="V41">
        <v>8.4964999999999993</v>
      </c>
    </row>
    <row r="42" spans="1:22" x14ac:dyDescent="0.25">
      <c r="A42" s="274">
        <v>41474</v>
      </c>
      <c r="B42" t="s">
        <v>369</v>
      </c>
      <c r="F42">
        <v>7.76</v>
      </c>
      <c r="G42">
        <v>453.5</v>
      </c>
      <c r="H42">
        <v>246</v>
      </c>
      <c r="I42">
        <v>21.4</v>
      </c>
      <c r="J42">
        <v>0</v>
      </c>
      <c r="K42">
        <v>3.2968999999999999</v>
      </c>
      <c r="L42">
        <v>0</v>
      </c>
      <c r="M42">
        <v>1.2179</v>
      </c>
      <c r="N42">
        <v>3.7534000000000001</v>
      </c>
      <c r="O42">
        <v>87.031999999999996</v>
      </c>
      <c r="P42">
        <v>0.1356</v>
      </c>
      <c r="Q42">
        <v>5.8795000000000002</v>
      </c>
      <c r="R42">
        <v>0</v>
      </c>
      <c r="S42">
        <v>5.8900000000000001E-2</v>
      </c>
      <c r="T42">
        <v>16.3611</v>
      </c>
      <c r="U42">
        <v>0</v>
      </c>
      <c r="V42">
        <v>10.2384</v>
      </c>
    </row>
    <row r="43" spans="1:22" x14ac:dyDescent="0.25">
      <c r="A43" s="274">
        <v>41502</v>
      </c>
      <c r="B43" t="s">
        <v>369</v>
      </c>
      <c r="F43">
        <v>7.79</v>
      </c>
      <c r="G43">
        <v>455.6</v>
      </c>
      <c r="H43">
        <v>235</v>
      </c>
      <c r="I43">
        <v>21.7</v>
      </c>
      <c r="J43">
        <v>7.2151118797967792E-4</v>
      </c>
      <c r="K43">
        <v>3.1380325343206139</v>
      </c>
      <c r="L43">
        <v>0</v>
      </c>
      <c r="M43">
        <v>1.0292357096530105</v>
      </c>
      <c r="N43">
        <v>4.3692913766079338</v>
      </c>
      <c r="O43">
        <v>81.072243881742509</v>
      </c>
      <c r="P43">
        <v>0.10840705599394659</v>
      </c>
      <c r="Q43">
        <v>5.379767795373473</v>
      </c>
      <c r="R43">
        <v>0</v>
      </c>
      <c r="S43">
        <v>0</v>
      </c>
      <c r="T43">
        <v>16.548219851907902</v>
      </c>
      <c r="U43">
        <v>0</v>
      </c>
      <c r="V43">
        <v>9.3401427061939248</v>
      </c>
    </row>
    <row r="44" spans="1:22" x14ac:dyDescent="0.25">
      <c r="A44" s="274">
        <v>41546</v>
      </c>
      <c r="B44" t="s">
        <v>369</v>
      </c>
      <c r="D44">
        <v>-10.357356630303029</v>
      </c>
      <c r="E44">
        <v>56.530329399999999</v>
      </c>
      <c r="F44">
        <v>7.9</v>
      </c>
      <c r="G44">
        <v>468.2</v>
      </c>
      <c r="H44">
        <v>252</v>
      </c>
      <c r="I44">
        <v>21.8</v>
      </c>
      <c r="J44">
        <v>1E-3</v>
      </c>
      <c r="K44">
        <v>3.3138000000000001</v>
      </c>
      <c r="L44">
        <v>0</v>
      </c>
      <c r="M44">
        <v>1.0945</v>
      </c>
      <c r="N44">
        <v>3.9060000000000001</v>
      </c>
      <c r="O44">
        <v>88.539000000000001</v>
      </c>
      <c r="P44">
        <v>0.1152</v>
      </c>
      <c r="Q44">
        <v>5.8221999999999996</v>
      </c>
      <c r="R44">
        <v>0</v>
      </c>
      <c r="S44">
        <v>6.0999999999999999E-2</v>
      </c>
      <c r="T44">
        <v>16.479600000000001</v>
      </c>
      <c r="U44">
        <v>0</v>
      </c>
      <c r="V44">
        <v>10.1213</v>
      </c>
    </row>
    <row r="45" spans="1:22" x14ac:dyDescent="0.25">
      <c r="A45" s="274">
        <v>41566</v>
      </c>
      <c r="B45" t="s">
        <v>369</v>
      </c>
      <c r="D45">
        <v>-10.333829931972788</v>
      </c>
      <c r="E45">
        <v>59.901550500000006</v>
      </c>
      <c r="F45">
        <v>7.98</v>
      </c>
      <c r="G45">
        <v>465.1</v>
      </c>
      <c r="H45">
        <v>251</v>
      </c>
      <c r="I45">
        <v>22.4</v>
      </c>
      <c r="J45">
        <v>8.0000000000000004E-4</v>
      </c>
      <c r="K45">
        <v>3.2801999999999998</v>
      </c>
      <c r="L45">
        <v>0</v>
      </c>
      <c r="M45">
        <v>1.1297999999999999</v>
      </c>
      <c r="N45">
        <v>3.8</v>
      </c>
      <c r="O45">
        <v>84.451400000000007</v>
      </c>
      <c r="P45">
        <v>0.1086</v>
      </c>
      <c r="Q45">
        <v>4.6787999999999998</v>
      </c>
      <c r="R45">
        <v>0</v>
      </c>
      <c r="S45">
        <v>0</v>
      </c>
      <c r="T45">
        <v>14.8271</v>
      </c>
      <c r="U45">
        <v>0</v>
      </c>
      <c r="V45">
        <v>8.6605000000000008</v>
      </c>
    </row>
    <row r="46" spans="1:22" x14ac:dyDescent="0.25">
      <c r="A46" s="274">
        <v>41594</v>
      </c>
      <c r="B46" t="s">
        <v>369</v>
      </c>
      <c r="D46">
        <v>-10.433560000000002</v>
      </c>
      <c r="E46">
        <v>57.693684949999991</v>
      </c>
      <c r="F46">
        <v>8.39</v>
      </c>
      <c r="G46">
        <v>473.1</v>
      </c>
      <c r="H46">
        <v>263</v>
      </c>
      <c r="I46">
        <v>21.8</v>
      </c>
      <c r="J46">
        <v>8.0000000000000004E-4</v>
      </c>
      <c r="K46">
        <v>3.3751000000000002</v>
      </c>
      <c r="L46">
        <v>0</v>
      </c>
      <c r="M46">
        <v>1.1115999999999999</v>
      </c>
      <c r="N46">
        <v>4.0869999999999997</v>
      </c>
      <c r="O46">
        <v>85.742999999999995</v>
      </c>
      <c r="P46">
        <v>0.1186</v>
      </c>
      <c r="Q46">
        <v>5.1856</v>
      </c>
      <c r="R46">
        <v>0</v>
      </c>
      <c r="S46">
        <v>0</v>
      </c>
      <c r="T46">
        <v>17.604099999999999</v>
      </c>
      <c r="U46">
        <v>0</v>
      </c>
      <c r="V46">
        <v>9.3018999999999998</v>
      </c>
    </row>
    <row r="47" spans="1:22" x14ac:dyDescent="0.25">
      <c r="A47" s="274">
        <v>41624</v>
      </c>
      <c r="B47" t="s">
        <v>369</v>
      </c>
      <c r="D47">
        <v>-10.432357950000004</v>
      </c>
      <c r="E47">
        <v>54.488905000000003</v>
      </c>
      <c r="F47">
        <v>8.19</v>
      </c>
      <c r="G47">
        <v>474.6</v>
      </c>
      <c r="H47">
        <v>240</v>
      </c>
      <c r="I47">
        <v>22.1</v>
      </c>
      <c r="J47">
        <v>8.9999999999999998E-4</v>
      </c>
      <c r="K47">
        <v>3.5276000000000001</v>
      </c>
      <c r="L47">
        <v>0</v>
      </c>
      <c r="M47">
        <v>1.1008</v>
      </c>
      <c r="N47">
        <v>4.1768999999999998</v>
      </c>
      <c r="O47">
        <v>72.282300000000006</v>
      </c>
      <c r="P47">
        <v>0.109</v>
      </c>
      <c r="Q47">
        <v>5.9512</v>
      </c>
      <c r="R47">
        <v>0</v>
      </c>
      <c r="S47">
        <v>0.1047</v>
      </c>
      <c r="T47">
        <v>18.709199999999999</v>
      </c>
      <c r="U47">
        <v>0</v>
      </c>
      <c r="V47">
        <v>9.1106999999999996</v>
      </c>
    </row>
    <row r="48" spans="1:22" x14ac:dyDescent="0.25">
      <c r="A48" s="274">
        <v>41659</v>
      </c>
      <c r="B48" t="s">
        <v>369</v>
      </c>
      <c r="D48">
        <v>-10.422566666666668</v>
      </c>
      <c r="E48">
        <v>51.843575000000001</v>
      </c>
      <c r="F48">
        <v>8.18</v>
      </c>
      <c r="G48">
        <v>463.3</v>
      </c>
      <c r="H48">
        <v>250</v>
      </c>
      <c r="I48">
        <v>22.2</v>
      </c>
      <c r="J48">
        <v>8.9999999999999998E-4</v>
      </c>
      <c r="K48">
        <v>3.4127999999999998</v>
      </c>
      <c r="L48">
        <v>0</v>
      </c>
      <c r="M48">
        <v>1.0907</v>
      </c>
      <c r="N48">
        <v>4.1108000000000002</v>
      </c>
      <c r="O48">
        <v>79.013400000000004</v>
      </c>
      <c r="P48">
        <v>0.113</v>
      </c>
      <c r="Q48">
        <v>5.2704000000000004</v>
      </c>
      <c r="R48">
        <v>0</v>
      </c>
      <c r="S48">
        <v>5.0900000000000001E-2</v>
      </c>
      <c r="T48">
        <v>17.447099999999999</v>
      </c>
      <c r="U48">
        <v>0</v>
      </c>
      <c r="V48">
        <v>8.8877000000000006</v>
      </c>
    </row>
    <row r="49" spans="1:22" x14ac:dyDescent="0.25">
      <c r="A49" s="274">
        <v>41685</v>
      </c>
      <c r="B49" t="s">
        <v>369</v>
      </c>
      <c r="F49">
        <v>8.1</v>
      </c>
      <c r="G49">
        <v>474.2</v>
      </c>
      <c r="H49">
        <v>287</v>
      </c>
      <c r="I49">
        <v>21.8</v>
      </c>
      <c r="J49">
        <v>6.9999999999999999E-4</v>
      </c>
      <c r="K49">
        <v>3.4076</v>
      </c>
      <c r="L49">
        <v>0</v>
      </c>
      <c r="M49">
        <v>1.0878000000000001</v>
      </c>
      <c r="N49">
        <v>4.4185999999999996</v>
      </c>
      <c r="O49">
        <v>87.117099999999994</v>
      </c>
      <c r="P49">
        <v>0.1101</v>
      </c>
      <c r="Q49">
        <v>5.2142999999999997</v>
      </c>
      <c r="R49">
        <v>0</v>
      </c>
      <c r="S49">
        <v>9.4600000000000004E-2</v>
      </c>
      <c r="T49">
        <v>17.654</v>
      </c>
      <c r="U49">
        <v>0</v>
      </c>
      <c r="V49">
        <v>8.8445</v>
      </c>
    </row>
    <row r="50" spans="1:22" x14ac:dyDescent="0.25">
      <c r="A50" s="274">
        <v>41727</v>
      </c>
      <c r="B50" t="s">
        <v>369</v>
      </c>
      <c r="D50">
        <v>-10.678799999999999</v>
      </c>
      <c r="E50">
        <v>108.50657750000002</v>
      </c>
      <c r="F50">
        <v>8.11</v>
      </c>
      <c r="G50">
        <v>473.4</v>
      </c>
      <c r="H50">
        <v>250.45</v>
      </c>
      <c r="I50">
        <v>21.6</v>
      </c>
      <c r="J50">
        <v>6.9999999999999999E-4</v>
      </c>
      <c r="K50">
        <v>3.4563999999999999</v>
      </c>
      <c r="L50">
        <v>0</v>
      </c>
      <c r="M50">
        <v>1.0728</v>
      </c>
      <c r="N50">
        <v>4.2911999999999999</v>
      </c>
      <c r="O50">
        <v>83.991</v>
      </c>
      <c r="P50">
        <v>0.1061</v>
      </c>
      <c r="Q50">
        <v>5.5151000000000003</v>
      </c>
      <c r="R50">
        <v>0</v>
      </c>
      <c r="S50">
        <v>6.4000000000000001E-2</v>
      </c>
      <c r="T50">
        <v>17.653199999999998</v>
      </c>
      <c r="U50">
        <v>0</v>
      </c>
      <c r="V50">
        <v>9.0335000000000001</v>
      </c>
    </row>
    <row r="51" spans="1:22" x14ac:dyDescent="0.25">
      <c r="A51" s="274">
        <v>41624</v>
      </c>
      <c r="B51" t="s">
        <v>370</v>
      </c>
      <c r="D51">
        <v>-10.82202461666667</v>
      </c>
      <c r="E51">
        <v>48.464847333333324</v>
      </c>
      <c r="F51">
        <v>8.3699999999999992</v>
      </c>
      <c r="G51">
        <v>450</v>
      </c>
      <c r="H51">
        <v>233</v>
      </c>
      <c r="I51">
        <v>22.1</v>
      </c>
      <c r="J51">
        <v>8.9999999999999998E-4</v>
      </c>
      <c r="K51">
        <v>4.4367999999999999</v>
      </c>
      <c r="L51">
        <v>0</v>
      </c>
      <c r="M51">
        <v>1.4294</v>
      </c>
      <c r="N51">
        <v>5.3811999999999998</v>
      </c>
      <c r="O51">
        <v>68.688500000000005</v>
      </c>
      <c r="P51">
        <v>0.19109999999999999</v>
      </c>
      <c r="Q51">
        <v>11.8994</v>
      </c>
      <c r="R51">
        <v>0</v>
      </c>
      <c r="S51">
        <v>5.2699999999999997E-2</v>
      </c>
      <c r="T51">
        <v>14.552899999999999</v>
      </c>
      <c r="U51">
        <v>0</v>
      </c>
      <c r="V51">
        <v>8.7394999999999996</v>
      </c>
    </row>
    <row r="52" spans="1:22" x14ac:dyDescent="0.25">
      <c r="A52" s="274">
        <v>41659</v>
      </c>
      <c r="B52" t="s">
        <v>370</v>
      </c>
      <c r="D52">
        <v>-10.984233333333336</v>
      </c>
      <c r="E52">
        <v>51.843575000000001</v>
      </c>
      <c r="F52">
        <v>8.42</v>
      </c>
      <c r="H52">
        <v>223</v>
      </c>
      <c r="I52">
        <v>21.8</v>
      </c>
      <c r="J52">
        <v>8.9999999999999998E-4</v>
      </c>
      <c r="K52">
        <v>3.9409000000000001</v>
      </c>
      <c r="L52">
        <v>0</v>
      </c>
      <c r="M52">
        <v>1.4706999999999999</v>
      </c>
      <c r="N52">
        <v>4.7142999999999997</v>
      </c>
      <c r="O52">
        <v>69.044700000000006</v>
      </c>
      <c r="P52">
        <v>0.18990000000000001</v>
      </c>
      <c r="Q52">
        <v>6.1637000000000004</v>
      </c>
      <c r="R52">
        <v>5.6500000000000002E-2</v>
      </c>
      <c r="S52">
        <v>9.4399999999999998E-2</v>
      </c>
      <c r="T52">
        <v>14.901300000000001</v>
      </c>
      <c r="U52">
        <v>0</v>
      </c>
      <c r="V52">
        <v>8.0004000000000008</v>
      </c>
    </row>
    <row r="53" spans="1:22" x14ac:dyDescent="0.25">
      <c r="A53" s="274">
        <v>41474</v>
      </c>
      <c r="B53" t="s">
        <v>371</v>
      </c>
      <c r="D53">
        <v>-11.455525108000003</v>
      </c>
      <c r="E53">
        <v>61.256598937499987</v>
      </c>
      <c r="F53">
        <v>7.79</v>
      </c>
      <c r="G53">
        <v>371.5</v>
      </c>
      <c r="H53">
        <v>208.65</v>
      </c>
      <c r="I53">
        <v>21.4</v>
      </c>
      <c r="J53">
        <v>0</v>
      </c>
      <c r="K53">
        <v>3.1335999999999999</v>
      </c>
      <c r="L53">
        <v>0</v>
      </c>
      <c r="M53">
        <v>1.2525999999999999</v>
      </c>
      <c r="N53">
        <v>4.5049999999999999</v>
      </c>
      <c r="O53">
        <v>66.565100000000001</v>
      </c>
      <c r="P53">
        <v>0.22720000000000001</v>
      </c>
      <c r="Q53">
        <v>4.2377000000000002</v>
      </c>
      <c r="R53">
        <v>0</v>
      </c>
      <c r="S53">
        <v>4.9399999999999999E-2</v>
      </c>
      <c r="T53">
        <v>12.242699999999999</v>
      </c>
      <c r="U53">
        <v>0</v>
      </c>
      <c r="V53">
        <v>8.5886999999999993</v>
      </c>
    </row>
    <row r="54" spans="1:22" x14ac:dyDescent="0.25">
      <c r="A54" s="274">
        <v>41502</v>
      </c>
      <c r="B54" t="s">
        <v>371</v>
      </c>
      <c r="D54">
        <v>-10.402611428571426</v>
      </c>
      <c r="E54">
        <v>112.67380828571427</v>
      </c>
      <c r="F54">
        <v>7.68</v>
      </c>
      <c r="G54">
        <v>419.4</v>
      </c>
      <c r="H54">
        <v>239</v>
      </c>
      <c r="I54">
        <v>21.5</v>
      </c>
      <c r="J54">
        <v>8.3287851629659446E-4</v>
      </c>
      <c r="K54">
        <v>3.4691472400043897</v>
      </c>
      <c r="L54">
        <v>0</v>
      </c>
      <c r="M54">
        <v>1.0667091597468632</v>
      </c>
      <c r="N54">
        <v>6.8200257306946632</v>
      </c>
      <c r="O54">
        <v>73.570657980027079</v>
      </c>
      <c r="P54">
        <v>0.18469081098876983</v>
      </c>
      <c r="Q54">
        <v>5.4078802063137879</v>
      </c>
      <c r="R54">
        <v>0</v>
      </c>
      <c r="S54">
        <v>4.8931612832424927E-2</v>
      </c>
      <c r="T54">
        <v>18.781826981746356</v>
      </c>
      <c r="U54">
        <v>0</v>
      </c>
      <c r="V54">
        <v>8.6398652888027225</v>
      </c>
    </row>
    <row r="55" spans="1:22" x14ac:dyDescent="0.25">
      <c r="A55" s="274">
        <v>41546</v>
      </c>
      <c r="B55" t="s">
        <v>371</v>
      </c>
      <c r="D55">
        <v>-10.944856630303029</v>
      </c>
      <c r="E55">
        <v>48.845392599999997</v>
      </c>
      <c r="F55">
        <v>7.63</v>
      </c>
      <c r="G55">
        <v>445.1</v>
      </c>
      <c r="H55">
        <v>226</v>
      </c>
      <c r="I55">
        <v>21.4</v>
      </c>
      <c r="J55">
        <v>1.1999999999999999E-3</v>
      </c>
      <c r="K55">
        <v>3.2532000000000001</v>
      </c>
      <c r="L55">
        <v>0</v>
      </c>
      <c r="M55">
        <v>1.1008</v>
      </c>
      <c r="N55">
        <v>5.9873000000000003</v>
      </c>
      <c r="O55">
        <v>73.527299999999997</v>
      </c>
      <c r="P55">
        <v>0.14369999999999999</v>
      </c>
      <c r="Q55">
        <v>4.9077999999999999</v>
      </c>
      <c r="R55">
        <v>0</v>
      </c>
      <c r="S55">
        <v>3.6900000000000002E-2</v>
      </c>
      <c r="T55">
        <v>17.679400000000001</v>
      </c>
      <c r="U55">
        <v>0</v>
      </c>
      <c r="V55">
        <v>8.5871999999999993</v>
      </c>
    </row>
    <row r="56" spans="1:22" x14ac:dyDescent="0.25">
      <c r="A56" s="274">
        <v>41566</v>
      </c>
      <c r="B56" t="s">
        <v>371</v>
      </c>
      <c r="D56">
        <v>-10.67082993197279</v>
      </c>
      <c r="E56">
        <v>43.71073715</v>
      </c>
      <c r="F56">
        <v>8.17</v>
      </c>
      <c r="G56">
        <v>402.8</v>
      </c>
      <c r="H56">
        <v>223</v>
      </c>
      <c r="I56">
        <v>21.9</v>
      </c>
      <c r="J56">
        <v>1E-3</v>
      </c>
      <c r="K56">
        <v>3.4289000000000001</v>
      </c>
      <c r="L56">
        <v>0</v>
      </c>
      <c r="M56">
        <v>1.3219000000000001</v>
      </c>
      <c r="N56">
        <v>5.0213999999999999</v>
      </c>
      <c r="O56">
        <v>73.546199999999999</v>
      </c>
      <c r="P56">
        <v>0.17610000000000001</v>
      </c>
      <c r="Q56">
        <v>4.0707000000000004</v>
      </c>
      <c r="R56">
        <v>0</v>
      </c>
      <c r="S56">
        <v>4.5999999999999999E-2</v>
      </c>
      <c r="T56">
        <v>11.5852</v>
      </c>
      <c r="U56">
        <v>0</v>
      </c>
      <c r="V56">
        <v>7.5358000000000001</v>
      </c>
    </row>
    <row r="57" spans="1:22" x14ac:dyDescent="0.25">
      <c r="A57" s="274">
        <v>41594</v>
      </c>
      <c r="B57" t="s">
        <v>371</v>
      </c>
      <c r="D57">
        <v>-10.375160000000001</v>
      </c>
      <c r="E57">
        <v>46.53117125</v>
      </c>
      <c r="F57">
        <v>8.33</v>
      </c>
      <c r="G57">
        <v>431.8</v>
      </c>
      <c r="H57">
        <v>216</v>
      </c>
      <c r="I57">
        <v>21.6</v>
      </c>
      <c r="J57">
        <v>1.1000000000000001E-3</v>
      </c>
      <c r="K57">
        <v>3.6297999999999999</v>
      </c>
      <c r="L57">
        <v>0</v>
      </c>
      <c r="M57">
        <v>1.0757000000000001</v>
      </c>
      <c r="N57">
        <v>5.6447000000000003</v>
      </c>
      <c r="O57">
        <v>77.238100000000003</v>
      </c>
      <c r="P57">
        <v>0.18029999999999999</v>
      </c>
      <c r="Q57">
        <v>4.7931999999999997</v>
      </c>
      <c r="R57">
        <v>0</v>
      </c>
      <c r="S57">
        <v>0.1101</v>
      </c>
      <c r="T57">
        <v>22.359400000000001</v>
      </c>
      <c r="U57">
        <v>0</v>
      </c>
      <c r="V57">
        <v>8.6559000000000008</v>
      </c>
    </row>
    <row r="58" spans="1:22" x14ac:dyDescent="0.25">
      <c r="A58" s="274">
        <v>41624</v>
      </c>
      <c r="B58" t="s">
        <v>371</v>
      </c>
      <c r="D58">
        <v>-10.648024616666671</v>
      </c>
      <c r="E58">
        <v>48.274452291666663</v>
      </c>
      <c r="F58">
        <v>8.26</v>
      </c>
      <c r="G58">
        <v>437.9</v>
      </c>
      <c r="H58">
        <v>213</v>
      </c>
      <c r="I58">
        <v>21.6</v>
      </c>
      <c r="J58">
        <v>8.0000000000000004E-4</v>
      </c>
      <c r="K58">
        <v>4.7633000000000001</v>
      </c>
      <c r="L58">
        <v>0</v>
      </c>
      <c r="M58">
        <v>1.0528999999999999</v>
      </c>
      <c r="N58">
        <v>5.0797999999999996</v>
      </c>
      <c r="O58">
        <v>70.451400000000007</v>
      </c>
      <c r="P58">
        <v>0.16600000000000001</v>
      </c>
      <c r="Q58">
        <v>9.4382999999999999</v>
      </c>
      <c r="R58">
        <v>0</v>
      </c>
      <c r="S58">
        <v>0.1147</v>
      </c>
      <c r="T58">
        <v>20.901800000000001</v>
      </c>
      <c r="U58">
        <v>0</v>
      </c>
      <c r="V58">
        <v>8.6104000000000003</v>
      </c>
    </row>
    <row r="59" spans="1:22" x14ac:dyDescent="0.25">
      <c r="A59" s="274">
        <v>41659</v>
      </c>
      <c r="B59" t="s">
        <v>371</v>
      </c>
      <c r="D59">
        <v>-10.336566666666666</v>
      </c>
      <c r="E59">
        <v>47.225499999999997</v>
      </c>
      <c r="F59">
        <v>8.51</v>
      </c>
      <c r="G59">
        <v>513.6</v>
      </c>
      <c r="H59">
        <v>213</v>
      </c>
      <c r="I59">
        <v>21.6</v>
      </c>
      <c r="J59">
        <v>8.0000000000000004E-4</v>
      </c>
      <c r="K59">
        <v>3.9016000000000002</v>
      </c>
      <c r="L59">
        <v>0</v>
      </c>
      <c r="M59">
        <v>0.94430000000000003</v>
      </c>
      <c r="N59">
        <v>7.2481</v>
      </c>
      <c r="O59">
        <v>68.797399999999996</v>
      </c>
      <c r="P59">
        <v>0.1757</v>
      </c>
      <c r="Q59">
        <v>5.3650000000000002</v>
      </c>
      <c r="R59">
        <v>0</v>
      </c>
      <c r="S59">
        <v>7.5899999999999995E-2</v>
      </c>
      <c r="T59">
        <v>23.701499999999999</v>
      </c>
      <c r="U59">
        <v>0</v>
      </c>
      <c r="V59">
        <v>8.1708999999999996</v>
      </c>
    </row>
    <row r="60" spans="1:22" x14ac:dyDescent="0.25">
      <c r="A60" s="274">
        <v>41685</v>
      </c>
      <c r="B60" t="s">
        <v>371</v>
      </c>
      <c r="D60">
        <v>-10.267969999999998</v>
      </c>
      <c r="E60">
        <v>98.560861524999979</v>
      </c>
      <c r="F60">
        <v>8.31</v>
      </c>
      <c r="G60">
        <v>421.7</v>
      </c>
      <c r="H60">
        <v>220</v>
      </c>
      <c r="I60">
        <v>21.4</v>
      </c>
      <c r="J60">
        <v>8.0000000000000004E-4</v>
      </c>
      <c r="K60">
        <v>3.7433000000000001</v>
      </c>
      <c r="L60">
        <v>0</v>
      </c>
      <c r="M60">
        <v>1.1858</v>
      </c>
      <c r="N60">
        <v>7.8025000000000002</v>
      </c>
      <c r="O60">
        <v>71.343500000000006</v>
      </c>
      <c r="P60">
        <v>0.1855</v>
      </c>
      <c r="Q60">
        <v>5.3517999999999999</v>
      </c>
      <c r="R60">
        <v>0</v>
      </c>
      <c r="S60">
        <v>0.1012</v>
      </c>
      <c r="T60">
        <v>19.292999999999999</v>
      </c>
      <c r="U60">
        <v>0</v>
      </c>
      <c r="V60">
        <v>7.4409000000000001</v>
      </c>
    </row>
    <row r="61" spans="1:22" x14ac:dyDescent="0.25">
      <c r="A61" s="274">
        <v>41727</v>
      </c>
      <c r="B61" t="s">
        <v>371</v>
      </c>
      <c r="D61">
        <v>-10.408349999999999</v>
      </c>
      <c r="E61">
        <v>87.072892500000023</v>
      </c>
      <c r="F61">
        <v>8.3000000000000007</v>
      </c>
      <c r="G61">
        <v>410</v>
      </c>
      <c r="H61">
        <v>208.56</v>
      </c>
      <c r="I61">
        <v>21.5</v>
      </c>
      <c r="J61">
        <v>6.9999999999999999E-4</v>
      </c>
      <c r="K61">
        <v>4.0332999999999997</v>
      </c>
      <c r="L61">
        <v>0</v>
      </c>
      <c r="M61">
        <v>1.2074</v>
      </c>
      <c r="N61">
        <v>7.4089</v>
      </c>
      <c r="O61">
        <v>69.294200000000004</v>
      </c>
      <c r="P61">
        <v>0.18090000000000001</v>
      </c>
      <c r="Q61">
        <v>7.2424999999999997</v>
      </c>
      <c r="R61">
        <v>0</v>
      </c>
      <c r="S61">
        <v>0.1215</v>
      </c>
      <c r="T61">
        <v>17.954999999999998</v>
      </c>
      <c r="U61">
        <v>0</v>
      </c>
      <c r="V61">
        <v>7.7088000000000001</v>
      </c>
    </row>
    <row r="62" spans="1:22" x14ac:dyDescent="0.25">
      <c r="A62" s="274">
        <v>41448</v>
      </c>
      <c r="B62" t="s">
        <v>372</v>
      </c>
      <c r="F62">
        <v>8.11</v>
      </c>
      <c r="G62">
        <v>463.1</v>
      </c>
      <c r="H62">
        <v>289.39999999999998</v>
      </c>
      <c r="I62">
        <v>21.4</v>
      </c>
      <c r="J62">
        <v>1E-3</v>
      </c>
      <c r="K62">
        <v>4.5785999999999998</v>
      </c>
      <c r="L62">
        <v>0</v>
      </c>
      <c r="M62">
        <v>1.0403</v>
      </c>
      <c r="N62">
        <v>7.1577000000000002</v>
      </c>
      <c r="O62">
        <v>69.505200000000002</v>
      </c>
      <c r="P62">
        <v>0.1525</v>
      </c>
      <c r="Q62">
        <v>7.1868999999999996</v>
      </c>
      <c r="R62">
        <v>0</v>
      </c>
      <c r="S62">
        <v>7.3300000000000004E-2</v>
      </c>
      <c r="T62">
        <v>15.524900000000001</v>
      </c>
      <c r="U62">
        <v>0</v>
      </c>
      <c r="V62">
        <v>9.4696999999999996</v>
      </c>
    </row>
    <row r="63" spans="1:22" x14ac:dyDescent="0.25">
      <c r="A63" s="274">
        <v>41474</v>
      </c>
      <c r="B63" t="s">
        <v>372</v>
      </c>
      <c r="F63">
        <v>7.92</v>
      </c>
      <c r="G63">
        <v>467.9</v>
      </c>
      <c r="H63">
        <v>249</v>
      </c>
      <c r="I63">
        <v>24.6</v>
      </c>
      <c r="J63">
        <v>0</v>
      </c>
      <c r="K63">
        <v>4.3446999999999996</v>
      </c>
      <c r="L63">
        <v>0</v>
      </c>
      <c r="M63">
        <v>1.0548</v>
      </c>
      <c r="N63">
        <v>6.9771999999999998</v>
      </c>
      <c r="O63">
        <v>82.079099999999997</v>
      </c>
      <c r="P63">
        <v>0.16800000000000001</v>
      </c>
      <c r="Q63">
        <v>7.4846000000000004</v>
      </c>
      <c r="R63">
        <v>0</v>
      </c>
      <c r="S63">
        <v>0.1285</v>
      </c>
      <c r="T63">
        <v>14.9876</v>
      </c>
      <c r="U63">
        <v>0</v>
      </c>
      <c r="V63">
        <v>10.2958</v>
      </c>
    </row>
    <row r="64" spans="1:22" x14ac:dyDescent="0.25">
      <c r="A64" s="274">
        <v>41502</v>
      </c>
      <c r="B64" t="s">
        <v>372</v>
      </c>
      <c r="D64">
        <v>-10.303611428571426</v>
      </c>
      <c r="E64">
        <v>143.24339899999998</v>
      </c>
      <c r="F64">
        <v>7.81</v>
      </c>
      <c r="G64">
        <v>514.79999999999995</v>
      </c>
      <c r="H64">
        <v>282</v>
      </c>
      <c r="I64">
        <v>21.4</v>
      </c>
      <c r="J64">
        <v>9.1670156629533475E-4</v>
      </c>
      <c r="K64">
        <v>4.8895028143060566</v>
      </c>
      <c r="L64">
        <v>0</v>
      </c>
      <c r="M64">
        <v>1.0509066756009717</v>
      </c>
      <c r="N64">
        <v>7.6784756596029826</v>
      </c>
      <c r="O64">
        <v>92.862418686657179</v>
      </c>
      <c r="P64">
        <v>0.14172206214925873</v>
      </c>
      <c r="Q64">
        <v>8.8916385124382291</v>
      </c>
      <c r="R64">
        <v>0</v>
      </c>
      <c r="S64">
        <v>0.12155462769076138</v>
      </c>
      <c r="T64">
        <v>16.423441921433959</v>
      </c>
      <c r="U64">
        <v>0</v>
      </c>
      <c r="V64">
        <v>11.094472376245918</v>
      </c>
    </row>
    <row r="65" spans="1:22" x14ac:dyDescent="0.25">
      <c r="A65" s="274">
        <v>41546</v>
      </c>
      <c r="B65" t="s">
        <v>372</v>
      </c>
      <c r="D65">
        <v>-10.601656630303028</v>
      </c>
      <c r="E65">
        <v>64.084097600000007</v>
      </c>
      <c r="F65">
        <v>8</v>
      </c>
      <c r="G65">
        <v>514.4</v>
      </c>
      <c r="H65">
        <v>281</v>
      </c>
      <c r="I65">
        <v>21.4</v>
      </c>
      <c r="J65">
        <v>1.2999999999999999E-3</v>
      </c>
      <c r="K65">
        <v>4.6684000000000001</v>
      </c>
      <c r="L65">
        <v>0</v>
      </c>
      <c r="M65">
        <v>1.1153999999999999</v>
      </c>
      <c r="N65">
        <v>7.7305000000000001</v>
      </c>
      <c r="O65">
        <v>87.873800000000003</v>
      </c>
      <c r="P65">
        <v>0.13009999999999999</v>
      </c>
      <c r="Q65">
        <v>8.4360999999999997</v>
      </c>
      <c r="R65">
        <v>0</v>
      </c>
      <c r="S65">
        <v>7.9299999999999995E-2</v>
      </c>
      <c r="T65">
        <v>15.2355</v>
      </c>
      <c r="U65">
        <v>0</v>
      </c>
      <c r="V65">
        <v>10.9244</v>
      </c>
    </row>
    <row r="66" spans="1:22" x14ac:dyDescent="0.25">
      <c r="A66" s="274">
        <v>41566</v>
      </c>
      <c r="B66" t="s">
        <v>372</v>
      </c>
      <c r="D66">
        <v>-9.5300299319727895</v>
      </c>
      <c r="E66">
        <v>60.055795450000005</v>
      </c>
      <c r="F66">
        <v>8.3800000000000008</v>
      </c>
      <c r="G66">
        <v>487</v>
      </c>
      <c r="H66">
        <v>289</v>
      </c>
      <c r="I66">
        <v>22</v>
      </c>
      <c r="J66">
        <v>1E-3</v>
      </c>
      <c r="K66">
        <v>4.71</v>
      </c>
      <c r="L66">
        <v>0</v>
      </c>
      <c r="M66">
        <v>1.1151</v>
      </c>
      <c r="N66">
        <v>7.5190000000000001</v>
      </c>
      <c r="O66">
        <v>76.525499999999994</v>
      </c>
      <c r="P66">
        <v>0.1416</v>
      </c>
      <c r="Q66">
        <v>6.6891999999999996</v>
      </c>
      <c r="R66">
        <v>0</v>
      </c>
      <c r="S66">
        <v>0.1091</v>
      </c>
      <c r="T66">
        <v>13.2127</v>
      </c>
      <c r="U66">
        <v>0</v>
      </c>
      <c r="V66">
        <v>9.4080999999999992</v>
      </c>
    </row>
    <row r="67" spans="1:22" x14ac:dyDescent="0.25">
      <c r="A67" s="274">
        <v>41594</v>
      </c>
      <c r="B67" t="s">
        <v>372</v>
      </c>
      <c r="D67">
        <v>-9.6537600000000001</v>
      </c>
      <c r="E67">
        <v>53.967274100000012</v>
      </c>
      <c r="F67">
        <v>8.59</v>
      </c>
      <c r="G67">
        <v>568.79999999999995</v>
      </c>
      <c r="H67">
        <v>304</v>
      </c>
      <c r="I67">
        <v>21.5</v>
      </c>
      <c r="J67">
        <v>1.1000000000000001E-3</v>
      </c>
      <c r="K67">
        <v>6.4939</v>
      </c>
      <c r="L67">
        <v>0</v>
      </c>
      <c r="M67">
        <v>1.1462000000000001</v>
      </c>
      <c r="N67">
        <v>9.1260999999999992</v>
      </c>
      <c r="O67">
        <v>86.123000000000005</v>
      </c>
      <c r="P67">
        <v>0.1391</v>
      </c>
      <c r="Q67">
        <v>9.9352999999999998</v>
      </c>
      <c r="R67">
        <v>0</v>
      </c>
      <c r="S67">
        <v>0.1729</v>
      </c>
      <c r="T67">
        <v>22.6309</v>
      </c>
      <c r="U67">
        <v>0</v>
      </c>
      <c r="V67">
        <v>11.7225</v>
      </c>
    </row>
    <row r="68" spans="1:22" x14ac:dyDescent="0.25">
      <c r="A68" s="274">
        <v>41624</v>
      </c>
      <c r="B68" t="s">
        <v>372</v>
      </c>
      <c r="D68">
        <v>-9.7592746166666711</v>
      </c>
      <c r="E68">
        <v>62.231887916666665</v>
      </c>
      <c r="F68">
        <v>8.5399999999999991</v>
      </c>
      <c r="G68">
        <v>563.70000000000005</v>
      </c>
      <c r="H68">
        <v>275</v>
      </c>
      <c r="I68">
        <v>21.7</v>
      </c>
      <c r="J68">
        <v>1.1000000000000001E-3</v>
      </c>
      <c r="K68">
        <v>6.3502000000000001</v>
      </c>
      <c r="L68">
        <v>0</v>
      </c>
      <c r="M68">
        <v>1.0988</v>
      </c>
      <c r="N68">
        <v>9.3558000000000003</v>
      </c>
      <c r="O68">
        <v>75.432599999999994</v>
      </c>
      <c r="P68">
        <v>0.1363</v>
      </c>
      <c r="Q68">
        <v>10.548400000000001</v>
      </c>
      <c r="R68">
        <v>0</v>
      </c>
      <c r="S68">
        <v>0.20530000000000001</v>
      </c>
      <c r="T68">
        <v>26.137699999999999</v>
      </c>
      <c r="U68">
        <v>0</v>
      </c>
      <c r="V68">
        <v>11.8606</v>
      </c>
    </row>
    <row r="69" spans="1:22" x14ac:dyDescent="0.25">
      <c r="A69" s="274">
        <v>41659</v>
      </c>
      <c r="B69" t="s">
        <v>372</v>
      </c>
      <c r="D69">
        <v>-9.4417333333333353</v>
      </c>
      <c r="E69">
        <v>57.766800000000003</v>
      </c>
      <c r="F69">
        <v>8.51</v>
      </c>
      <c r="G69">
        <v>513.6</v>
      </c>
      <c r="H69">
        <v>255</v>
      </c>
      <c r="I69">
        <v>21.7</v>
      </c>
      <c r="J69">
        <v>1.1000000000000001E-3</v>
      </c>
      <c r="K69">
        <v>5.9203000000000001</v>
      </c>
      <c r="L69">
        <v>0</v>
      </c>
      <c r="M69">
        <v>1.0334000000000001</v>
      </c>
      <c r="N69">
        <v>8.6259999999999994</v>
      </c>
      <c r="O69">
        <v>75.823099999999997</v>
      </c>
      <c r="P69">
        <v>0.1389</v>
      </c>
      <c r="Q69">
        <v>9.5526</v>
      </c>
      <c r="R69">
        <v>0</v>
      </c>
      <c r="S69">
        <v>0.18029999999999999</v>
      </c>
      <c r="T69">
        <v>20.812999999999999</v>
      </c>
      <c r="U69">
        <v>0</v>
      </c>
      <c r="V69">
        <v>10.652799999999999</v>
      </c>
    </row>
    <row r="70" spans="1:22" x14ac:dyDescent="0.25">
      <c r="A70" s="274">
        <v>41685</v>
      </c>
      <c r="B70" t="s">
        <v>372</v>
      </c>
      <c r="D70">
        <v>-9.296619999999999</v>
      </c>
      <c r="E70">
        <v>96.009337549999998</v>
      </c>
      <c r="F70">
        <v>8.52</v>
      </c>
      <c r="G70">
        <v>507.2</v>
      </c>
      <c r="H70">
        <v>271</v>
      </c>
      <c r="I70">
        <v>21.5</v>
      </c>
      <c r="J70">
        <v>1E-3</v>
      </c>
      <c r="K70">
        <v>5.4177</v>
      </c>
      <c r="L70">
        <v>1.1999999999999999E-3</v>
      </c>
      <c r="M70">
        <v>1.0056</v>
      </c>
      <c r="N70">
        <v>8.3508999999999993</v>
      </c>
      <c r="O70">
        <v>78.45</v>
      </c>
      <c r="P70">
        <v>0.16020000000000001</v>
      </c>
      <c r="Q70">
        <v>8.9295000000000009</v>
      </c>
      <c r="R70">
        <v>0</v>
      </c>
      <c r="S70">
        <v>0.18060000000000001</v>
      </c>
      <c r="T70">
        <v>19.278500000000001</v>
      </c>
      <c r="U70">
        <v>0</v>
      </c>
      <c r="V70">
        <v>9.8978000000000002</v>
      </c>
    </row>
    <row r="71" spans="1:22" x14ac:dyDescent="0.25">
      <c r="A71" s="274">
        <v>41727</v>
      </c>
      <c r="B71" t="s">
        <v>372</v>
      </c>
      <c r="D71">
        <v>-10.053749999999997</v>
      </c>
      <c r="E71">
        <v>115.32975750000001</v>
      </c>
      <c r="F71">
        <v>8.4600000000000009</v>
      </c>
      <c r="G71">
        <v>513.5</v>
      </c>
      <c r="H71">
        <v>262.01</v>
      </c>
      <c r="I71">
        <v>21.4</v>
      </c>
      <c r="J71">
        <v>8.9999999999999998E-4</v>
      </c>
      <c r="K71">
        <v>5.5087000000000002</v>
      </c>
      <c r="L71">
        <v>5.0000000000000001E-4</v>
      </c>
      <c r="M71">
        <v>1.0370999999999999</v>
      </c>
      <c r="N71">
        <v>8.4169999999999998</v>
      </c>
      <c r="O71">
        <v>79.286500000000004</v>
      </c>
      <c r="P71">
        <v>0.14499999999999999</v>
      </c>
      <c r="Q71">
        <v>10.486499999999999</v>
      </c>
      <c r="R71">
        <v>0</v>
      </c>
      <c r="S71">
        <v>0.16900000000000001</v>
      </c>
      <c r="T71">
        <v>18.670999999999999</v>
      </c>
      <c r="U71">
        <v>0</v>
      </c>
      <c r="V71">
        <v>10.258599999999999</v>
      </c>
    </row>
    <row r="72" spans="1:22" x14ac:dyDescent="0.25">
      <c r="A72" s="274">
        <v>41502</v>
      </c>
      <c r="B72" t="s">
        <v>339</v>
      </c>
      <c r="D72">
        <v>-10.102997142857141</v>
      </c>
      <c r="E72">
        <v>151.72303585714286</v>
      </c>
      <c r="F72">
        <v>7.48</v>
      </c>
      <c r="G72">
        <v>600.6</v>
      </c>
      <c r="H72">
        <v>285</v>
      </c>
      <c r="I72">
        <v>22.5</v>
      </c>
      <c r="J72">
        <v>4.4449387275474235E-4</v>
      </c>
      <c r="K72">
        <v>14.967219930334061</v>
      </c>
      <c r="L72">
        <v>0</v>
      </c>
      <c r="M72">
        <v>2.4764976120530471</v>
      </c>
      <c r="N72">
        <v>14.735638622628841</v>
      </c>
      <c r="O72">
        <v>85.18569498489174</v>
      </c>
      <c r="P72">
        <v>8.5565070505287902E-2</v>
      </c>
      <c r="Q72">
        <v>23.113903630182978</v>
      </c>
      <c r="R72">
        <v>0</v>
      </c>
      <c r="S72">
        <v>0.16224026355548093</v>
      </c>
      <c r="T72">
        <v>21.643295652173915</v>
      </c>
      <c r="U72">
        <v>0</v>
      </c>
      <c r="V72">
        <v>15.027004356219575</v>
      </c>
    </row>
    <row r="73" spans="1:22" x14ac:dyDescent="0.25">
      <c r="A73" s="274">
        <v>41546</v>
      </c>
      <c r="B73" t="s">
        <v>339</v>
      </c>
      <c r="D73">
        <v>-10.399756630303028</v>
      </c>
      <c r="E73">
        <v>68.902614699999987</v>
      </c>
      <c r="F73">
        <v>7.56</v>
      </c>
      <c r="H73">
        <v>322</v>
      </c>
      <c r="I73">
        <v>21.4</v>
      </c>
      <c r="J73">
        <v>5.0000000000000001E-4</v>
      </c>
      <c r="K73">
        <v>14.463800000000001</v>
      </c>
      <c r="L73">
        <v>0</v>
      </c>
      <c r="M73">
        <v>2.6107999999999998</v>
      </c>
      <c r="N73">
        <v>14.992100000000001</v>
      </c>
      <c r="O73">
        <v>86.969300000000004</v>
      </c>
      <c r="P73">
        <v>8.43E-2</v>
      </c>
      <c r="Q73">
        <v>22.813199999999998</v>
      </c>
      <c r="R73">
        <v>0</v>
      </c>
      <c r="S73">
        <v>0.1484</v>
      </c>
      <c r="T73">
        <v>22.004300000000001</v>
      </c>
      <c r="U73">
        <v>0</v>
      </c>
      <c r="V73">
        <v>15.0345</v>
      </c>
    </row>
    <row r="74" spans="1:22" x14ac:dyDescent="0.25">
      <c r="A74" s="274">
        <v>41566</v>
      </c>
      <c r="B74" t="s">
        <v>339</v>
      </c>
      <c r="D74">
        <v>-10.223829931972789</v>
      </c>
      <c r="E74">
        <v>64.3528819</v>
      </c>
      <c r="F74">
        <v>7.78</v>
      </c>
      <c r="G74">
        <v>546.9</v>
      </c>
      <c r="H74">
        <v>284</v>
      </c>
      <c r="I74">
        <v>24.7</v>
      </c>
      <c r="J74">
        <v>4.0000000000000002E-4</v>
      </c>
      <c r="K74">
        <v>12.1632</v>
      </c>
      <c r="L74">
        <v>0</v>
      </c>
      <c r="M74">
        <v>2.4958999999999998</v>
      </c>
      <c r="N74">
        <v>13.620699999999999</v>
      </c>
      <c r="O74">
        <v>79.558700000000002</v>
      </c>
      <c r="P74">
        <v>9.3200000000000005E-2</v>
      </c>
      <c r="Q74">
        <v>14.0985</v>
      </c>
      <c r="R74">
        <v>0</v>
      </c>
      <c r="S74">
        <v>0.15679999999999999</v>
      </c>
      <c r="T74">
        <v>17.555199999999999</v>
      </c>
      <c r="U74">
        <v>0</v>
      </c>
      <c r="V74">
        <v>11.2989</v>
      </c>
    </row>
    <row r="75" spans="1:22" x14ac:dyDescent="0.25">
      <c r="A75" s="274">
        <v>41594</v>
      </c>
      <c r="B75" t="s">
        <v>339</v>
      </c>
      <c r="D75">
        <v>-9.9903600000000008</v>
      </c>
      <c r="E75">
        <v>56.257756550000003</v>
      </c>
      <c r="F75">
        <v>7.65</v>
      </c>
      <c r="H75">
        <v>280</v>
      </c>
      <c r="J75">
        <v>8.0000000000000004E-4</v>
      </c>
      <c r="K75">
        <v>11.978400000000001</v>
      </c>
      <c r="L75">
        <v>0</v>
      </c>
      <c r="M75">
        <v>2.4883999999999999</v>
      </c>
      <c r="N75">
        <v>12.6379</v>
      </c>
      <c r="O75">
        <v>84.511499999999998</v>
      </c>
      <c r="P75">
        <v>0.1135</v>
      </c>
      <c r="Q75">
        <v>13.948</v>
      </c>
      <c r="R75">
        <v>0</v>
      </c>
      <c r="S75">
        <v>9.2700000000000005E-2</v>
      </c>
      <c r="T75">
        <v>20.305499999999999</v>
      </c>
      <c r="U75">
        <v>0</v>
      </c>
      <c r="V75">
        <v>12.641400000000001</v>
      </c>
    </row>
    <row r="76" spans="1:22" x14ac:dyDescent="0.25">
      <c r="A76" s="274">
        <v>41624</v>
      </c>
      <c r="B76" t="s">
        <v>339</v>
      </c>
      <c r="D76">
        <v>-9.6659412833333374</v>
      </c>
      <c r="E76">
        <v>54.380094374999999</v>
      </c>
      <c r="F76">
        <v>7.89</v>
      </c>
      <c r="G76">
        <v>542.70000000000005</v>
      </c>
      <c r="H76">
        <v>265</v>
      </c>
      <c r="I76">
        <v>23.8</v>
      </c>
      <c r="J76">
        <v>1E-3</v>
      </c>
      <c r="K76">
        <v>10.9222</v>
      </c>
      <c r="L76">
        <v>0</v>
      </c>
      <c r="M76">
        <v>2.5453999999999999</v>
      </c>
      <c r="N76">
        <v>11.7285</v>
      </c>
      <c r="O76">
        <v>69.598600000000005</v>
      </c>
      <c r="P76">
        <v>0.11509999999999999</v>
      </c>
      <c r="Q76">
        <v>12.8399</v>
      </c>
      <c r="R76">
        <v>7.5600000000000001E-2</v>
      </c>
      <c r="S76">
        <v>0.10970000000000001</v>
      </c>
      <c r="T76">
        <v>20.231400000000001</v>
      </c>
      <c r="U76">
        <v>0</v>
      </c>
      <c r="V76">
        <v>12.5412</v>
      </c>
    </row>
    <row r="77" spans="1:22" x14ac:dyDescent="0.25">
      <c r="A77" s="274">
        <v>41659</v>
      </c>
      <c r="B77" t="s">
        <v>339</v>
      </c>
      <c r="D77">
        <v>-9.8569833333333339</v>
      </c>
      <c r="E77">
        <v>53.731999999999999</v>
      </c>
      <c r="F77">
        <v>7.65</v>
      </c>
      <c r="H77">
        <v>254</v>
      </c>
      <c r="J77">
        <v>4.0000000000000002E-4</v>
      </c>
      <c r="K77">
        <v>11.609500000000001</v>
      </c>
      <c r="L77">
        <v>0</v>
      </c>
      <c r="M77">
        <v>2.5493000000000001</v>
      </c>
      <c r="N77">
        <v>11.7742</v>
      </c>
      <c r="O77">
        <v>79.661100000000005</v>
      </c>
      <c r="P77">
        <v>0.12130000000000001</v>
      </c>
      <c r="Q77">
        <v>15.3004</v>
      </c>
      <c r="R77">
        <v>0</v>
      </c>
      <c r="S77">
        <v>0.13009999999999999</v>
      </c>
      <c r="T77">
        <v>21.632400000000001</v>
      </c>
      <c r="U77">
        <v>0</v>
      </c>
      <c r="V77">
        <v>13.1991</v>
      </c>
    </row>
    <row r="78" spans="1:22" x14ac:dyDescent="0.25">
      <c r="A78" s="274">
        <v>41685</v>
      </c>
      <c r="B78" t="s">
        <v>339</v>
      </c>
      <c r="D78">
        <v>-9.7118699999999993</v>
      </c>
      <c r="E78">
        <v>85.416905699999987</v>
      </c>
      <c r="F78">
        <v>7.88</v>
      </c>
      <c r="G78">
        <v>518.70000000000005</v>
      </c>
      <c r="H78">
        <v>243</v>
      </c>
      <c r="I78">
        <v>23.6</v>
      </c>
      <c r="J78">
        <v>5.0000000000000001E-4</v>
      </c>
      <c r="K78">
        <v>11.919</v>
      </c>
      <c r="L78">
        <v>0</v>
      </c>
      <c r="M78">
        <v>2.5497000000000001</v>
      </c>
      <c r="N78">
        <v>11.8987</v>
      </c>
      <c r="O78">
        <v>76.9559</v>
      </c>
      <c r="P78">
        <v>0.12479999999999999</v>
      </c>
      <c r="Q78">
        <v>17.212199999999999</v>
      </c>
      <c r="R78">
        <v>0</v>
      </c>
      <c r="S78">
        <v>0.15240000000000001</v>
      </c>
      <c r="T78">
        <v>23.414999999999999</v>
      </c>
      <c r="U78">
        <v>0</v>
      </c>
      <c r="V78">
        <v>13.4863</v>
      </c>
    </row>
    <row r="79" spans="1:22" x14ac:dyDescent="0.25">
      <c r="A79" s="274">
        <v>41727</v>
      </c>
      <c r="B79" t="s">
        <v>339</v>
      </c>
      <c r="D79">
        <v>-9.7644499999999983</v>
      </c>
      <c r="E79">
        <v>104.7453525</v>
      </c>
      <c r="F79">
        <v>7.35</v>
      </c>
      <c r="G79">
        <v>901.7</v>
      </c>
      <c r="H79">
        <v>254</v>
      </c>
      <c r="I79">
        <v>23.9</v>
      </c>
      <c r="J79">
        <v>4.0000000000000002E-4</v>
      </c>
      <c r="K79">
        <v>12.8032</v>
      </c>
      <c r="L79">
        <v>0</v>
      </c>
      <c r="M79">
        <v>2.6715</v>
      </c>
      <c r="N79">
        <v>12.663500000000001</v>
      </c>
      <c r="O79">
        <v>77.275400000000005</v>
      </c>
      <c r="P79">
        <v>0.1197</v>
      </c>
      <c r="Q79">
        <v>19.8429</v>
      </c>
      <c r="R79">
        <v>0</v>
      </c>
      <c r="S79">
        <v>0.20030000000000001</v>
      </c>
      <c r="T79">
        <v>24.202999999999999</v>
      </c>
      <c r="U79">
        <v>0</v>
      </c>
      <c r="V79">
        <v>13.9884</v>
      </c>
    </row>
    <row r="80" spans="1:22" x14ac:dyDescent="0.25">
      <c r="A80" s="274">
        <v>41448</v>
      </c>
      <c r="B80" t="s">
        <v>340</v>
      </c>
      <c r="D80">
        <v>-9.0167440468571431</v>
      </c>
      <c r="E80">
        <v>52.568117000000001</v>
      </c>
      <c r="F80">
        <v>8.02</v>
      </c>
      <c r="G80">
        <v>487.4</v>
      </c>
      <c r="H80">
        <v>216.78</v>
      </c>
      <c r="I80">
        <v>21.3</v>
      </c>
      <c r="J80">
        <v>4.0000000000000002E-4</v>
      </c>
      <c r="K80">
        <v>13.399900000000001</v>
      </c>
      <c r="L80">
        <v>0</v>
      </c>
      <c r="M80">
        <v>2.5573999999999999</v>
      </c>
      <c r="N80">
        <v>13.325699999999999</v>
      </c>
      <c r="O80">
        <v>63.046300000000002</v>
      </c>
      <c r="P80">
        <v>9.8500000000000004E-2</v>
      </c>
      <c r="Q80">
        <v>21.4023</v>
      </c>
      <c r="R80">
        <v>0</v>
      </c>
      <c r="S80">
        <v>0.16039999999999999</v>
      </c>
      <c r="T80">
        <v>22.693300000000001</v>
      </c>
      <c r="U80">
        <v>0</v>
      </c>
      <c r="V80">
        <v>13.4232</v>
      </c>
    </row>
    <row r="81" spans="1:22" x14ac:dyDescent="0.25">
      <c r="A81" s="274">
        <v>41474</v>
      </c>
      <c r="B81" t="s">
        <v>340</v>
      </c>
      <c r="D81">
        <v>-8.9762850330000035</v>
      </c>
      <c r="E81">
        <v>68.680938828124994</v>
      </c>
      <c r="F81">
        <v>7.82</v>
      </c>
      <c r="I81">
        <v>22.4</v>
      </c>
      <c r="J81">
        <v>0</v>
      </c>
      <c r="K81">
        <v>12.3878</v>
      </c>
      <c r="L81">
        <v>0</v>
      </c>
      <c r="M81">
        <v>2.5979000000000001</v>
      </c>
      <c r="N81">
        <v>12.943300000000001</v>
      </c>
      <c r="O81">
        <v>65.6584</v>
      </c>
      <c r="P81">
        <v>0.11310000000000001</v>
      </c>
      <c r="Q81">
        <v>22.645</v>
      </c>
      <c r="R81">
        <v>0</v>
      </c>
      <c r="S81">
        <v>0.23580000000000001</v>
      </c>
      <c r="T81">
        <v>22.750800000000002</v>
      </c>
      <c r="U81">
        <v>0</v>
      </c>
      <c r="V81">
        <v>14.5007</v>
      </c>
    </row>
    <row r="82" spans="1:22" x14ac:dyDescent="0.25">
      <c r="A82" s="274">
        <v>41502</v>
      </c>
      <c r="B82" t="s">
        <v>340</v>
      </c>
      <c r="D82">
        <v>-9.5652971428571423</v>
      </c>
      <c r="E82">
        <v>137.79889257142855</v>
      </c>
      <c r="F82">
        <v>7.73</v>
      </c>
      <c r="G82">
        <v>564.1</v>
      </c>
      <c r="H82">
        <v>271</v>
      </c>
      <c r="I82">
        <v>21.7</v>
      </c>
      <c r="J82">
        <v>5.1305778724228051E-4</v>
      </c>
      <c r="K82">
        <v>14.917326183331722</v>
      </c>
      <c r="L82">
        <v>0</v>
      </c>
      <c r="M82">
        <v>2.5042350595295715</v>
      </c>
      <c r="N82">
        <v>14.698934585228926</v>
      </c>
      <c r="O82">
        <v>79.519339502468313</v>
      </c>
      <c r="P82">
        <v>9.2863459490852784E-2</v>
      </c>
      <c r="Q82">
        <v>23.611432426676995</v>
      </c>
      <c r="R82">
        <v>0</v>
      </c>
      <c r="S82">
        <v>0.13835458329300165</v>
      </c>
      <c r="T82">
        <v>21.542270370728875</v>
      </c>
      <c r="U82">
        <v>0</v>
      </c>
      <c r="V82">
        <v>14.988641215758399</v>
      </c>
    </row>
    <row r="83" spans="1:22" x14ac:dyDescent="0.25">
      <c r="A83" s="274">
        <v>41546</v>
      </c>
      <c r="B83" t="s">
        <v>340</v>
      </c>
      <c r="D83">
        <v>-8.830956630303028</v>
      </c>
      <c r="E83">
        <v>59.128625049999997</v>
      </c>
      <c r="F83">
        <v>7.88</v>
      </c>
      <c r="G83">
        <v>540.9</v>
      </c>
      <c r="H83">
        <v>250</v>
      </c>
      <c r="I83">
        <v>21.9</v>
      </c>
      <c r="J83">
        <v>8.8000000000000005E-3</v>
      </c>
      <c r="K83">
        <v>14.507099999999999</v>
      </c>
      <c r="L83">
        <v>-0.13320000000000001</v>
      </c>
      <c r="M83">
        <v>2.6415000000000002</v>
      </c>
      <c r="N83">
        <v>14.885899999999999</v>
      </c>
      <c r="O83">
        <v>73.139399999999995</v>
      </c>
      <c r="P83">
        <v>8.0600000000000005E-2</v>
      </c>
      <c r="Q83">
        <v>22.540600000000001</v>
      </c>
      <c r="R83">
        <v>0</v>
      </c>
      <c r="S83">
        <v>0.14979999999999999</v>
      </c>
      <c r="T83">
        <v>21.987100000000002</v>
      </c>
      <c r="U83">
        <v>0</v>
      </c>
      <c r="V83">
        <v>14.7576</v>
      </c>
    </row>
    <row r="84" spans="1:22" x14ac:dyDescent="0.25">
      <c r="A84" s="274">
        <v>41566</v>
      </c>
      <c r="B84" t="s">
        <v>340</v>
      </c>
      <c r="D84">
        <v>-7.1803299319727891</v>
      </c>
      <c r="E84">
        <v>46.473347000000004</v>
      </c>
      <c r="F84">
        <v>8.19</v>
      </c>
      <c r="G84">
        <v>460.4</v>
      </c>
      <c r="H84">
        <v>225</v>
      </c>
      <c r="I84">
        <v>22.2</v>
      </c>
      <c r="J84">
        <v>8.0000000000000004E-4</v>
      </c>
      <c r="K84">
        <v>12.0433</v>
      </c>
      <c r="L84">
        <v>0</v>
      </c>
      <c r="M84">
        <v>2.4900000000000002</v>
      </c>
      <c r="N84">
        <v>13.3992</v>
      </c>
      <c r="O84">
        <v>61.754899999999999</v>
      </c>
      <c r="P84">
        <v>6.4799999999999996E-2</v>
      </c>
      <c r="Q84">
        <v>13.948</v>
      </c>
      <c r="R84">
        <v>0</v>
      </c>
      <c r="S84">
        <v>5.6000000000000001E-2</v>
      </c>
      <c r="T84">
        <v>663.16070000000002</v>
      </c>
      <c r="U84">
        <v>0</v>
      </c>
      <c r="V84">
        <v>12.0693</v>
      </c>
    </row>
    <row r="85" spans="1:22" x14ac:dyDescent="0.25">
      <c r="A85" s="274">
        <v>41594</v>
      </c>
      <c r="B85" t="s">
        <v>340</v>
      </c>
      <c r="D85">
        <v>-6.8620600000000014</v>
      </c>
      <c r="E85">
        <v>46.878271399999996</v>
      </c>
      <c r="F85">
        <v>8.48</v>
      </c>
      <c r="G85">
        <v>463.2</v>
      </c>
      <c r="H85">
        <v>211</v>
      </c>
      <c r="I85">
        <v>21.9</v>
      </c>
      <c r="J85">
        <v>5.9999999999999995E-4</v>
      </c>
      <c r="K85">
        <v>11.941000000000001</v>
      </c>
      <c r="L85">
        <v>0</v>
      </c>
      <c r="M85">
        <v>2.4929999999999999</v>
      </c>
      <c r="N85">
        <v>12.520200000000001</v>
      </c>
      <c r="O85">
        <v>62.023800000000001</v>
      </c>
      <c r="P85">
        <v>0.114</v>
      </c>
      <c r="Q85">
        <v>13.9057</v>
      </c>
      <c r="R85">
        <v>0</v>
      </c>
      <c r="S85">
        <v>0.1585</v>
      </c>
      <c r="T85">
        <v>20.3292</v>
      </c>
      <c r="U85">
        <v>0</v>
      </c>
      <c r="V85">
        <v>12.5639</v>
      </c>
    </row>
    <row r="86" spans="1:22" x14ac:dyDescent="0.25">
      <c r="A86" s="274">
        <v>41624</v>
      </c>
      <c r="B86" t="s">
        <v>340</v>
      </c>
      <c r="D86">
        <v>-5.953274616666671</v>
      </c>
      <c r="E86">
        <v>39.90715075</v>
      </c>
      <c r="F86">
        <v>8.27</v>
      </c>
      <c r="G86">
        <v>436.7</v>
      </c>
      <c r="H86">
        <v>199</v>
      </c>
      <c r="I86">
        <v>21.9</v>
      </c>
      <c r="J86">
        <v>4.0000000000000002E-4</v>
      </c>
      <c r="K86">
        <v>10.783799999999999</v>
      </c>
      <c r="L86">
        <v>1.6500000000000001E-2</v>
      </c>
      <c r="M86">
        <v>2.6202000000000001</v>
      </c>
      <c r="N86">
        <v>11.6609</v>
      </c>
      <c r="O86">
        <v>53.006100000000004</v>
      </c>
      <c r="P86">
        <v>0.11219999999999999</v>
      </c>
      <c r="Q86">
        <v>12.629200000000001</v>
      </c>
      <c r="R86">
        <v>0</v>
      </c>
      <c r="S86">
        <v>0.1237</v>
      </c>
      <c r="T86">
        <v>20.301400000000001</v>
      </c>
      <c r="U86">
        <v>0</v>
      </c>
      <c r="V86">
        <v>12.277200000000001</v>
      </c>
    </row>
    <row r="87" spans="1:22" x14ac:dyDescent="0.25">
      <c r="A87" s="274">
        <v>41659</v>
      </c>
      <c r="B87" t="s">
        <v>340</v>
      </c>
      <c r="D87">
        <v>-6.0969000000000007</v>
      </c>
      <c r="E87">
        <v>38.776674999999997</v>
      </c>
      <c r="F87">
        <v>8.35</v>
      </c>
      <c r="G87">
        <v>423.9</v>
      </c>
      <c r="H87">
        <v>188</v>
      </c>
      <c r="I87">
        <v>21.8</v>
      </c>
      <c r="J87">
        <v>4.0000000000000002E-4</v>
      </c>
      <c r="K87">
        <v>11.6389</v>
      </c>
      <c r="L87">
        <v>0</v>
      </c>
      <c r="M87">
        <v>2.5737000000000001</v>
      </c>
      <c r="N87">
        <v>11.6805</v>
      </c>
      <c r="O87">
        <v>54.095599999999997</v>
      </c>
      <c r="P87">
        <v>0.11310000000000001</v>
      </c>
      <c r="Q87">
        <v>15.0144</v>
      </c>
      <c r="R87">
        <v>0</v>
      </c>
      <c r="S87">
        <v>0.1226</v>
      </c>
      <c r="T87">
        <v>21.384699999999999</v>
      </c>
      <c r="U87">
        <v>0</v>
      </c>
      <c r="V87">
        <v>12.867900000000001</v>
      </c>
    </row>
    <row r="88" spans="1:22" x14ac:dyDescent="0.25">
      <c r="A88" s="274">
        <v>41685</v>
      </c>
      <c r="B88" t="s">
        <v>340</v>
      </c>
      <c r="D88">
        <v>-6.2506699999999995</v>
      </c>
      <c r="E88">
        <v>67.470126849999986</v>
      </c>
      <c r="F88">
        <v>8.2899999999999991</v>
      </c>
      <c r="G88">
        <v>430.1</v>
      </c>
      <c r="H88">
        <v>187</v>
      </c>
      <c r="I88">
        <v>21.4</v>
      </c>
      <c r="J88">
        <v>4.0000000000000002E-4</v>
      </c>
      <c r="K88">
        <v>11.9306</v>
      </c>
      <c r="L88">
        <v>0</v>
      </c>
      <c r="M88">
        <v>2.5604</v>
      </c>
      <c r="N88">
        <v>11.8019</v>
      </c>
      <c r="O88">
        <v>57.546700000000001</v>
      </c>
      <c r="P88">
        <v>0.1091</v>
      </c>
      <c r="Q88">
        <v>16.911999999999999</v>
      </c>
      <c r="R88">
        <v>0</v>
      </c>
      <c r="S88">
        <v>0.15629999999999999</v>
      </c>
      <c r="T88">
        <v>23.180199999999999</v>
      </c>
      <c r="U88">
        <v>0</v>
      </c>
      <c r="V88">
        <v>13.2094</v>
      </c>
    </row>
    <row r="89" spans="1:22" x14ac:dyDescent="0.25">
      <c r="A89" s="274">
        <v>41727</v>
      </c>
      <c r="B89" t="s">
        <v>340</v>
      </c>
      <c r="D89">
        <v>-8.2291999999999987</v>
      </c>
      <c r="E89">
        <v>88.911125000000013</v>
      </c>
      <c r="F89">
        <v>8.24</v>
      </c>
      <c r="G89">
        <v>478.4</v>
      </c>
      <c r="H89">
        <v>208.56</v>
      </c>
      <c r="I89">
        <v>21.8</v>
      </c>
      <c r="J89">
        <v>4.0000000000000002E-4</v>
      </c>
      <c r="K89">
        <v>12.807</v>
      </c>
      <c r="L89">
        <v>0</v>
      </c>
      <c r="M89">
        <v>2.6629</v>
      </c>
      <c r="N89">
        <v>12.6021</v>
      </c>
      <c r="O89">
        <v>63.488599999999998</v>
      </c>
      <c r="P89">
        <v>0.1087</v>
      </c>
      <c r="Q89">
        <v>19.869800000000001</v>
      </c>
      <c r="R89">
        <v>0</v>
      </c>
      <c r="S89">
        <v>0.16889999999999999</v>
      </c>
      <c r="T89">
        <v>24.176300000000001</v>
      </c>
      <c r="U89">
        <v>0</v>
      </c>
      <c r="V89">
        <v>13.913399999999999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0"/>
  <sheetViews>
    <sheetView workbookViewId="0">
      <pane xSplit="2" ySplit="3" topLeftCell="C16" activePane="bottomRight" state="frozenSplit"/>
      <selection pane="topRight" activeCell="B1" sqref="B1"/>
      <selection pane="bottomLeft" activeCell="A3" sqref="A3"/>
      <selection pane="bottomRight" activeCell="J27" sqref="J27"/>
    </sheetView>
  </sheetViews>
  <sheetFormatPr defaultRowHeight="15" x14ac:dyDescent="0.25"/>
  <cols>
    <col min="1" max="1" width="8.85546875" bestFit="1" customWidth="1"/>
    <col min="2" max="2" width="9.7109375" bestFit="1" customWidth="1"/>
    <col min="3" max="3" width="9.7109375" customWidth="1"/>
    <col min="4" max="8" width="12" bestFit="1" customWidth="1"/>
    <col min="9" max="9" width="12.7109375" bestFit="1" customWidth="1"/>
    <col min="10" max="10" width="12.7109375" customWidth="1"/>
    <col min="11" max="13" width="12.7109375" bestFit="1" customWidth="1"/>
    <col min="14" max="15" width="12" bestFit="1" customWidth="1"/>
    <col min="16" max="16" width="12.5703125" bestFit="1" customWidth="1"/>
    <col min="17" max="18" width="12.7109375" bestFit="1" customWidth="1"/>
    <col min="19" max="19" width="17.85546875" bestFit="1" customWidth="1"/>
    <col min="20" max="20" width="12" bestFit="1" customWidth="1"/>
    <col min="21" max="24" width="12.7109375" bestFit="1" customWidth="1"/>
    <col min="25" max="28" width="12" bestFit="1" customWidth="1"/>
    <col min="29" max="29" width="7.5703125" bestFit="1" customWidth="1"/>
    <col min="30" max="30" width="7.140625" bestFit="1" customWidth="1"/>
    <col min="31" max="32" width="12" bestFit="1" customWidth="1"/>
    <col min="33" max="33" width="12" customWidth="1"/>
    <col min="34" max="38" width="12" bestFit="1" customWidth="1"/>
    <col min="39" max="39" width="12.7109375" bestFit="1" customWidth="1"/>
    <col min="40" max="41" width="12" bestFit="1" customWidth="1"/>
    <col min="42" max="42" width="12.7109375" bestFit="1" customWidth="1"/>
    <col min="43" max="43" width="12.7109375" customWidth="1"/>
    <col min="44" max="44" width="20" bestFit="1" customWidth="1"/>
    <col min="45" max="45" width="19.7109375" bestFit="1" customWidth="1"/>
    <col min="46" max="46" width="5.28515625" bestFit="1" customWidth="1"/>
    <col min="47" max="47" width="5.140625" bestFit="1" customWidth="1"/>
    <col min="48" max="48" width="13.42578125" bestFit="1" customWidth="1"/>
    <col min="49" max="49" width="4.5703125" bestFit="1" customWidth="1"/>
    <col min="50" max="50" width="22.28515625" bestFit="1" customWidth="1"/>
    <col min="51" max="51" width="4.5703125" bestFit="1" customWidth="1"/>
    <col min="52" max="52" width="13.7109375" bestFit="1" customWidth="1"/>
    <col min="53" max="53" width="21.7109375" bestFit="1" customWidth="1"/>
    <col min="54" max="54" width="15" bestFit="1" customWidth="1"/>
    <col min="55" max="55" width="6" bestFit="1" customWidth="1"/>
    <col min="56" max="56" width="16.7109375" bestFit="1" customWidth="1"/>
    <col min="57" max="57" width="4.5703125" bestFit="1" customWidth="1"/>
    <col min="58" max="58" width="5.140625" bestFit="1" customWidth="1"/>
    <col min="59" max="59" width="16.42578125" bestFit="1" customWidth="1"/>
    <col min="60" max="60" width="5.140625" bestFit="1" customWidth="1"/>
    <col min="61" max="61" width="4.5703125" bestFit="1" customWidth="1"/>
    <col min="62" max="62" width="13.42578125" bestFit="1" customWidth="1"/>
    <col min="63" max="63" width="4.5703125" bestFit="1" customWidth="1"/>
    <col min="64" max="64" width="14.7109375" bestFit="1" customWidth="1"/>
    <col min="65" max="65" width="4.5703125" bestFit="1" customWidth="1"/>
    <col min="66" max="66" width="13.7109375" bestFit="1" customWidth="1"/>
    <col min="67" max="67" width="4.5703125" bestFit="1" customWidth="1"/>
    <col min="68" max="68" width="15" bestFit="1" customWidth="1"/>
    <col min="69" max="69" width="4.5703125" bestFit="1" customWidth="1"/>
    <col min="70" max="70" width="16.7109375" bestFit="1" customWidth="1"/>
    <col min="71" max="71" width="5.85546875" customWidth="1"/>
    <col min="72" max="72" width="6.28515625" customWidth="1"/>
    <col min="73" max="73" width="16.42578125" bestFit="1" customWidth="1"/>
    <col min="74" max="74" width="5.28515625" bestFit="1" customWidth="1"/>
    <col min="75" max="75" width="4.5703125" bestFit="1" customWidth="1"/>
    <col min="76" max="76" width="13.42578125" bestFit="1" customWidth="1"/>
    <col min="77" max="77" width="4.5703125" bestFit="1" customWidth="1"/>
    <col min="78" max="78" width="14.7109375" bestFit="1" customWidth="1"/>
    <col min="79" max="79" width="4.5703125" bestFit="1" customWidth="1"/>
    <col min="80" max="80" width="13.7109375" bestFit="1" customWidth="1"/>
    <col min="81" max="81" width="4.5703125" bestFit="1" customWidth="1"/>
    <col min="82" max="82" width="15" bestFit="1" customWidth="1"/>
  </cols>
  <sheetData>
    <row r="1" spans="1:82" s="66" customFormat="1" x14ac:dyDescent="0.25">
      <c r="A1" s="303" t="s">
        <v>204</v>
      </c>
      <c r="B1" s="303"/>
      <c r="C1" s="30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 t="s">
        <v>205</v>
      </c>
      <c r="O1" s="303"/>
      <c r="P1" s="303"/>
      <c r="Q1" s="303"/>
      <c r="R1" s="303"/>
      <c r="S1" s="303"/>
      <c r="T1" s="300" t="s">
        <v>198</v>
      </c>
      <c r="U1" s="301"/>
      <c r="V1" s="301"/>
      <c r="W1" s="301"/>
      <c r="X1" s="301"/>
      <c r="Y1" s="301"/>
      <c r="Z1" s="301"/>
      <c r="AA1" s="301"/>
      <c r="AB1" s="301"/>
      <c r="AC1" s="301"/>
      <c r="AD1" s="302"/>
      <c r="AE1" s="303"/>
      <c r="AF1" s="303"/>
      <c r="AG1" s="303"/>
      <c r="AH1" s="303"/>
      <c r="AI1" s="303"/>
      <c r="AJ1" s="303"/>
      <c r="AK1" s="303" t="s">
        <v>203</v>
      </c>
      <c r="AL1" s="303"/>
      <c r="AM1" s="303"/>
      <c r="AN1" s="303"/>
      <c r="AO1" s="303"/>
      <c r="AP1" s="303"/>
      <c r="AQ1" s="65"/>
      <c r="AU1" s="13"/>
    </row>
    <row r="2" spans="1:82" s="66" customFormat="1" x14ac:dyDescent="0.25">
      <c r="A2" s="303" t="s">
        <v>9</v>
      </c>
      <c r="B2" s="303"/>
      <c r="C2" s="292"/>
      <c r="D2" s="303" t="s">
        <v>109</v>
      </c>
      <c r="E2" s="303"/>
      <c r="F2" s="303"/>
      <c r="G2" s="303"/>
      <c r="H2" s="303"/>
      <c r="I2" s="303" t="s">
        <v>110</v>
      </c>
      <c r="J2" s="303"/>
      <c r="K2" s="303"/>
      <c r="L2" s="303"/>
      <c r="M2" s="303"/>
      <c r="N2" s="303" t="s">
        <v>118</v>
      </c>
      <c r="O2" s="303"/>
      <c r="P2" s="303"/>
      <c r="Q2" s="303"/>
      <c r="R2" s="303"/>
      <c r="S2" s="303"/>
      <c r="T2" s="190" t="s">
        <v>202</v>
      </c>
      <c r="U2" s="190" t="s">
        <v>202</v>
      </c>
      <c r="V2" s="190" t="s">
        <v>201</v>
      </c>
      <c r="W2" s="190" t="s">
        <v>200</v>
      </c>
      <c r="X2" s="190" t="s">
        <v>199</v>
      </c>
      <c r="Y2" s="190" t="s">
        <v>199</v>
      </c>
      <c r="Z2" s="190" t="s">
        <v>200</v>
      </c>
      <c r="AA2" s="190" t="s">
        <v>201</v>
      </c>
      <c r="AB2" s="190" t="s">
        <v>202</v>
      </c>
      <c r="AC2" s="307" t="s">
        <v>271</v>
      </c>
      <c r="AD2" s="308"/>
      <c r="AE2" s="303" t="s">
        <v>279</v>
      </c>
      <c r="AF2" s="303"/>
      <c r="AG2" s="303"/>
      <c r="AH2" s="303" t="s">
        <v>188</v>
      </c>
      <c r="AI2" s="303"/>
      <c r="AJ2" s="303"/>
      <c r="AK2" s="303" t="s">
        <v>178</v>
      </c>
      <c r="AL2" s="303"/>
      <c r="AM2" s="303"/>
      <c r="AN2" s="303" t="s">
        <v>179</v>
      </c>
      <c r="AO2" s="303"/>
      <c r="AP2" s="303"/>
      <c r="AQ2" s="65"/>
      <c r="AU2" s="13"/>
      <c r="AV2" s="66" t="s">
        <v>206</v>
      </c>
      <c r="BR2" s="283" t="s">
        <v>271</v>
      </c>
      <c r="BS2" s="284"/>
      <c r="BT2" s="285"/>
    </row>
    <row r="3" spans="1:82" s="66" customFormat="1" x14ac:dyDescent="0.25">
      <c r="A3" s="191" t="s">
        <v>0</v>
      </c>
      <c r="B3" s="191" t="s">
        <v>1</v>
      </c>
      <c r="C3" s="293" t="s">
        <v>382</v>
      </c>
      <c r="D3" s="191" t="s">
        <v>4</v>
      </c>
      <c r="E3" s="191" t="s">
        <v>5</v>
      </c>
      <c r="F3" s="191" t="s">
        <v>11</v>
      </c>
      <c r="G3" s="191" t="s">
        <v>12</v>
      </c>
      <c r="H3" s="191" t="s">
        <v>119</v>
      </c>
      <c r="I3" s="191" t="s">
        <v>6</v>
      </c>
      <c r="J3" s="191" t="s">
        <v>230</v>
      </c>
      <c r="K3" s="191" t="s">
        <v>7</v>
      </c>
      <c r="L3" s="191" t="s">
        <v>8</v>
      </c>
      <c r="M3" s="191" t="s">
        <v>120</v>
      </c>
      <c r="N3" s="192" t="s">
        <v>112</v>
      </c>
      <c r="O3" s="192" t="s">
        <v>113</v>
      </c>
      <c r="P3" s="192" t="s">
        <v>114</v>
      </c>
      <c r="Q3" s="192" t="s">
        <v>115</v>
      </c>
      <c r="R3" s="192" t="s">
        <v>116</v>
      </c>
      <c r="S3" s="192" t="s">
        <v>117</v>
      </c>
      <c r="T3" s="192" t="s">
        <v>112</v>
      </c>
      <c r="U3" s="191" t="s">
        <v>7</v>
      </c>
      <c r="V3" s="191" t="s">
        <v>6</v>
      </c>
      <c r="W3" s="191" t="s">
        <v>8</v>
      </c>
      <c r="X3" s="191" t="s">
        <v>120</v>
      </c>
      <c r="Y3" s="191" t="s">
        <v>119</v>
      </c>
      <c r="Z3" s="191" t="s">
        <v>12</v>
      </c>
      <c r="AA3" s="191" t="s">
        <v>11</v>
      </c>
      <c r="AB3" s="192" t="s">
        <v>112</v>
      </c>
      <c r="AC3" s="190" t="s">
        <v>189</v>
      </c>
      <c r="AD3" s="193" t="s">
        <v>191</v>
      </c>
      <c r="AE3" s="191" t="s">
        <v>11</v>
      </c>
      <c r="AF3" s="191" t="s">
        <v>12</v>
      </c>
      <c r="AG3" s="191" t="s">
        <v>112</v>
      </c>
      <c r="AH3" s="191" t="s">
        <v>6</v>
      </c>
      <c r="AI3" s="191" t="s">
        <v>7</v>
      </c>
      <c r="AJ3" s="191" t="s">
        <v>8</v>
      </c>
      <c r="AK3" s="192" t="s">
        <v>189</v>
      </c>
      <c r="AL3" s="192" t="s">
        <v>191</v>
      </c>
      <c r="AM3" s="192" t="s">
        <v>196</v>
      </c>
      <c r="AN3" s="192" t="s">
        <v>189</v>
      </c>
      <c r="AO3" s="192" t="s">
        <v>191</v>
      </c>
      <c r="AP3" s="192" t="s">
        <v>196</v>
      </c>
      <c r="AQ3" s="67"/>
      <c r="AR3" s="17"/>
      <c r="AS3" s="17"/>
      <c r="AT3" s="17"/>
      <c r="AU3" s="13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>
        <f t="shared" ref="BM3:BP4" si="0">MIN($U$4:$X$19)*1.1</f>
        <v>-4.7661917384582893</v>
      </c>
      <c r="BN3" s="17">
        <f t="shared" si="0"/>
        <v>-4.7661917384582893</v>
      </c>
      <c r="BO3" s="17">
        <f t="shared" si="0"/>
        <v>-4.7661917384582893</v>
      </c>
      <c r="BP3" s="17">
        <f t="shared" si="0"/>
        <v>-4.7661917384582893</v>
      </c>
      <c r="BQ3" s="17"/>
      <c r="BR3" s="286" t="s">
        <v>378</v>
      </c>
      <c r="BS3" s="282" t="s">
        <v>178</v>
      </c>
      <c r="BT3" s="27" t="s">
        <v>179</v>
      </c>
    </row>
    <row r="4" spans="1:82" s="6" customFormat="1" ht="15.75" thickBot="1" x14ac:dyDescent="0.3">
      <c r="A4" s="290" t="str">
        <f>'ppm-mgL-1'!A131</f>
        <v>SBF7</v>
      </c>
      <c r="B4" s="291">
        <f>'ppm-mgL-1'!C131</f>
        <v>42929</v>
      </c>
      <c r="C4" s="294" t="str">
        <f>CONCATENATE(A4," ",MONTH(B4),"/",YEAR(B4))</f>
        <v>SBF7 7/2017</v>
      </c>
      <c r="D4" s="135">
        <f>'ppm-mgL-1'!DO131</f>
        <v>0.3840838893360134</v>
      </c>
      <c r="E4" s="135">
        <f>'ppm-mgL-1'!DP131</f>
        <v>3.1203402705488471E-2</v>
      </c>
      <c r="F4" s="135">
        <f>'ppm-mgL-1'!DQ131</f>
        <v>1.9966066170966612</v>
      </c>
      <c r="G4" s="135">
        <f>'ppm-mgL-1'!DR131</f>
        <v>3.553178358362477</v>
      </c>
      <c r="H4" s="135">
        <f>'ppm-mgL-1'!DY131</f>
        <v>1.6474169576506401E-4</v>
      </c>
      <c r="I4" s="135">
        <f>'ppm-mgL-1'!DS131</f>
        <v>-4.3056701314789665</v>
      </c>
      <c r="J4" s="135">
        <f>'ppm-mgL-1'!ED131</f>
        <v>-2.7231448937660239E-2</v>
      </c>
      <c r="K4" s="135">
        <f>'ppm-mgL-1'!DT131</f>
        <v>-0.17177671847234366</v>
      </c>
      <c r="L4" s="135">
        <f>'ppm-mgL-1'!DV131</f>
        <v>-1.0395304728375039</v>
      </c>
      <c r="M4" s="135">
        <f>'ppm-mgL-1'!DU131</f>
        <v>-1.8546921291704363E-2</v>
      </c>
      <c r="N4" s="135">
        <f>D4+E4</f>
        <v>0.41528729204150189</v>
      </c>
      <c r="O4" s="89">
        <f>F4+G4</f>
        <v>5.5497849754591382</v>
      </c>
      <c r="P4" s="89">
        <f>N4+O4</f>
        <v>5.9650722675006405</v>
      </c>
      <c r="Q4" s="89">
        <f>K4+L4</f>
        <v>-1.2113071913098477</v>
      </c>
      <c r="R4" s="89">
        <f>I4+J4</f>
        <v>-4.3329015804166264</v>
      </c>
      <c r="S4" s="136">
        <f>Q4+R4</f>
        <v>-5.5442087717264741</v>
      </c>
      <c r="T4" s="135">
        <f>N4</f>
        <v>0.41528729204150189</v>
      </c>
      <c r="U4" s="89">
        <f>K4</f>
        <v>-0.17177671847234366</v>
      </c>
      <c r="V4" s="89">
        <f>R4</f>
        <v>-4.3329015804166264</v>
      </c>
      <c r="W4" s="89">
        <f>L4</f>
        <v>-1.0395304728375039</v>
      </c>
      <c r="X4" s="89">
        <f>M4</f>
        <v>-1.8546921291704363E-2</v>
      </c>
      <c r="Y4" s="89">
        <f>H4</f>
        <v>1.6474169576506401E-4</v>
      </c>
      <c r="Z4" s="89">
        <f>G4</f>
        <v>3.553178358362477</v>
      </c>
      <c r="AA4" s="89">
        <f>F4</f>
        <v>1.9966066170966612</v>
      </c>
      <c r="AB4" s="136">
        <f>T4</f>
        <v>0.41528729204150189</v>
      </c>
      <c r="AC4" s="135">
        <f>IF(Y4&lt;&gt;"",CEILING(MAX(Y4:AB4),1)+0.5,"")</f>
        <v>4.5</v>
      </c>
      <c r="AD4" s="136">
        <f>IF(U4&lt;&gt;"",FLOOR(MIN(U4:X4),1)-0.5,"")</f>
        <v>-5.5</v>
      </c>
      <c r="AE4" s="149">
        <f>IF($P4&lt;&gt;0,F4/$P4*100,0)</f>
        <v>33.471624945346008</v>
      </c>
      <c r="AF4" s="94">
        <f>IF($P4&lt;&gt;0,G4/$P4*100,0)</f>
        <v>59.566392476436093</v>
      </c>
      <c r="AG4" s="150">
        <f>IF($P4&lt;&gt;0,N4/$P4*100,0)</f>
        <v>6.9619825782178975</v>
      </c>
      <c r="AH4" s="135">
        <f>I4/$S4*100</f>
        <v>77.660678173527273</v>
      </c>
      <c r="AI4" s="89">
        <f>K4/$S4*100</f>
        <v>3.0983089841123022</v>
      </c>
      <c r="AJ4" s="136">
        <f>L4/$S4*100</f>
        <v>18.749843587037084</v>
      </c>
      <c r="AK4" s="135">
        <f>IF($AG4&lt;&gt;0,(($AG4+(0.5*AF4))/100),-1)</f>
        <v>0.36745178816435947</v>
      </c>
      <c r="AL4" s="89">
        <f>IF($AI4&lt;&gt;0,(($AI4+(0.5*AJ4))/100+1+$AS$10),-1)</f>
        <v>1.3247323077763085</v>
      </c>
      <c r="AM4" s="89">
        <f>(AK4+AL4)/2+(AO4-AN4)/(4*COS(0.5)*$AS$6)</f>
        <v>0.74405067574683648</v>
      </c>
      <c r="AN4" s="89">
        <f>IF($AF4&lt;&gt;"",((($AF4*COS(0.5))*$AS$6)/100),-1)</f>
        <v>0.52274427312038219</v>
      </c>
      <c r="AO4" s="89">
        <f>IF($AJ4&lt;&gt;"",((($AJ4*COS(0.5))*$AS$6)/100),-1)</f>
        <v>0.16454535770155779</v>
      </c>
      <c r="AP4" s="136">
        <f>2*COS(0.5)*$AS$6*(AL4-AK4)/2+(AO4+AN4)/2</f>
        <v>1.1837375062597713</v>
      </c>
      <c r="AR4" s="18"/>
      <c r="AS4" s="18"/>
      <c r="AT4" s="18"/>
      <c r="AU4" s="13"/>
      <c r="AV4" s="23"/>
      <c r="AW4" s="23"/>
      <c r="AX4" s="23"/>
      <c r="AY4" s="23"/>
      <c r="BG4" s="6" t="s">
        <v>381</v>
      </c>
      <c r="BI4" s="6">
        <f>MAX($Y$4:$AB$19)*1.1</f>
        <v>3.9084961941987251</v>
      </c>
      <c r="BJ4" s="6">
        <f>MAX($Y$4:$AB$19)*1.1</f>
        <v>3.9084961941987251</v>
      </c>
      <c r="BK4" s="6">
        <f>MAX($Y$4:$AB$19)*1.1</f>
        <v>3.9084961941987251</v>
      </c>
      <c r="BL4" s="6">
        <f>MAX($Y$4:$AB$19)*1.1</f>
        <v>3.9084961941987251</v>
      </c>
      <c r="BM4" s="17">
        <f t="shared" si="0"/>
        <v>-4.7661917384582893</v>
      </c>
      <c r="BN4" s="17">
        <f t="shared" si="0"/>
        <v>-4.7661917384582893</v>
      </c>
      <c r="BO4" s="17">
        <f t="shared" si="0"/>
        <v>-4.7661917384582893</v>
      </c>
      <c r="BP4" s="17">
        <f t="shared" si="0"/>
        <v>-4.7661917384582893</v>
      </c>
      <c r="BR4" s="59" t="s">
        <v>17</v>
      </c>
      <c r="BS4" s="4">
        <f>$AW$8+0.5*$AS$8*4</f>
        <v>0.06</v>
      </c>
      <c r="BT4" s="60">
        <f>$AX$8-COS(0.5)*$AS$8*4</f>
        <v>-0.10530990742684472</v>
      </c>
    </row>
    <row r="5" spans="1:82" x14ac:dyDescent="0.25">
      <c r="A5" s="135"/>
      <c r="B5" s="148"/>
      <c r="C5" s="200"/>
      <c r="D5" s="135"/>
      <c r="E5" s="89"/>
      <c r="F5" s="89"/>
      <c r="G5" s="89"/>
      <c r="H5" s="136"/>
      <c r="I5" s="135"/>
      <c r="J5" s="89"/>
      <c r="K5" s="89"/>
      <c r="L5" s="89"/>
      <c r="M5" s="136"/>
      <c r="N5" s="135"/>
      <c r="O5" s="89"/>
      <c r="P5" s="89"/>
      <c r="Q5" s="89"/>
      <c r="R5" s="89"/>
      <c r="S5" s="136"/>
      <c r="T5" s="135"/>
      <c r="U5" s="89"/>
      <c r="V5" s="89"/>
      <c r="W5" s="89"/>
      <c r="X5" s="89"/>
      <c r="Y5" s="89"/>
      <c r="Z5" s="89"/>
      <c r="AA5" s="89"/>
      <c r="AB5" s="136"/>
      <c r="AC5" s="135"/>
      <c r="AD5" s="136"/>
      <c r="AE5" s="149"/>
      <c r="AF5" s="94"/>
      <c r="AG5" s="150"/>
      <c r="AH5" s="135"/>
      <c r="AI5" s="89"/>
      <c r="AJ5" s="136"/>
      <c r="AK5" s="135"/>
      <c r="AL5" s="89"/>
      <c r="AM5" s="89"/>
      <c r="AN5" s="89"/>
      <c r="AO5" s="89"/>
      <c r="AP5" s="136"/>
      <c r="AR5" s="68"/>
      <c r="AS5" s="69" t="s">
        <v>272</v>
      </c>
      <c r="AU5" s="13"/>
      <c r="AV5" s="11"/>
      <c r="AW5" s="25"/>
      <c r="AX5" s="21" t="s">
        <v>192</v>
      </c>
      <c r="AY5" s="8"/>
      <c r="AZ5" s="25"/>
      <c r="BA5" s="21" t="s">
        <v>193</v>
      </c>
      <c r="BB5" s="7"/>
      <c r="BC5" s="305" t="s">
        <v>195</v>
      </c>
      <c r="BD5" s="306"/>
      <c r="BG5" s="63" t="s">
        <v>197</v>
      </c>
      <c r="BH5" s="61">
        <v>3</v>
      </c>
      <c r="BI5" s="64">
        <v>3</v>
      </c>
      <c r="BJ5" s="64">
        <v>2</v>
      </c>
      <c r="BK5" s="64">
        <v>1</v>
      </c>
      <c r="BL5" s="64">
        <v>0</v>
      </c>
      <c r="BM5" s="64">
        <v>0</v>
      </c>
      <c r="BN5" s="64">
        <v>1</v>
      </c>
      <c r="BO5" s="64">
        <v>2</v>
      </c>
      <c r="BP5" s="62">
        <v>3</v>
      </c>
      <c r="BR5" s="59" t="s">
        <v>18</v>
      </c>
      <c r="BS5" s="4">
        <f>$AW$7-$AS$8*4</f>
        <v>0.38</v>
      </c>
      <c r="BT5" s="60">
        <f>$AX$7</f>
        <v>0.87758256189037276</v>
      </c>
    </row>
    <row r="6" spans="1:82" x14ac:dyDescent="0.25">
      <c r="A6" s="135"/>
      <c r="B6" s="148"/>
      <c r="C6" s="200"/>
      <c r="D6" s="135"/>
      <c r="E6" s="89"/>
      <c r="F6" s="89"/>
      <c r="G6" s="89"/>
      <c r="H6" s="136"/>
      <c r="I6" s="135"/>
      <c r="J6" s="89"/>
      <c r="K6" s="89"/>
      <c r="L6" s="89"/>
      <c r="M6" s="136"/>
      <c r="N6" s="135"/>
      <c r="O6" s="89"/>
      <c r="P6" s="89"/>
      <c r="Q6" s="89"/>
      <c r="R6" s="89"/>
      <c r="S6" s="136"/>
      <c r="T6" s="135"/>
      <c r="U6" s="89"/>
      <c r="V6" s="89"/>
      <c r="W6" s="89"/>
      <c r="X6" s="89"/>
      <c r="Y6" s="89"/>
      <c r="Z6" s="89"/>
      <c r="AA6" s="89"/>
      <c r="AB6" s="136"/>
      <c r="AC6" s="135"/>
      <c r="AD6" s="136"/>
      <c r="AE6" s="149"/>
      <c r="AF6" s="94"/>
      <c r="AG6" s="150"/>
      <c r="AH6" s="135"/>
      <c r="AI6" s="89"/>
      <c r="AJ6" s="136"/>
      <c r="AK6" s="135"/>
      <c r="AL6" s="89"/>
      <c r="AM6" s="89"/>
      <c r="AN6" s="89"/>
      <c r="AO6" s="89"/>
      <c r="AP6" s="136"/>
      <c r="AR6" s="19" t="s">
        <v>176</v>
      </c>
      <c r="AS6" s="70">
        <v>1</v>
      </c>
      <c r="AU6" s="13"/>
      <c r="AV6" s="11"/>
      <c r="AW6" s="26" t="s">
        <v>178</v>
      </c>
      <c r="AX6" s="27" t="s">
        <v>179</v>
      </c>
      <c r="AY6" s="8"/>
      <c r="AZ6" s="26" t="s">
        <v>178</v>
      </c>
      <c r="BA6" s="27" t="s">
        <v>179</v>
      </c>
      <c r="BC6" s="26" t="s">
        <v>178</v>
      </c>
      <c r="BD6" s="27" t="s">
        <v>179</v>
      </c>
      <c r="BR6" s="59" t="s">
        <v>112</v>
      </c>
      <c r="BS6" s="4">
        <f>$AW$9+0.5*$AS$8*3</f>
        <v>1.0449999999999999</v>
      </c>
      <c r="BT6" s="60">
        <f>$AX$8+COS(0.5)*$AS$8*4</f>
        <v>0.10530990742684472</v>
      </c>
    </row>
    <row r="7" spans="1:82" x14ac:dyDescent="0.25">
      <c r="A7" s="135"/>
      <c r="B7" s="148"/>
      <c r="C7" s="200"/>
      <c r="D7" s="135"/>
      <c r="E7" s="89"/>
      <c r="F7" s="89"/>
      <c r="G7" s="89"/>
      <c r="H7" s="136"/>
      <c r="I7" s="135"/>
      <c r="J7" s="89"/>
      <c r="K7" s="89"/>
      <c r="L7" s="89"/>
      <c r="M7" s="136"/>
      <c r="N7" s="135"/>
      <c r="O7" s="89"/>
      <c r="P7" s="89"/>
      <c r="Q7" s="89"/>
      <c r="R7" s="89"/>
      <c r="S7" s="136"/>
      <c r="T7" s="135"/>
      <c r="U7" s="89"/>
      <c r="V7" s="89"/>
      <c r="W7" s="89"/>
      <c r="X7" s="89"/>
      <c r="Y7" s="89"/>
      <c r="Z7" s="89"/>
      <c r="AA7" s="89"/>
      <c r="AB7" s="136"/>
      <c r="AC7" s="135"/>
      <c r="AD7" s="136"/>
      <c r="AE7" s="149"/>
      <c r="AF7" s="94"/>
      <c r="AG7" s="150"/>
      <c r="AH7" s="135"/>
      <c r="AI7" s="89"/>
      <c r="AJ7" s="136"/>
      <c r="AK7" s="135"/>
      <c r="AL7" s="89"/>
      <c r="AM7" s="89"/>
      <c r="AN7" s="89"/>
      <c r="AO7" s="89"/>
      <c r="AP7" s="136"/>
      <c r="AR7" s="20" t="s">
        <v>177</v>
      </c>
      <c r="AS7" s="71">
        <v>0.1</v>
      </c>
      <c r="AU7" s="13"/>
      <c r="AV7" s="9"/>
      <c r="AW7" s="33">
        <v>0.5</v>
      </c>
      <c r="AX7" s="34">
        <f>COS(0.5)*$AS$6</f>
        <v>0.87758256189037276</v>
      </c>
      <c r="AY7" s="8"/>
      <c r="AZ7" s="33">
        <f>AW7+1+$AS$10</f>
        <v>1.7</v>
      </c>
      <c r="BA7" s="34">
        <f>COS(0.5)*$AS$6</f>
        <v>0.87758256189037276</v>
      </c>
      <c r="BC7" s="57">
        <f>$AW$8+1+$AS$10/2</f>
        <v>1.1000000000000001</v>
      </c>
      <c r="BD7" s="58">
        <f>AX8+COS(0.5)*AS10*AS6</f>
        <v>0.17551651237807456</v>
      </c>
      <c r="BR7" s="59" t="s">
        <v>379</v>
      </c>
      <c r="BS7" s="4">
        <f>$AZ$8-0.5*$AS$8*3</f>
        <v>1.155</v>
      </c>
      <c r="BT7" s="60">
        <f>$AX$8+COS(0.5)*$AS$8*4</f>
        <v>0.10530990742684472</v>
      </c>
    </row>
    <row r="8" spans="1:82" x14ac:dyDescent="0.25">
      <c r="A8" s="135"/>
      <c r="B8" s="148"/>
      <c r="C8" s="200"/>
      <c r="D8" s="135"/>
      <c r="E8" s="89"/>
      <c r="F8" s="89"/>
      <c r="G8" s="89"/>
      <c r="H8" s="136"/>
      <c r="I8" s="135"/>
      <c r="J8" s="89"/>
      <c r="K8" s="89"/>
      <c r="L8" s="89"/>
      <c r="M8" s="136"/>
      <c r="N8" s="135"/>
      <c r="O8" s="89"/>
      <c r="P8" s="89"/>
      <c r="Q8" s="89"/>
      <c r="R8" s="89"/>
      <c r="S8" s="136"/>
      <c r="T8" s="135"/>
      <c r="U8" s="89"/>
      <c r="V8" s="89"/>
      <c r="W8" s="89"/>
      <c r="X8" s="89"/>
      <c r="Y8" s="89"/>
      <c r="Z8" s="89"/>
      <c r="AA8" s="89"/>
      <c r="AB8" s="136"/>
      <c r="AC8" s="135"/>
      <c r="AD8" s="136"/>
      <c r="AE8" s="149"/>
      <c r="AF8" s="94"/>
      <c r="AG8" s="150"/>
      <c r="AH8" s="135"/>
      <c r="AI8" s="89"/>
      <c r="AJ8" s="136"/>
      <c r="AK8" s="135"/>
      <c r="AL8" s="89"/>
      <c r="AM8" s="89"/>
      <c r="AN8" s="89"/>
      <c r="AO8" s="89"/>
      <c r="AP8" s="136"/>
      <c r="AR8" s="20" t="s">
        <v>180</v>
      </c>
      <c r="AS8" s="71">
        <v>0.03</v>
      </c>
      <c r="AU8" s="13"/>
      <c r="AV8" s="9"/>
      <c r="AW8" s="28">
        <v>0</v>
      </c>
      <c r="AX8" s="29">
        <v>0</v>
      </c>
      <c r="AY8" s="8"/>
      <c r="AZ8" s="28">
        <f>AW8+1+$AS$10</f>
        <v>1.2</v>
      </c>
      <c r="BA8" s="29">
        <v>0</v>
      </c>
      <c r="BC8" s="59">
        <f>BC7-0.5</f>
        <v>0.60000000000000009</v>
      </c>
      <c r="BD8" s="60">
        <f>BD7+AX7</f>
        <v>1.0530990742684474</v>
      </c>
      <c r="BR8" s="59" t="s">
        <v>19</v>
      </c>
      <c r="BS8" s="4">
        <f>$AZ$9-0.5*$AS$8*4</f>
        <v>2.14</v>
      </c>
      <c r="BT8" s="60">
        <f>$AX$8-COS(0.5)*$AS$8*4</f>
        <v>-0.10530990742684472</v>
      </c>
    </row>
    <row r="9" spans="1:82" x14ac:dyDescent="0.25">
      <c r="A9" s="135"/>
      <c r="B9" s="148"/>
      <c r="C9" s="200"/>
      <c r="D9" s="135"/>
      <c r="E9" s="89"/>
      <c r="F9" s="89"/>
      <c r="G9" s="89"/>
      <c r="H9" s="136"/>
      <c r="I9" s="135"/>
      <c r="J9" s="89"/>
      <c r="K9" s="89"/>
      <c r="L9" s="89"/>
      <c r="M9" s="136"/>
      <c r="N9" s="135"/>
      <c r="O9" s="89"/>
      <c r="P9" s="89"/>
      <c r="Q9" s="89"/>
      <c r="R9" s="89"/>
      <c r="S9" s="136"/>
      <c r="T9" s="135"/>
      <c r="U9" s="89"/>
      <c r="V9" s="89"/>
      <c r="W9" s="89"/>
      <c r="X9" s="89"/>
      <c r="Y9" s="89"/>
      <c r="Z9" s="89"/>
      <c r="AA9" s="89"/>
      <c r="AB9" s="136"/>
      <c r="AC9" s="135"/>
      <c r="AD9" s="136"/>
      <c r="AE9" s="149"/>
      <c r="AF9" s="94"/>
      <c r="AG9" s="150"/>
      <c r="AH9" s="135"/>
      <c r="AI9" s="89"/>
      <c r="AJ9" s="136"/>
      <c r="AK9" s="135"/>
      <c r="AL9" s="89"/>
      <c r="AM9" s="89"/>
      <c r="AN9" s="89"/>
      <c r="AO9" s="89"/>
      <c r="AP9" s="136"/>
      <c r="AR9" s="20" t="s">
        <v>194</v>
      </c>
      <c r="AS9" s="71">
        <v>0</v>
      </c>
      <c r="AU9" s="13"/>
      <c r="AV9" s="9"/>
      <c r="AW9" s="28">
        <v>1</v>
      </c>
      <c r="AX9" s="29">
        <v>0</v>
      </c>
      <c r="AY9" s="8"/>
      <c r="AZ9" s="28">
        <f>AW9+1+$AS$10</f>
        <v>2.2000000000000002</v>
      </c>
      <c r="BA9" s="29">
        <v>0</v>
      </c>
      <c r="BC9" s="59">
        <f>BC7</f>
        <v>1.1000000000000001</v>
      </c>
      <c r="BD9" s="60">
        <f>BD7+2*AX7</f>
        <v>1.9306816361588202</v>
      </c>
      <c r="BR9" s="59" t="s">
        <v>20</v>
      </c>
      <c r="BS9" s="4">
        <f>$AZ$10+$AS$8*4</f>
        <v>1.8199999999999998</v>
      </c>
      <c r="BT9" s="60">
        <f>$BA$10</f>
        <v>0.87758256189037276</v>
      </c>
    </row>
    <row r="10" spans="1:82" ht="15.75" thickBot="1" x14ac:dyDescent="0.3">
      <c r="A10" s="135"/>
      <c r="B10" s="148"/>
      <c r="C10" s="200"/>
      <c r="D10" s="135"/>
      <c r="E10" s="89"/>
      <c r="F10" s="89"/>
      <c r="G10" s="89"/>
      <c r="H10" s="136"/>
      <c r="I10" s="135"/>
      <c r="J10" s="89"/>
      <c r="K10" s="89"/>
      <c r="L10" s="89"/>
      <c r="M10" s="136"/>
      <c r="N10" s="135"/>
      <c r="O10" s="89"/>
      <c r="P10" s="89"/>
      <c r="Q10" s="89"/>
      <c r="R10" s="89"/>
      <c r="S10" s="136"/>
      <c r="T10" s="135"/>
      <c r="U10" s="89"/>
      <c r="V10" s="89"/>
      <c r="W10" s="89"/>
      <c r="X10" s="89"/>
      <c r="Y10" s="89"/>
      <c r="Z10" s="89"/>
      <c r="AA10" s="89"/>
      <c r="AB10" s="136"/>
      <c r="AC10" s="135"/>
      <c r="AD10" s="136"/>
      <c r="AE10" s="149"/>
      <c r="AF10" s="94"/>
      <c r="AG10" s="150"/>
      <c r="AH10" s="135"/>
      <c r="AI10" s="89"/>
      <c r="AJ10" s="136"/>
      <c r="AK10" s="135"/>
      <c r="AL10" s="89"/>
      <c r="AM10" s="89"/>
      <c r="AN10" s="89"/>
      <c r="AO10" s="89"/>
      <c r="AP10" s="136"/>
      <c r="AR10" s="22" t="s">
        <v>190</v>
      </c>
      <c r="AS10" s="72">
        <v>0.2</v>
      </c>
      <c r="AU10" s="13"/>
      <c r="AV10" s="9"/>
      <c r="AW10" s="30">
        <v>0.5</v>
      </c>
      <c r="AX10" s="31">
        <f>COS(0.5)*$AS$6</f>
        <v>0.87758256189037276</v>
      </c>
      <c r="AY10" s="8"/>
      <c r="AZ10" s="30">
        <f>AW10+1+$AS$10</f>
        <v>1.7</v>
      </c>
      <c r="BA10" s="31">
        <f>COS(0.5)*$AS$6</f>
        <v>0.87758256189037276</v>
      </c>
      <c r="BC10" s="59">
        <f>BC7+0.5</f>
        <v>1.6</v>
      </c>
      <c r="BD10" s="60">
        <f>BD8</f>
        <v>1.0530990742684474</v>
      </c>
      <c r="BR10" s="59" t="s">
        <v>115</v>
      </c>
      <c r="BS10" s="4">
        <f>$BC$9-0.5*$AS$8*4-0.05</f>
        <v>0.99</v>
      </c>
      <c r="BT10" s="60">
        <f>$BD$9+COS(0.5)*$AS$8*4</f>
        <v>2.035991543585665</v>
      </c>
    </row>
    <row r="11" spans="1:82" ht="15.75" thickBot="1" x14ac:dyDescent="0.3">
      <c r="AS11" s="8"/>
      <c r="AT11" s="10"/>
      <c r="AU11" s="13"/>
      <c r="AV11" s="9"/>
      <c r="AW11" s="8"/>
      <c r="AX11" s="8"/>
      <c r="AY11" s="8"/>
      <c r="BC11" s="61">
        <f>BC7</f>
        <v>1.1000000000000001</v>
      </c>
      <c r="BD11" s="62">
        <f>BD7</f>
        <v>0.17551651237807456</v>
      </c>
      <c r="BR11" s="61" t="s">
        <v>113</v>
      </c>
      <c r="BS11" s="64">
        <f>$BC$9+0.5*$AS$8*4+0.05</f>
        <v>1.2100000000000002</v>
      </c>
      <c r="BT11" s="62">
        <f>$BD$9+COS(0.5)*$AS$8*4</f>
        <v>2.035991543585665</v>
      </c>
    </row>
    <row r="12" spans="1:82" x14ac:dyDescent="0.25">
      <c r="A12" s="135"/>
      <c r="B12" s="148"/>
      <c r="C12" s="200"/>
      <c r="D12" s="135"/>
      <c r="E12" s="89"/>
      <c r="F12" s="89"/>
      <c r="G12" s="89"/>
      <c r="H12" s="136"/>
      <c r="I12" s="135"/>
      <c r="J12" s="89"/>
      <c r="K12" s="89"/>
      <c r="L12" s="89"/>
      <c r="M12" s="136"/>
      <c r="N12" s="135"/>
      <c r="O12" s="89"/>
      <c r="P12" s="89"/>
      <c r="Q12" s="89"/>
      <c r="R12" s="89"/>
      <c r="S12" s="136"/>
      <c r="T12" s="135"/>
      <c r="U12" s="89"/>
      <c r="V12" s="89"/>
      <c r="W12" s="89"/>
      <c r="X12" s="89"/>
      <c r="Y12" s="89"/>
      <c r="Z12" s="89"/>
      <c r="AA12" s="89"/>
      <c r="AB12" s="136"/>
      <c r="AC12" s="135"/>
      <c r="AD12" s="136"/>
      <c r="AE12" s="149"/>
      <c r="AF12" s="94"/>
      <c r="AG12" s="150"/>
      <c r="AH12" s="135"/>
      <c r="AI12" s="89"/>
      <c r="AJ12" s="136"/>
      <c r="AK12" s="135"/>
      <c r="AL12" s="89"/>
      <c r="AM12" s="89"/>
      <c r="AN12" s="89"/>
      <c r="AO12" s="89"/>
      <c r="AP12" s="136"/>
      <c r="AS12" s="73"/>
      <c r="AT12" s="12"/>
      <c r="AU12" s="8"/>
      <c r="AV12" s="8"/>
      <c r="AW12" s="8"/>
      <c r="AX12" s="8"/>
      <c r="AY12" s="8"/>
    </row>
    <row r="13" spans="1:82" x14ac:dyDescent="0.25">
      <c r="A13" s="135"/>
      <c r="B13" s="148"/>
      <c r="C13" s="200"/>
      <c r="D13" s="135"/>
      <c r="E13" s="89"/>
      <c r="F13" s="89"/>
      <c r="G13" s="89"/>
      <c r="H13" s="136"/>
      <c r="I13" s="135"/>
      <c r="J13" s="89"/>
      <c r="K13" s="89"/>
      <c r="L13" s="89"/>
      <c r="M13" s="136"/>
      <c r="N13" s="135"/>
      <c r="O13" s="89"/>
      <c r="P13" s="89"/>
      <c r="Q13" s="89"/>
      <c r="R13" s="89"/>
      <c r="S13" s="136"/>
      <c r="T13" s="135"/>
      <c r="U13" s="89"/>
      <c r="V13" s="89"/>
      <c r="W13" s="89"/>
      <c r="X13" s="89"/>
      <c r="Y13" s="89"/>
      <c r="Z13" s="89"/>
      <c r="AA13" s="89"/>
      <c r="AB13" s="136"/>
      <c r="AC13" s="135"/>
      <c r="AD13" s="136"/>
      <c r="AE13" s="149"/>
      <c r="AF13" s="94"/>
      <c r="AG13" s="150"/>
      <c r="AH13" s="135"/>
      <c r="AI13" s="89"/>
      <c r="AJ13" s="136"/>
      <c r="AK13" s="135"/>
      <c r="AL13" s="89"/>
      <c r="AM13" s="89"/>
      <c r="AN13" s="89"/>
      <c r="AO13" s="89"/>
      <c r="AP13" s="136"/>
      <c r="AS13" s="74" t="s">
        <v>206</v>
      </c>
      <c r="AT13" s="35" t="s">
        <v>181</v>
      </c>
      <c r="AU13" s="36"/>
      <c r="AV13" s="37" t="s">
        <v>182</v>
      </c>
      <c r="AW13" s="36"/>
      <c r="AX13" s="37" t="s">
        <v>183</v>
      </c>
      <c r="AY13" s="36"/>
      <c r="AZ13" s="37" t="s">
        <v>184</v>
      </c>
      <c r="BA13" s="36"/>
      <c r="BB13" s="37" t="s">
        <v>185</v>
      </c>
      <c r="BC13" s="36"/>
      <c r="BD13" s="37" t="s">
        <v>186</v>
      </c>
      <c r="BE13" s="36"/>
      <c r="BF13" s="38"/>
      <c r="BG13" s="39" t="s">
        <v>187</v>
      </c>
      <c r="BH13" s="40"/>
      <c r="BI13" s="36"/>
      <c r="BJ13" s="37" t="s">
        <v>182</v>
      </c>
      <c r="BK13" s="36"/>
      <c r="BL13" s="37" t="s">
        <v>183</v>
      </c>
      <c r="BM13" s="36"/>
      <c r="BN13" s="37" t="s">
        <v>184</v>
      </c>
      <c r="BO13" s="36"/>
      <c r="BP13" s="37" t="s">
        <v>185</v>
      </c>
      <c r="BQ13" s="36"/>
      <c r="BR13" s="37" t="s">
        <v>186</v>
      </c>
      <c r="BS13" s="36"/>
      <c r="BT13" s="38"/>
      <c r="BU13" s="39" t="s">
        <v>187</v>
      </c>
      <c r="BV13" s="40"/>
      <c r="BW13" s="36"/>
      <c r="BX13" s="37" t="s">
        <v>182</v>
      </c>
      <c r="BY13" s="36"/>
      <c r="BZ13" s="37" t="s">
        <v>183</v>
      </c>
      <c r="CA13" s="36"/>
      <c r="CB13" s="37" t="s">
        <v>184</v>
      </c>
      <c r="CC13" s="36"/>
      <c r="CD13" s="37" t="s">
        <v>185</v>
      </c>
    </row>
    <row r="14" spans="1:82" x14ac:dyDescent="0.25">
      <c r="A14" s="149"/>
      <c r="B14" s="148"/>
      <c r="C14" s="84"/>
      <c r="D14" s="149"/>
      <c r="E14" s="94"/>
      <c r="F14" s="94"/>
      <c r="G14" s="94"/>
      <c r="H14" s="150"/>
      <c r="I14" s="149"/>
      <c r="J14" s="89"/>
      <c r="K14" s="94"/>
      <c r="L14" s="94"/>
      <c r="M14" s="150"/>
      <c r="N14" s="149"/>
      <c r="O14" s="94"/>
      <c r="P14" s="94"/>
      <c r="Q14" s="94"/>
      <c r="R14" s="94"/>
      <c r="S14" s="150"/>
      <c r="T14" s="149"/>
      <c r="U14" s="94"/>
      <c r="V14" s="94"/>
      <c r="W14" s="94"/>
      <c r="X14" s="94"/>
      <c r="Y14" s="94"/>
      <c r="Z14" s="94"/>
      <c r="AA14" s="94"/>
      <c r="AB14" s="150"/>
      <c r="AC14" s="135"/>
      <c r="AD14" s="136"/>
      <c r="AE14" s="149"/>
      <c r="AF14" s="94"/>
      <c r="AG14" s="150"/>
      <c r="AH14" s="149"/>
      <c r="AI14" s="94"/>
      <c r="AJ14" s="150"/>
      <c r="AK14" s="149"/>
      <c r="AL14" s="94"/>
      <c r="AM14" s="94"/>
      <c r="AN14" s="94"/>
      <c r="AO14" s="94"/>
      <c r="AP14" s="150"/>
      <c r="AS14" s="74"/>
      <c r="AT14" s="41"/>
      <c r="AU14" s="42"/>
      <c r="AV14" s="43"/>
      <c r="AW14" s="42"/>
      <c r="AX14" s="43"/>
      <c r="AY14" s="42"/>
      <c r="AZ14" s="43"/>
      <c r="BA14" s="42"/>
      <c r="BB14" s="43"/>
      <c r="BC14" s="42"/>
      <c r="BD14" s="43"/>
      <c r="BE14" s="42"/>
      <c r="BF14" s="44"/>
      <c r="BG14" s="44"/>
      <c r="BH14" s="43"/>
      <c r="BI14" s="42"/>
      <c r="BJ14" s="43"/>
      <c r="BK14" s="42"/>
      <c r="BL14" s="43"/>
      <c r="BM14" s="42"/>
      <c r="BN14" s="43"/>
      <c r="BO14" s="42"/>
      <c r="BP14" s="43"/>
      <c r="BQ14" s="42"/>
      <c r="BR14" s="43"/>
      <c r="BS14" s="42"/>
      <c r="BT14" s="44"/>
      <c r="BU14" s="44"/>
      <c r="BV14" s="43"/>
      <c r="BW14" s="42"/>
      <c r="BX14" s="43"/>
      <c r="BY14" s="42"/>
      <c r="BZ14" s="43"/>
      <c r="CA14" s="42"/>
      <c r="CB14" s="43"/>
      <c r="CC14" s="42"/>
      <c r="CD14" s="43"/>
    </row>
    <row r="15" spans="1:82" x14ac:dyDescent="0.25">
      <c r="A15" s="149"/>
      <c r="B15" s="148"/>
      <c r="C15" s="84"/>
      <c r="D15" s="149"/>
      <c r="E15" s="94"/>
      <c r="F15" s="94"/>
      <c r="G15" s="94"/>
      <c r="H15" s="150"/>
      <c r="I15" s="149"/>
      <c r="J15" s="89"/>
      <c r="K15" s="94"/>
      <c r="L15" s="94"/>
      <c r="M15" s="150"/>
      <c r="N15" s="149"/>
      <c r="O15" s="94"/>
      <c r="P15" s="94"/>
      <c r="Q15" s="94"/>
      <c r="R15" s="94"/>
      <c r="S15" s="150"/>
      <c r="T15" s="149"/>
      <c r="U15" s="94"/>
      <c r="V15" s="94"/>
      <c r="W15" s="94"/>
      <c r="X15" s="94"/>
      <c r="Y15" s="94"/>
      <c r="Z15" s="94"/>
      <c r="AA15" s="94"/>
      <c r="AB15" s="150"/>
      <c r="AC15" s="135"/>
      <c r="AD15" s="136"/>
      <c r="AE15" s="149"/>
      <c r="AF15" s="94"/>
      <c r="AG15" s="150"/>
      <c r="AH15" s="149"/>
      <c r="AI15" s="94"/>
      <c r="AJ15" s="150"/>
      <c r="AK15" s="149"/>
      <c r="AL15" s="94"/>
      <c r="AM15" s="94"/>
      <c r="AN15" s="94"/>
      <c r="AO15" s="94"/>
      <c r="AP15" s="150"/>
      <c r="AS15" s="74"/>
      <c r="AT15" s="45">
        <f>IF(AND($AS$7&gt;0, $AS$8&gt;0), 0, "")</f>
        <v>0</v>
      </c>
      <c r="AU15" s="46">
        <f>IF(AT15&lt;&gt;"", 0, 0)</f>
        <v>0</v>
      </c>
      <c r="AV15" s="47">
        <f>IF(AT15&lt;&gt;"", (AT15*COS(0.5)*$AS$6), 0)</f>
        <v>0</v>
      </c>
      <c r="AW15" s="46">
        <f>IF(AT15&lt;&gt;"", 1, 0)</f>
        <v>1</v>
      </c>
      <c r="AX15" s="47">
        <f>IF(AT15&lt;&gt;"", (AT15*COS(0.5)*$AS$6), 0)</f>
        <v>0</v>
      </c>
      <c r="AY15" s="46">
        <f>IF(AND($AS$9=1,AT15&lt;&gt;""), 0, 0)</f>
        <v>0</v>
      </c>
      <c r="AZ15" s="47">
        <f>IF($AS$9=1, 0, 0)</f>
        <v>0</v>
      </c>
      <c r="BA15" s="46">
        <f>IF($AS$9=1, 1, 0)</f>
        <v>0</v>
      </c>
      <c r="BB15" s="47">
        <f>IF(AND($AS$9=1, AT15&lt;&gt;""), 0, 0)</f>
        <v>0</v>
      </c>
      <c r="BC15" s="46">
        <v>0</v>
      </c>
      <c r="BD15" s="47">
        <v>0</v>
      </c>
      <c r="BE15" s="49">
        <v>0</v>
      </c>
      <c r="BF15" s="50">
        <v>0</v>
      </c>
      <c r="BG15" s="46">
        <f t="shared" ref="BG15:BH46" si="1">BE15</f>
        <v>0</v>
      </c>
      <c r="BH15" s="47">
        <f t="shared" si="1"/>
        <v>0</v>
      </c>
      <c r="BI15" s="55">
        <f>IF(AT15&lt;&gt;"",AU15+1+$AS$10, $AZ$7)</f>
        <v>1.2</v>
      </c>
      <c r="BJ15" s="48">
        <f>AX15</f>
        <v>0</v>
      </c>
      <c r="BK15" s="55">
        <f>AW15+1+$AS$10</f>
        <v>2.2000000000000002</v>
      </c>
      <c r="BL15" s="48">
        <f>AV15</f>
        <v>0</v>
      </c>
      <c r="BM15" s="55"/>
      <c r="BN15" s="48"/>
      <c r="BO15" s="55"/>
      <c r="BP15" s="48"/>
      <c r="BQ15" s="55">
        <f>BC15+1+$AS$10</f>
        <v>1.2</v>
      </c>
      <c r="BR15" s="48">
        <f>BD15</f>
        <v>0</v>
      </c>
      <c r="BS15" s="55">
        <f t="shared" ref="BS15:BS46" si="2">BE15+1+$AS$10</f>
        <v>1.2</v>
      </c>
      <c r="BT15" s="48">
        <f>BF15</f>
        <v>0</v>
      </c>
      <c r="BU15" s="55">
        <f>IF(AT15&lt;&gt;"",BG15+1+$AS$10,BQ15)</f>
        <v>1.2</v>
      </c>
      <c r="BV15" s="48">
        <f>IF(AT15&lt;&gt;"",BH15,0)</f>
        <v>0</v>
      </c>
      <c r="BW15" s="55">
        <f t="shared" ref="BW15:BW46" si="3">BI15-$AZ$8+$BC$8</f>
        <v>0.60000000000000009</v>
      </c>
      <c r="BX15" s="55">
        <f t="shared" ref="BX15:BX46" si="4">BJ15+$BD$9-$BA$7</f>
        <v>1.0530990742684474</v>
      </c>
      <c r="BY15" s="55">
        <f t="shared" ref="BY15:BY46" si="5">AW15+$BC$10-$AW$9</f>
        <v>1.6</v>
      </c>
      <c r="BZ15" s="55">
        <f t="shared" ref="BZ15:BZ46" si="6">AX15+$BD$9-$AX$7</f>
        <v>1.0530990742684474</v>
      </c>
      <c r="CA15" s="46">
        <f>IF(AND($AS$9=1,AT15&lt;&gt;""), BW15, $BW$15)</f>
        <v>0.60000000000000009</v>
      </c>
      <c r="CB15" s="46">
        <f>IF(AND($AS$9=1,AT15&lt;&gt;""), BX15, $BX$15)</f>
        <v>1.0530990742684474</v>
      </c>
      <c r="CC15" s="46">
        <f>IF(AND($AS$9=1,AT15&lt;&gt;""), BY15, $BY$15)</f>
        <v>1.6</v>
      </c>
      <c r="CD15" s="46">
        <f>IF(AND($AS$9=1,AT15&lt;&gt;""), BZ15, $BX$15)</f>
        <v>1.0530990742684474</v>
      </c>
    </row>
    <row r="16" spans="1:82" x14ac:dyDescent="0.25">
      <c r="A16" s="149"/>
      <c r="B16" s="148"/>
      <c r="C16" s="84"/>
      <c r="D16" s="149"/>
      <c r="E16" s="94"/>
      <c r="F16" s="94"/>
      <c r="G16" s="94"/>
      <c r="H16" s="150"/>
      <c r="I16" s="149"/>
      <c r="J16" s="89"/>
      <c r="K16" s="94"/>
      <c r="L16" s="94"/>
      <c r="M16" s="150"/>
      <c r="N16" s="149"/>
      <c r="O16" s="94"/>
      <c r="P16" s="94"/>
      <c r="Q16" s="94"/>
      <c r="R16" s="94"/>
      <c r="S16" s="150"/>
      <c r="T16" s="149"/>
      <c r="U16" s="94"/>
      <c r="V16" s="94"/>
      <c r="W16" s="94"/>
      <c r="X16" s="94"/>
      <c r="Y16" s="94"/>
      <c r="Z16" s="94"/>
      <c r="AA16" s="94"/>
      <c r="AB16" s="150"/>
      <c r="AC16" s="135"/>
      <c r="AD16" s="136"/>
      <c r="AE16" s="149"/>
      <c r="AF16" s="94"/>
      <c r="AG16" s="150"/>
      <c r="AH16" s="149"/>
      <c r="AI16" s="94"/>
      <c r="AJ16" s="150"/>
      <c r="AK16" s="149"/>
      <c r="AL16" s="94"/>
      <c r="AM16" s="94"/>
      <c r="AN16" s="94"/>
      <c r="AO16" s="94"/>
      <c r="AP16" s="150"/>
      <c r="AS16" s="74"/>
      <c r="AT16" s="45">
        <f>AT15</f>
        <v>0</v>
      </c>
      <c r="AU16" s="46">
        <f>IF(AT16&lt;&gt;"", (0-$AS$8), 0)</f>
        <v>-0.03</v>
      </c>
      <c r="AV16" s="47">
        <f>IF(AT15&lt;&gt;"", (AT15*COS(0.5)*$AS$6), 0)</f>
        <v>0</v>
      </c>
      <c r="AW16" s="46">
        <f>IF(AT16&lt;&gt;"", AW15+($AS$8*0.5), 0)</f>
        <v>1.0149999999999999</v>
      </c>
      <c r="AX16" s="47">
        <f>IF(AT16&lt;&gt;"", ($AS$8*COS(0.5)*$AS$6), 0)</f>
        <v>2.632747685671118E-2</v>
      </c>
      <c r="AY16" s="46">
        <f>IF(AND($AS$9=1, AT15&lt;&gt;""), 1, 0)</f>
        <v>0</v>
      </c>
      <c r="AZ16" s="47">
        <f>IF($AS$9=1, 0, 0)</f>
        <v>0</v>
      </c>
      <c r="BA16" s="46"/>
      <c r="BB16" s="47"/>
      <c r="BC16" s="46"/>
      <c r="BD16" s="47"/>
      <c r="BE16" s="49">
        <f>IF(AT15&lt;&gt;"",BE15+(0.5*$AS$8),0)</f>
        <v>1.4999999999999999E-2</v>
      </c>
      <c r="BF16" s="50">
        <f>IF(AT15&lt;&gt;"",-COS(0.5)*$AS$8*$AS$6,0)</f>
        <v>-2.632747685671118E-2</v>
      </c>
      <c r="BG16" s="46">
        <f t="shared" si="1"/>
        <v>1.4999999999999999E-2</v>
      </c>
      <c r="BH16" s="47">
        <f t="shared" si="1"/>
        <v>-2.632747685671118E-2</v>
      </c>
      <c r="BI16" s="55">
        <f>IF(AT16&lt;&gt;"",AU16+1+$AS$10+($AS$8*0.5), $AZ$7)</f>
        <v>1.1849999999999998</v>
      </c>
      <c r="BJ16" s="48">
        <f t="shared" ref="BJ16:BJ77" si="7">AX16</f>
        <v>2.632747685671118E-2</v>
      </c>
      <c r="BK16" s="55">
        <f>AW16+1+$AS$10+0.5*$AS$8</f>
        <v>2.23</v>
      </c>
      <c r="BL16" s="48">
        <f t="shared" ref="BL16:BL77" si="8">AV16</f>
        <v>0</v>
      </c>
      <c r="BM16" s="55"/>
      <c r="BN16" s="48"/>
      <c r="BO16" s="46"/>
      <c r="BP16" s="47"/>
      <c r="BQ16" s="55"/>
      <c r="BR16" s="48"/>
      <c r="BS16" s="55">
        <f t="shared" si="2"/>
        <v>1.2149999999999999</v>
      </c>
      <c r="BT16" s="48">
        <f t="shared" ref="BT16:BT77" si="9">BF16</f>
        <v>-2.632747685671118E-2</v>
      </c>
      <c r="BU16" s="55">
        <f>IF(AT16&lt;&gt;"",BG16+1+$AS$10-$AS$8,BQ15)</f>
        <v>1.1849999999999998</v>
      </c>
      <c r="BV16" s="48">
        <f t="shared" ref="BV16:BV77" si="10">IF(AT16&lt;&gt;"",BH16,0)</f>
        <v>-2.632747685671118E-2</v>
      </c>
      <c r="BW16" s="55">
        <f t="shared" si="3"/>
        <v>0.58499999999999996</v>
      </c>
      <c r="BX16" s="55">
        <f t="shared" si="4"/>
        <v>1.0794265511251586</v>
      </c>
      <c r="BY16" s="55">
        <f t="shared" si="5"/>
        <v>1.6150000000000002</v>
      </c>
      <c r="BZ16" s="55">
        <f t="shared" si="6"/>
        <v>1.0794265511251586</v>
      </c>
      <c r="CA16" s="46">
        <f>IF(AND($AS$9=1,AT16&lt;&gt;""), CA15+0.5, $BW$15)</f>
        <v>0.60000000000000009</v>
      </c>
      <c r="CB16" s="46">
        <f>IF(AND($AS$9=1,AT16&lt;&gt;""), CB15-$BA$7, $BX$15)</f>
        <v>1.0530990742684474</v>
      </c>
      <c r="CC16" s="46">
        <f>IF(AND($AS$9=1,AT16&lt;&gt;""), CC15-0.5, $BY$15)</f>
        <v>1.6</v>
      </c>
      <c r="CD16" s="46">
        <f>IF(AND($AS$9=1,AT16&lt;&gt;""), CD15-$BA$7, $BZ$15)</f>
        <v>1.0530990742684474</v>
      </c>
    </row>
    <row r="17" spans="1:82" x14ac:dyDescent="0.25">
      <c r="A17" s="149"/>
      <c r="B17" s="148"/>
      <c r="C17" s="84"/>
      <c r="D17" s="149"/>
      <c r="E17" s="94"/>
      <c r="F17" s="94"/>
      <c r="G17" s="94"/>
      <c r="H17" s="150"/>
      <c r="I17" s="149"/>
      <c r="J17" s="89"/>
      <c r="K17" s="94"/>
      <c r="L17" s="94"/>
      <c r="M17" s="150"/>
      <c r="N17" s="149"/>
      <c r="O17" s="94"/>
      <c r="P17" s="94"/>
      <c r="Q17" s="94"/>
      <c r="R17" s="94"/>
      <c r="S17" s="150"/>
      <c r="T17" s="149"/>
      <c r="U17" s="94"/>
      <c r="V17" s="94"/>
      <c r="W17" s="94"/>
      <c r="X17" s="94"/>
      <c r="Y17" s="94"/>
      <c r="Z17" s="94"/>
      <c r="AA17" s="94"/>
      <c r="AB17" s="150"/>
      <c r="AC17" s="135"/>
      <c r="AD17" s="136"/>
      <c r="AE17" s="149"/>
      <c r="AF17" s="94"/>
      <c r="AG17" s="150"/>
      <c r="AH17" s="149"/>
      <c r="AI17" s="94"/>
      <c r="AJ17" s="150"/>
      <c r="AK17" s="149"/>
      <c r="AL17" s="94"/>
      <c r="AM17" s="94"/>
      <c r="AN17" s="94"/>
      <c r="AO17" s="94"/>
      <c r="AP17" s="150"/>
      <c r="AS17" s="74"/>
      <c r="AT17" s="45">
        <f>AT16</f>
        <v>0</v>
      </c>
      <c r="AU17" s="46">
        <f>IF(AT17&lt;&gt;"", 0, 0)</f>
        <v>0</v>
      </c>
      <c r="AV17" s="47">
        <f>IF(AT15&lt;&gt;"", (AT15*COS(0.5)*$AH$7), 0)</f>
        <v>0</v>
      </c>
      <c r="AW17" s="46">
        <f>IF(AT17&lt;&gt;"", 1, 0)</f>
        <v>1</v>
      </c>
      <c r="AX17" s="47">
        <f>IF(AT17&lt;&gt;"", (AT17*COS(0.5)*$AS$6), 0)</f>
        <v>0</v>
      </c>
      <c r="AY17" s="46"/>
      <c r="AZ17" s="47"/>
      <c r="BA17" s="46"/>
      <c r="BB17" s="47"/>
      <c r="BC17" s="46"/>
      <c r="BD17" s="47"/>
      <c r="BE17" s="49">
        <v>0</v>
      </c>
      <c r="BF17" s="50">
        <v>0</v>
      </c>
      <c r="BG17" s="46">
        <f t="shared" si="1"/>
        <v>0</v>
      </c>
      <c r="BH17" s="47">
        <f t="shared" si="1"/>
        <v>0</v>
      </c>
      <c r="BI17" s="55">
        <f>IF(AT17&lt;&gt;"",AU17+1+$AS$10, $AZ$7)</f>
        <v>1.2</v>
      </c>
      <c r="BJ17" s="48">
        <f t="shared" si="7"/>
        <v>0</v>
      </c>
      <c r="BK17" s="55">
        <f>AW17+1+$AS$10</f>
        <v>2.2000000000000002</v>
      </c>
      <c r="BL17" s="48">
        <f t="shared" si="8"/>
        <v>0</v>
      </c>
      <c r="BM17" s="55"/>
      <c r="BN17" s="48"/>
      <c r="BO17" s="55"/>
      <c r="BP17" s="48"/>
      <c r="BQ17" s="55"/>
      <c r="BR17" s="48"/>
      <c r="BS17" s="55">
        <f t="shared" si="2"/>
        <v>1.2</v>
      </c>
      <c r="BT17" s="48">
        <f t="shared" si="9"/>
        <v>0</v>
      </c>
      <c r="BU17" s="55">
        <f>BU15</f>
        <v>1.2</v>
      </c>
      <c r="BV17" s="48">
        <f t="shared" si="10"/>
        <v>0</v>
      </c>
      <c r="BW17" s="55">
        <f t="shared" si="3"/>
        <v>0.60000000000000009</v>
      </c>
      <c r="BX17" s="55">
        <f t="shared" si="4"/>
        <v>1.0530990742684474</v>
      </c>
      <c r="BY17" s="55">
        <f t="shared" si="5"/>
        <v>1.6</v>
      </c>
      <c r="BZ17" s="55">
        <f t="shared" si="6"/>
        <v>1.0530990742684474</v>
      </c>
    </row>
    <row r="18" spans="1:82" x14ac:dyDescent="0.25">
      <c r="A18" s="149"/>
      <c r="B18" s="148"/>
      <c r="C18" s="84"/>
      <c r="D18" s="149"/>
      <c r="E18" s="94"/>
      <c r="F18" s="94"/>
      <c r="G18" s="94"/>
      <c r="H18" s="150"/>
      <c r="I18" s="149"/>
      <c r="J18" s="89"/>
      <c r="K18" s="94"/>
      <c r="L18" s="94"/>
      <c r="M18" s="150"/>
      <c r="N18" s="149"/>
      <c r="O18" s="94"/>
      <c r="P18" s="94"/>
      <c r="Q18" s="94"/>
      <c r="R18" s="94"/>
      <c r="S18" s="150"/>
      <c r="T18" s="149"/>
      <c r="U18" s="94"/>
      <c r="V18" s="94"/>
      <c r="W18" s="94"/>
      <c r="X18" s="94"/>
      <c r="Y18" s="94"/>
      <c r="Z18" s="94"/>
      <c r="AA18" s="94"/>
      <c r="AB18" s="150"/>
      <c r="AC18" s="135"/>
      <c r="AD18" s="136"/>
      <c r="AE18" s="149"/>
      <c r="AF18" s="94"/>
      <c r="AG18" s="150"/>
      <c r="AH18" s="149"/>
      <c r="AI18" s="94"/>
      <c r="AJ18" s="150"/>
      <c r="AK18" s="149"/>
      <c r="AL18" s="94"/>
      <c r="AM18" s="94"/>
      <c r="AN18" s="94"/>
      <c r="AO18" s="94"/>
      <c r="AP18" s="150"/>
      <c r="AS18" s="74"/>
      <c r="AT18" s="45">
        <f>IF(AND($AS$7&gt;0, $AS$8&gt;0, AT15&lt;1), AT15+$AS$7, "")</f>
        <v>0.1</v>
      </c>
      <c r="AU18" s="46">
        <f>IF(AT18&lt;&gt;"", (AT18*0.5), AU15)</f>
        <v>0.05</v>
      </c>
      <c r="AV18" s="47">
        <f t="shared" ref="AV18:AV49" si="11">IF(AT18&lt;&gt;"", (AT18*COS(0.5)*$AS$6), AV15)</f>
        <v>8.7758256189037279E-2</v>
      </c>
      <c r="AW18" s="46">
        <f>IF(AT18&lt;&gt;"", 1-(AT18*0.5), AW15)</f>
        <v>0.95</v>
      </c>
      <c r="AX18" s="47">
        <f>IF(AT18&lt;&gt;"", (AT18*COS(0.5)*$AS$6), AX15)</f>
        <v>8.7758256189037279E-2</v>
      </c>
      <c r="AY18" s="46">
        <f>IF($AS$9=1, AW18, AY15)</f>
        <v>0</v>
      </c>
      <c r="AZ18" s="47">
        <f>IF($AS$9=1, AX18, AZ15)</f>
        <v>0</v>
      </c>
      <c r="BA18" s="46">
        <f>IF(AND($AS$9=1, AT18&lt;&gt;""), AW18, BA15)</f>
        <v>0</v>
      </c>
      <c r="BB18" s="47">
        <f>IF(AND($AS$9=1, AT18&lt;&gt;""), AX18, BB15)</f>
        <v>0</v>
      </c>
      <c r="BC18" s="46">
        <f>IF($AS$9=1,BE18,BC15)</f>
        <v>0</v>
      </c>
      <c r="BD18" s="47">
        <v>0</v>
      </c>
      <c r="BE18" s="49">
        <f>IF(AT18&lt;&gt;"", AT18, 0)</f>
        <v>0.1</v>
      </c>
      <c r="BF18" s="50">
        <v>0</v>
      </c>
      <c r="BG18" s="46">
        <f t="shared" si="1"/>
        <v>0.1</v>
      </c>
      <c r="BH18" s="47">
        <f t="shared" si="1"/>
        <v>0</v>
      </c>
      <c r="BI18" s="55">
        <f>IF(AT18&lt;&gt;"",AU18+1+$AS$10, $AZ$7)</f>
        <v>1.25</v>
      </c>
      <c r="BJ18" s="48">
        <f t="shared" si="7"/>
        <v>8.7758256189037279E-2</v>
      </c>
      <c r="BK18" s="55">
        <f>AW18+1+$AS$10</f>
        <v>2.15</v>
      </c>
      <c r="BL18" s="48">
        <f t="shared" si="8"/>
        <v>8.7758256189037279E-2</v>
      </c>
      <c r="BM18" s="55">
        <f>AY18+1+$AS$10</f>
        <v>1.2</v>
      </c>
      <c r="BN18" s="48">
        <f t="shared" ref="BN18:BN76" si="12">AZ18</f>
        <v>0</v>
      </c>
      <c r="BO18" s="55">
        <f>BA18+1+$AS$10</f>
        <v>1.2</v>
      </c>
      <c r="BP18" s="48">
        <f t="shared" ref="BP18:BP76" si="13">BB18</f>
        <v>0</v>
      </c>
      <c r="BQ18" s="55">
        <f>BC18+1+$AS$10</f>
        <v>1.2</v>
      </c>
      <c r="BR18" s="48">
        <f t="shared" ref="BR18:BR76" si="14">BD18</f>
        <v>0</v>
      </c>
      <c r="BS18" s="55">
        <f t="shared" si="2"/>
        <v>1.3</v>
      </c>
      <c r="BT18" s="48">
        <f t="shared" si="9"/>
        <v>0</v>
      </c>
      <c r="BU18" s="55">
        <f>IF(AT18&lt;&gt;"",BG18+1+$AS$10,BQ18)</f>
        <v>1.3</v>
      </c>
      <c r="BV18" s="48">
        <f t="shared" si="10"/>
        <v>0</v>
      </c>
      <c r="BW18" s="55">
        <f t="shared" si="3"/>
        <v>0.65000000000000013</v>
      </c>
      <c r="BX18" s="55">
        <f t="shared" si="4"/>
        <v>1.1408573304574845</v>
      </c>
      <c r="BY18" s="55">
        <f t="shared" si="5"/>
        <v>1.5499999999999998</v>
      </c>
      <c r="BZ18" s="55">
        <f t="shared" si="6"/>
        <v>1.1408573304574845</v>
      </c>
      <c r="CA18" s="46">
        <f>IF(AND($AS$9=1,AT18&lt;&gt;""), BW18, $BW$15)</f>
        <v>0.60000000000000009</v>
      </c>
      <c r="CB18" s="46">
        <f>IF(AND($AS$9=1,AT18&lt;&gt;""), BX18, $BX$15)</f>
        <v>1.0530990742684474</v>
      </c>
      <c r="CC18" s="46">
        <f>IF(AND($AS$9=1,AT18&lt;&gt;""), BY18, $BY$15)</f>
        <v>1.6</v>
      </c>
      <c r="CD18" s="46">
        <f>IF(AND($AS$9=1,AT18&lt;&gt;""), BZ18, $BX$15)</f>
        <v>1.0530990742684474</v>
      </c>
    </row>
    <row r="19" spans="1:82" x14ac:dyDescent="0.25">
      <c r="A19" s="149"/>
      <c r="B19" s="148"/>
      <c r="C19" s="84"/>
      <c r="D19" s="149"/>
      <c r="E19" s="94"/>
      <c r="F19" s="94"/>
      <c r="G19" s="94"/>
      <c r="H19" s="150"/>
      <c r="I19" s="149"/>
      <c r="J19" s="89"/>
      <c r="K19" s="94"/>
      <c r="L19" s="94"/>
      <c r="M19" s="150"/>
      <c r="N19" s="149"/>
      <c r="O19" s="94"/>
      <c r="P19" s="94"/>
      <c r="Q19" s="94"/>
      <c r="R19" s="94"/>
      <c r="S19" s="150"/>
      <c r="T19" s="149"/>
      <c r="U19" s="94"/>
      <c r="V19" s="94"/>
      <c r="W19" s="94"/>
      <c r="X19" s="94"/>
      <c r="Y19" s="94"/>
      <c r="Z19" s="94"/>
      <c r="AA19" s="94"/>
      <c r="AB19" s="150"/>
      <c r="AC19" s="135"/>
      <c r="AD19" s="136"/>
      <c r="AE19" s="149"/>
      <c r="AF19" s="94"/>
      <c r="AG19" s="150"/>
      <c r="AH19" s="149"/>
      <c r="AI19" s="94"/>
      <c r="AJ19" s="150"/>
      <c r="AK19" s="149"/>
      <c r="AL19" s="94"/>
      <c r="AM19" s="94"/>
      <c r="AN19" s="94"/>
      <c r="AO19" s="94"/>
      <c r="AP19" s="150"/>
      <c r="AS19" s="74"/>
      <c r="AT19" s="45">
        <f t="shared" ref="AT19:AT77" si="15">AT18</f>
        <v>0.1</v>
      </c>
      <c r="AU19" s="46">
        <f>IF(AT19&lt;&gt;"", ((AT19*0.5)-$AS$8), AU15)</f>
        <v>2.0000000000000004E-2</v>
      </c>
      <c r="AV19" s="47">
        <f t="shared" si="11"/>
        <v>8.7758256189037279E-2</v>
      </c>
      <c r="AW19" s="46">
        <f>IF(AT19&lt;&gt;"", AW18+($AS$8*0.5), AW15)</f>
        <v>0.96499999999999997</v>
      </c>
      <c r="AX19" s="47">
        <f>IF(AT19&lt;&gt;"", AX18+($AS$8*COS(0.5)*$AS$6), AX15)</f>
        <v>0.11408573304574846</v>
      </c>
      <c r="AY19" s="46">
        <f>IF($AS$9=1, AU18, AY15)</f>
        <v>0</v>
      </c>
      <c r="AZ19" s="47">
        <f>IF($AS$9=1, AX18, AZ15)</f>
        <v>0</v>
      </c>
      <c r="BA19" s="46">
        <f>IF(AND($AS$9=1, AT18&lt;&gt;""), 1-AT18, BA18)</f>
        <v>0</v>
      </c>
      <c r="BB19" s="47">
        <f>IF(AND($AS$9=1, AT18&lt;&gt;""), 0, BB18)</f>
        <v>0</v>
      </c>
      <c r="BC19" s="46">
        <f>IF($AS$9=1,AU18,BC18)</f>
        <v>0</v>
      </c>
      <c r="BD19" s="47">
        <f>IF($AS$9=1,AV18,0)</f>
        <v>0</v>
      </c>
      <c r="BE19" s="49">
        <f>IF(AT18&lt;&gt;"",BE18+(0.5*$AS$8),0)</f>
        <v>0.115</v>
      </c>
      <c r="BF19" s="50">
        <f>IF(AT18&lt;&gt;"",-COS(0.5)*$AS$8*$AS$6,0)</f>
        <v>-2.632747685671118E-2</v>
      </c>
      <c r="BG19" s="46">
        <f t="shared" si="1"/>
        <v>0.115</v>
      </c>
      <c r="BH19" s="47">
        <f t="shared" si="1"/>
        <v>-2.632747685671118E-2</v>
      </c>
      <c r="BI19" s="55">
        <f>IF(AT19&lt;&gt;"",AU19+1+$AS$10+($AS$8*0.5), $AZ$7)</f>
        <v>1.2349999999999999</v>
      </c>
      <c r="BJ19" s="48">
        <f t="shared" si="7"/>
        <v>0.11408573304574846</v>
      </c>
      <c r="BK19" s="55">
        <f>AW19+1+$AS$10+0.5*$AS$8</f>
        <v>2.1800000000000002</v>
      </c>
      <c r="BL19" s="48">
        <f t="shared" si="8"/>
        <v>8.7758256189037279E-2</v>
      </c>
      <c r="BM19" s="55">
        <f>AY19+1+$AS$10</f>
        <v>1.2</v>
      </c>
      <c r="BN19" s="48">
        <f t="shared" si="12"/>
        <v>0</v>
      </c>
      <c r="BO19" s="55">
        <f>BA19+1+$AS$10</f>
        <v>1.2</v>
      </c>
      <c r="BP19" s="48">
        <f t="shared" si="13"/>
        <v>0</v>
      </c>
      <c r="BQ19" s="55">
        <f>BC19+1+$AS$10</f>
        <v>1.2</v>
      </c>
      <c r="BR19" s="48">
        <f t="shared" si="14"/>
        <v>0</v>
      </c>
      <c r="BS19" s="55">
        <f t="shared" si="2"/>
        <v>1.3149999999999999</v>
      </c>
      <c r="BT19" s="48">
        <f t="shared" si="9"/>
        <v>-2.632747685671118E-2</v>
      </c>
      <c r="BU19" s="55">
        <f>IF(AT19&lt;&gt;"",BG19+1+$AS$10-$AS$8,BQ18)</f>
        <v>1.2849999999999999</v>
      </c>
      <c r="BV19" s="48">
        <f t="shared" si="10"/>
        <v>-2.632747685671118E-2</v>
      </c>
      <c r="BW19" s="55">
        <f t="shared" si="3"/>
        <v>0.63500000000000001</v>
      </c>
      <c r="BX19" s="55">
        <f t="shared" si="4"/>
        <v>1.1671848073141957</v>
      </c>
      <c r="BY19" s="55">
        <f t="shared" si="5"/>
        <v>1.5649999999999999</v>
      </c>
      <c r="BZ19" s="55">
        <f t="shared" si="6"/>
        <v>1.1671848073141957</v>
      </c>
      <c r="CA19" s="46">
        <f>IF(AND($AS$9=1,AT19&lt;&gt;""), CA18+0.5, $BW$15)</f>
        <v>0.60000000000000009</v>
      </c>
      <c r="CB19" s="46">
        <f>IF(AND($AS$9=1,AT19&lt;&gt;""), CB18-$BA$7, $BX$15)</f>
        <v>1.0530990742684474</v>
      </c>
      <c r="CC19" s="46">
        <f>IF(AND($AS$9=1,AT19&lt;&gt;""), CC18-0.5, $BY$15)</f>
        <v>1.6</v>
      </c>
      <c r="CD19" s="46">
        <f>IF(AND($AS$9=1,AT19&lt;&gt;""), CD18-$BA$7, $BZ$15)</f>
        <v>1.0530990742684474</v>
      </c>
    </row>
    <row r="20" spans="1:82" x14ac:dyDescent="0.25">
      <c r="A20" s="149"/>
      <c r="B20" s="150"/>
      <c r="C20" s="96"/>
      <c r="D20" s="149"/>
      <c r="E20" s="94"/>
      <c r="F20" s="94"/>
      <c r="G20" s="94"/>
      <c r="H20" s="150"/>
      <c r="I20" s="149"/>
      <c r="J20" s="89"/>
      <c r="K20" s="94"/>
      <c r="L20" s="94"/>
      <c r="M20" s="150"/>
      <c r="N20" s="149"/>
      <c r="O20" s="94"/>
      <c r="P20" s="94"/>
      <c r="Q20" s="94"/>
      <c r="R20" s="94"/>
      <c r="S20" s="150"/>
      <c r="T20" s="149"/>
      <c r="U20" s="94"/>
      <c r="V20" s="94"/>
      <c r="W20" s="94"/>
      <c r="X20" s="94"/>
      <c r="Y20" s="94"/>
      <c r="Z20" s="94"/>
      <c r="AA20" s="94"/>
      <c r="AB20" s="150"/>
      <c r="AC20" s="135"/>
      <c r="AD20" s="136"/>
      <c r="AE20" s="149"/>
      <c r="AF20" s="94"/>
      <c r="AG20" s="150"/>
      <c r="AH20" s="149"/>
      <c r="AI20" s="94"/>
      <c r="AJ20" s="150"/>
      <c r="AK20" s="149"/>
      <c r="AL20" s="94"/>
      <c r="AM20" s="94"/>
      <c r="AN20" s="94"/>
      <c r="AO20" s="94"/>
      <c r="AP20" s="150"/>
      <c r="AS20" s="74"/>
      <c r="AT20" s="45">
        <f t="shared" si="15"/>
        <v>0.1</v>
      </c>
      <c r="AU20" s="46">
        <f>IF(AT20&lt;&gt;"", (AT20*0.5), AU15)</f>
        <v>0.05</v>
      </c>
      <c r="AV20" s="47">
        <f t="shared" si="11"/>
        <v>8.7758256189037279E-2</v>
      </c>
      <c r="AW20" s="46">
        <f>IF(AT20&lt;&gt;"", 1-(AT20*0.5), AW15)</f>
        <v>0.95</v>
      </c>
      <c r="AX20" s="47">
        <f>IF(AT20&lt;&gt;"", (AT20*COS(0.5)*$AS$6), AX17)</f>
        <v>8.7758256189037279E-2</v>
      </c>
      <c r="AY20" s="46"/>
      <c r="AZ20" s="47"/>
      <c r="BA20" s="46"/>
      <c r="BB20" s="47"/>
      <c r="BC20" s="46"/>
      <c r="BD20" s="47"/>
      <c r="BE20" s="49">
        <f>IF(AT18&lt;&gt;"", AT18, 0)</f>
        <v>0.1</v>
      </c>
      <c r="BF20" s="50">
        <v>0</v>
      </c>
      <c r="BG20" s="46">
        <f t="shared" si="1"/>
        <v>0.1</v>
      </c>
      <c r="BH20" s="47">
        <f t="shared" si="1"/>
        <v>0</v>
      </c>
      <c r="BI20" s="55">
        <f>IF(AT20&lt;&gt;"",AU20+1+$AS$10, $AZ$7)</f>
        <v>1.25</v>
      </c>
      <c r="BJ20" s="48">
        <f t="shared" si="7"/>
        <v>8.7758256189037279E-2</v>
      </c>
      <c r="BK20" s="55">
        <f>AW20+1+$AS$10</f>
        <v>2.15</v>
      </c>
      <c r="BL20" s="48">
        <f t="shared" si="8"/>
        <v>8.7758256189037279E-2</v>
      </c>
      <c r="BM20" s="55"/>
      <c r="BN20" s="48"/>
      <c r="BO20" s="55"/>
      <c r="BP20" s="48"/>
      <c r="BQ20" s="55"/>
      <c r="BR20" s="48"/>
      <c r="BS20" s="55">
        <f t="shared" si="2"/>
        <v>1.3</v>
      </c>
      <c r="BT20" s="48">
        <f t="shared" si="9"/>
        <v>0</v>
      </c>
      <c r="BU20" s="55">
        <f>BU18</f>
        <v>1.3</v>
      </c>
      <c r="BV20" s="48">
        <f t="shared" si="10"/>
        <v>0</v>
      </c>
      <c r="BW20" s="55">
        <f t="shared" si="3"/>
        <v>0.65000000000000013</v>
      </c>
      <c r="BX20" s="55">
        <f t="shared" si="4"/>
        <v>1.1408573304574845</v>
      </c>
      <c r="BY20" s="55">
        <f t="shared" si="5"/>
        <v>1.5499999999999998</v>
      </c>
      <c r="BZ20" s="55">
        <f t="shared" si="6"/>
        <v>1.1408573304574845</v>
      </c>
    </row>
    <row r="21" spans="1:82" x14ac:dyDescent="0.25">
      <c r="A21" s="149"/>
      <c r="B21" s="150"/>
      <c r="C21" s="96"/>
      <c r="D21" s="149"/>
      <c r="E21" s="94"/>
      <c r="F21" s="94"/>
      <c r="G21" s="94"/>
      <c r="H21" s="150"/>
      <c r="I21" s="149"/>
      <c r="J21" s="89"/>
      <c r="K21" s="94"/>
      <c r="L21" s="94"/>
      <c r="M21" s="150"/>
      <c r="N21" s="149"/>
      <c r="O21" s="94"/>
      <c r="P21" s="94"/>
      <c r="Q21" s="94"/>
      <c r="R21" s="94"/>
      <c r="S21" s="150"/>
      <c r="T21" s="149"/>
      <c r="U21" s="94"/>
      <c r="V21" s="94"/>
      <c r="W21" s="94"/>
      <c r="X21" s="94"/>
      <c r="Y21" s="94"/>
      <c r="Z21" s="94"/>
      <c r="AA21" s="94"/>
      <c r="AB21" s="150"/>
      <c r="AC21" s="135"/>
      <c r="AD21" s="136"/>
      <c r="AE21" s="149"/>
      <c r="AF21" s="94"/>
      <c r="AG21" s="150"/>
      <c r="AH21" s="149"/>
      <c r="AI21" s="94"/>
      <c r="AJ21" s="150"/>
      <c r="AK21" s="149"/>
      <c r="AL21" s="94"/>
      <c r="AM21" s="94"/>
      <c r="AN21" s="94"/>
      <c r="AO21" s="94"/>
      <c r="AP21" s="150"/>
      <c r="AS21" s="74"/>
      <c r="AT21" s="45">
        <f>IF(AND($AS$7&gt;0, $AS$8&gt;0, AT18&lt;1), AT18+$AS$7, "")</f>
        <v>0.2</v>
      </c>
      <c r="AU21" s="46">
        <f>IF(AT21&lt;&gt;"", (AT21*0.5), AU18)</f>
        <v>0.1</v>
      </c>
      <c r="AV21" s="47">
        <f t="shared" si="11"/>
        <v>0.17551651237807456</v>
      </c>
      <c r="AW21" s="46">
        <f>IF(AT21&lt;&gt;"", 1-(AT21*0.5), AW18)</f>
        <v>0.9</v>
      </c>
      <c r="AX21" s="47">
        <f>IF(AT21&lt;&gt;"", (AT21*COS(0.5)*$AS$6), AX18)</f>
        <v>0.17551651237807456</v>
      </c>
      <c r="AY21" s="46">
        <f>IF($AS$9=1, AW21, AY18)</f>
        <v>0</v>
      </c>
      <c r="AZ21" s="47">
        <f>IF($AS$9=1, AX21, AZ18)</f>
        <v>0</v>
      </c>
      <c r="BA21" s="46">
        <f>IF(AND($AS$9=1, AT21&lt;&gt;""), AW21, BA18)</f>
        <v>0</v>
      </c>
      <c r="BB21" s="47">
        <f>IF(AND($AS$9=1, AT21&lt;&gt;""), AX21, BB18)</f>
        <v>0</v>
      </c>
      <c r="BC21" s="46">
        <f>IF($AS$9=1,BE21,BC18)</f>
        <v>0</v>
      </c>
      <c r="BD21" s="47">
        <v>0</v>
      </c>
      <c r="BE21" s="49">
        <f>IF(AT21&lt;&gt;"", AT21, 0)</f>
        <v>0.2</v>
      </c>
      <c r="BF21" s="50">
        <v>0</v>
      </c>
      <c r="BG21" s="46">
        <f t="shared" si="1"/>
        <v>0.2</v>
      </c>
      <c r="BH21" s="47">
        <f t="shared" si="1"/>
        <v>0</v>
      </c>
      <c r="BI21" s="55">
        <f>IF(AT21&lt;&gt;"",AU21+1+$AS$10, $AZ$7)</f>
        <v>1.3</v>
      </c>
      <c r="BJ21" s="48">
        <f t="shared" si="7"/>
        <v>0.17551651237807456</v>
      </c>
      <c r="BK21" s="55">
        <f>AW21+1+$AS$10</f>
        <v>2.1</v>
      </c>
      <c r="BL21" s="48">
        <f t="shared" si="8"/>
        <v>0.17551651237807456</v>
      </c>
      <c r="BM21" s="55">
        <f>AY21+1+$AS$10</f>
        <v>1.2</v>
      </c>
      <c r="BN21" s="48">
        <f t="shared" si="12"/>
        <v>0</v>
      </c>
      <c r="BO21" s="55">
        <f>BA21+1+$AS$10</f>
        <v>1.2</v>
      </c>
      <c r="BP21" s="48">
        <f t="shared" si="13"/>
        <v>0</v>
      </c>
      <c r="BQ21" s="55">
        <f>BC21+1+$AS$10</f>
        <v>1.2</v>
      </c>
      <c r="BR21" s="48">
        <f t="shared" si="14"/>
        <v>0</v>
      </c>
      <c r="BS21" s="55">
        <f t="shared" si="2"/>
        <v>1.4</v>
      </c>
      <c r="BT21" s="48">
        <f t="shared" si="9"/>
        <v>0</v>
      </c>
      <c r="BU21" s="55">
        <f>IF(AT21&lt;&gt;"",BG21+1+$AS$10,BQ21)</f>
        <v>1.4</v>
      </c>
      <c r="BV21" s="48">
        <f t="shared" si="10"/>
        <v>0</v>
      </c>
      <c r="BW21" s="55">
        <f t="shared" si="3"/>
        <v>0.70000000000000018</v>
      </c>
      <c r="BX21" s="55">
        <f t="shared" si="4"/>
        <v>1.228615586646522</v>
      </c>
      <c r="BY21" s="55">
        <f t="shared" si="5"/>
        <v>1.5</v>
      </c>
      <c r="BZ21" s="55">
        <f t="shared" si="6"/>
        <v>1.228615586646522</v>
      </c>
      <c r="CA21" s="46">
        <f>IF(AND($AS$9=1,AT21&lt;&gt;""), BW21, $BW$15)</f>
        <v>0.60000000000000009</v>
      </c>
      <c r="CB21" s="46">
        <f>IF(AND($AS$9=1,AT21&lt;&gt;""), BX21, $BX$15)</f>
        <v>1.0530990742684474</v>
      </c>
      <c r="CC21" s="46">
        <f>IF(AND($AS$9=1,AT21&lt;&gt;""), BY21, $BY$15)</f>
        <v>1.6</v>
      </c>
      <c r="CD21" s="46">
        <f>IF(AND($AS$9=1,AT21&lt;&gt;""), BZ21, $BX$15)</f>
        <v>1.0530990742684474</v>
      </c>
    </row>
    <row r="22" spans="1:82" x14ac:dyDescent="0.25">
      <c r="A22" s="149"/>
      <c r="B22" s="150"/>
      <c r="C22" s="96"/>
      <c r="D22" s="149"/>
      <c r="E22" s="94"/>
      <c r="F22" s="94"/>
      <c r="G22" s="94"/>
      <c r="H22" s="150"/>
      <c r="I22" s="149"/>
      <c r="J22" s="89"/>
      <c r="K22" s="94"/>
      <c r="L22" s="94"/>
      <c r="M22" s="150"/>
      <c r="N22" s="149"/>
      <c r="O22" s="94"/>
      <c r="P22" s="94"/>
      <c r="Q22" s="94"/>
      <c r="R22" s="94"/>
      <c r="S22" s="150"/>
      <c r="T22" s="149"/>
      <c r="U22" s="94"/>
      <c r="V22" s="94"/>
      <c r="W22" s="94"/>
      <c r="X22" s="94"/>
      <c r="Y22" s="94"/>
      <c r="Z22" s="94"/>
      <c r="AA22" s="94"/>
      <c r="AB22" s="150"/>
      <c r="AC22" s="135"/>
      <c r="AD22" s="136"/>
      <c r="AE22" s="149"/>
      <c r="AF22" s="94"/>
      <c r="AG22" s="150"/>
      <c r="AH22" s="149"/>
      <c r="AI22" s="94"/>
      <c r="AJ22" s="150"/>
      <c r="AK22" s="149"/>
      <c r="AL22" s="94"/>
      <c r="AM22" s="94"/>
      <c r="AN22" s="94"/>
      <c r="AO22" s="94"/>
      <c r="AP22" s="150"/>
      <c r="AS22" s="74"/>
      <c r="AT22" s="45">
        <f t="shared" si="15"/>
        <v>0.2</v>
      </c>
      <c r="AU22" s="46">
        <f>IF(AT22&lt;&gt;"", ((AT22*0.5)-$AS$8), AU18)</f>
        <v>7.0000000000000007E-2</v>
      </c>
      <c r="AV22" s="47">
        <f t="shared" si="11"/>
        <v>0.17551651237807456</v>
      </c>
      <c r="AW22" s="46">
        <f>IF(AT22&lt;&gt;"", AW21+($AS$8*0.5), AW18)</f>
        <v>0.91500000000000004</v>
      </c>
      <c r="AX22" s="47">
        <f>IF(AT22&lt;&gt;"", AX21+($AS$8*COS(0.5)*$AS$6), AX18)</f>
        <v>0.20184398923478575</v>
      </c>
      <c r="AY22" s="46">
        <f>IF($AS$9=1, AU21, AY18)</f>
        <v>0</v>
      </c>
      <c r="AZ22" s="47">
        <f>IF($AS$9=1, AX21, AZ18)</f>
        <v>0</v>
      </c>
      <c r="BA22" s="46">
        <f>IF(AND($AS$9=1, AT21&lt;&gt;""), 1-AT21, BA21)</f>
        <v>0</v>
      </c>
      <c r="BB22" s="47">
        <f>IF(AND($AS$9=1, AT21&lt;&gt;""), 0, BB21)</f>
        <v>0</v>
      </c>
      <c r="BC22" s="46">
        <f>IF($AS$9=1,AU21,BC21)</f>
        <v>0</v>
      </c>
      <c r="BD22" s="47">
        <f>IF($AS$9=1,AV21,0)</f>
        <v>0</v>
      </c>
      <c r="BE22" s="49">
        <f>IF(AT21&lt;&gt;"",BE21+(0.5*$AS$8),0)</f>
        <v>0.21500000000000002</v>
      </c>
      <c r="BF22" s="50">
        <f>IF(AT21&lt;&gt;"",-COS(0.5)*$AS$8*$AS$6,0)</f>
        <v>-2.632747685671118E-2</v>
      </c>
      <c r="BG22" s="46">
        <f t="shared" si="1"/>
        <v>0.21500000000000002</v>
      </c>
      <c r="BH22" s="47">
        <f t="shared" si="1"/>
        <v>-2.632747685671118E-2</v>
      </c>
      <c r="BI22" s="55">
        <f>IF(AT22&lt;&gt;"",AU22+1+$AS$10+($AS$8*0.5), $AZ$7)</f>
        <v>1.2849999999999999</v>
      </c>
      <c r="BJ22" s="48">
        <f t="shared" si="7"/>
        <v>0.20184398923478575</v>
      </c>
      <c r="BK22" s="55">
        <f>AW22+1+$AS$10+0.5*$AS$8</f>
        <v>2.1300000000000003</v>
      </c>
      <c r="BL22" s="48">
        <f t="shared" si="8"/>
        <v>0.17551651237807456</v>
      </c>
      <c r="BM22" s="55">
        <f>AY22+1+$AS$10</f>
        <v>1.2</v>
      </c>
      <c r="BN22" s="48">
        <f t="shared" si="12"/>
        <v>0</v>
      </c>
      <c r="BO22" s="55">
        <f>BA22+1+$AS$10</f>
        <v>1.2</v>
      </c>
      <c r="BP22" s="48">
        <f t="shared" si="13"/>
        <v>0</v>
      </c>
      <c r="BQ22" s="55">
        <f>BC22+1+$AS$10</f>
        <v>1.2</v>
      </c>
      <c r="BR22" s="48">
        <f t="shared" si="14"/>
        <v>0</v>
      </c>
      <c r="BS22" s="55">
        <f t="shared" si="2"/>
        <v>1.415</v>
      </c>
      <c r="BT22" s="48">
        <f t="shared" si="9"/>
        <v>-2.632747685671118E-2</v>
      </c>
      <c r="BU22" s="55">
        <f>IF(AT22&lt;&gt;"",BG22+1+$AS$10-$AS$8,BQ21)</f>
        <v>1.385</v>
      </c>
      <c r="BV22" s="48">
        <f t="shared" si="10"/>
        <v>-2.632747685671118E-2</v>
      </c>
      <c r="BW22" s="55">
        <f t="shared" si="3"/>
        <v>0.68500000000000005</v>
      </c>
      <c r="BX22" s="55">
        <f t="shared" si="4"/>
        <v>1.2549430635032333</v>
      </c>
      <c r="BY22" s="55">
        <f t="shared" si="5"/>
        <v>1.5150000000000001</v>
      </c>
      <c r="BZ22" s="55">
        <f t="shared" si="6"/>
        <v>1.2549430635032333</v>
      </c>
      <c r="CA22" s="46">
        <f>IF(AND($AS$9=1,AT22&lt;&gt;""), CA21+0.5, $BW$15)</f>
        <v>0.60000000000000009</v>
      </c>
      <c r="CB22" s="46">
        <f>IF(AND($AS$9=1,AT22&lt;&gt;""), CB21-$BA$7, $BX$15)</f>
        <v>1.0530990742684474</v>
      </c>
      <c r="CC22" s="46">
        <f>IF(AND($AS$9=1,AT22&lt;&gt;""), CC21-0.5, $BY$15)</f>
        <v>1.6</v>
      </c>
      <c r="CD22" s="46">
        <f>IF(AND($AS$9=1,AT22&lt;&gt;""), CD21-$BA$7, $BZ$15)</f>
        <v>1.0530990742684474</v>
      </c>
    </row>
    <row r="23" spans="1:82" x14ac:dyDescent="0.25">
      <c r="A23" s="149"/>
      <c r="B23" s="150"/>
      <c r="C23" s="96"/>
      <c r="D23" s="149"/>
      <c r="E23" s="94"/>
      <c r="F23" s="94"/>
      <c r="G23" s="94"/>
      <c r="H23" s="150"/>
      <c r="I23" s="149"/>
      <c r="J23" s="89"/>
      <c r="K23" s="94"/>
      <c r="L23" s="94"/>
      <c r="M23" s="150"/>
      <c r="N23" s="149"/>
      <c r="O23" s="94"/>
      <c r="P23" s="94"/>
      <c r="Q23" s="94"/>
      <c r="R23" s="94"/>
      <c r="S23" s="150"/>
      <c r="T23" s="149"/>
      <c r="U23" s="94"/>
      <c r="V23" s="94"/>
      <c r="W23" s="94"/>
      <c r="X23" s="94"/>
      <c r="Y23" s="94"/>
      <c r="Z23" s="94"/>
      <c r="AA23" s="94"/>
      <c r="AB23" s="150"/>
      <c r="AC23" s="135"/>
      <c r="AD23" s="136"/>
      <c r="AE23" s="149"/>
      <c r="AF23" s="94"/>
      <c r="AG23" s="150"/>
      <c r="AH23" s="149"/>
      <c r="AI23" s="94"/>
      <c r="AJ23" s="150"/>
      <c r="AK23" s="149"/>
      <c r="AL23" s="94"/>
      <c r="AM23" s="94"/>
      <c r="AN23" s="94"/>
      <c r="AO23" s="94"/>
      <c r="AP23" s="150"/>
      <c r="AS23" s="74"/>
      <c r="AT23" s="45">
        <f t="shared" si="15"/>
        <v>0.2</v>
      </c>
      <c r="AU23" s="46">
        <f>IF(AT23&lt;&gt;"", (AT23*0.5), AU18)</f>
        <v>0.1</v>
      </c>
      <c r="AV23" s="47">
        <f t="shared" si="11"/>
        <v>0.17551651237807456</v>
      </c>
      <c r="AW23" s="46">
        <f>IF(AT23&lt;&gt;"", 1-(AT23*0.5), AW18)</f>
        <v>0.9</v>
      </c>
      <c r="AX23" s="47">
        <f>IF(AT23&lt;&gt;"", (AT23*COS(0.5)*$AS$6), AX20)</f>
        <v>0.17551651237807456</v>
      </c>
      <c r="AY23" s="46"/>
      <c r="AZ23" s="47"/>
      <c r="BA23" s="46"/>
      <c r="BB23" s="47"/>
      <c r="BC23" s="46"/>
      <c r="BD23" s="47"/>
      <c r="BE23" s="49">
        <f>IF(AT21&lt;&gt;"", AT21, 0)</f>
        <v>0.2</v>
      </c>
      <c r="BF23" s="50">
        <v>0</v>
      </c>
      <c r="BG23" s="46">
        <f t="shared" si="1"/>
        <v>0.2</v>
      </c>
      <c r="BH23" s="47">
        <f t="shared" si="1"/>
        <v>0</v>
      </c>
      <c r="BI23" s="55">
        <f>IF(AT23&lt;&gt;"",AU23+1+$AS$10, $AZ$7)</f>
        <v>1.3</v>
      </c>
      <c r="BJ23" s="48">
        <f t="shared" si="7"/>
        <v>0.17551651237807456</v>
      </c>
      <c r="BK23" s="55">
        <f>AW23+1+$AS$10</f>
        <v>2.1</v>
      </c>
      <c r="BL23" s="48">
        <f t="shared" si="8"/>
        <v>0.17551651237807456</v>
      </c>
      <c r="BM23" s="55"/>
      <c r="BN23" s="48"/>
      <c r="BO23" s="55"/>
      <c r="BP23" s="48"/>
      <c r="BQ23" s="55"/>
      <c r="BR23" s="48"/>
      <c r="BS23" s="55">
        <f t="shared" si="2"/>
        <v>1.4</v>
      </c>
      <c r="BT23" s="48">
        <f t="shared" si="9"/>
        <v>0</v>
      </c>
      <c r="BU23" s="55">
        <f>BU21</f>
        <v>1.4</v>
      </c>
      <c r="BV23" s="48">
        <f t="shared" si="10"/>
        <v>0</v>
      </c>
      <c r="BW23" s="55">
        <f t="shared" si="3"/>
        <v>0.70000000000000018</v>
      </c>
      <c r="BX23" s="55">
        <f t="shared" si="4"/>
        <v>1.228615586646522</v>
      </c>
      <c r="BY23" s="55">
        <f t="shared" si="5"/>
        <v>1.5</v>
      </c>
      <c r="BZ23" s="55">
        <f t="shared" si="6"/>
        <v>1.228615586646522</v>
      </c>
    </row>
    <row r="24" spans="1:82" x14ac:dyDescent="0.25">
      <c r="A24" s="149"/>
      <c r="B24" s="150"/>
      <c r="C24" s="96"/>
      <c r="D24" s="149"/>
      <c r="E24" s="94"/>
      <c r="F24" s="94"/>
      <c r="G24" s="94"/>
      <c r="H24" s="150"/>
      <c r="I24" s="149"/>
      <c r="J24" s="89"/>
      <c r="K24" s="94"/>
      <c r="L24" s="94"/>
      <c r="M24" s="150"/>
      <c r="N24" s="149"/>
      <c r="O24" s="94"/>
      <c r="P24" s="94"/>
      <c r="Q24" s="94"/>
      <c r="R24" s="94"/>
      <c r="S24" s="150"/>
      <c r="T24" s="149"/>
      <c r="U24" s="94"/>
      <c r="V24" s="94"/>
      <c r="W24" s="94"/>
      <c r="X24" s="94"/>
      <c r="Y24" s="94"/>
      <c r="Z24" s="94"/>
      <c r="AA24" s="94"/>
      <c r="AB24" s="150"/>
      <c r="AC24" s="135"/>
      <c r="AD24" s="136"/>
      <c r="AE24" s="149"/>
      <c r="AF24" s="94"/>
      <c r="AG24" s="150"/>
      <c r="AH24" s="149"/>
      <c r="AI24" s="94"/>
      <c r="AJ24" s="150"/>
      <c r="AK24" s="149"/>
      <c r="AL24" s="94"/>
      <c r="AM24" s="94"/>
      <c r="AN24" s="94"/>
      <c r="AO24" s="94"/>
      <c r="AP24" s="150"/>
      <c r="AQ24" s="7"/>
      <c r="AS24" s="74"/>
      <c r="AT24" s="45">
        <f>IF(AND($AS$7&gt;0, $AS$8&gt;0, AT21&lt;1), AT21+$AS$7, "")</f>
        <v>0.30000000000000004</v>
      </c>
      <c r="AU24" s="46">
        <f>IF(AT24&lt;&gt;"", (AT24*0.5), AU21)</f>
        <v>0.15000000000000002</v>
      </c>
      <c r="AV24" s="47">
        <f t="shared" si="11"/>
        <v>0.26327476856711185</v>
      </c>
      <c r="AW24" s="46">
        <f>IF(AT24&lt;&gt;"", 1-(AT24*0.5), AW21)</f>
        <v>0.85</v>
      </c>
      <c r="AX24" s="47">
        <f>IF(AT24&lt;&gt;"", (AT24*COS(0.5)*$AS$6), AX21)</f>
        <v>0.26327476856711185</v>
      </c>
      <c r="AY24" s="46">
        <f>IF($AS$9=1, AW24, AY21)</f>
        <v>0</v>
      </c>
      <c r="AZ24" s="47">
        <f>IF($AS$9=1, AX24, AZ21)</f>
        <v>0</v>
      </c>
      <c r="BA24" s="46">
        <f>IF(AND($AS$9=1, AT24&lt;&gt;""), AW24, BA21)</f>
        <v>0</v>
      </c>
      <c r="BB24" s="47">
        <f>IF(AND($AS$9=1, AT24&lt;&gt;""), AX24, BB21)</f>
        <v>0</v>
      </c>
      <c r="BC24" s="46">
        <f>IF($AS$9=1,BE24,BC21)</f>
        <v>0</v>
      </c>
      <c r="BD24" s="47">
        <v>0</v>
      </c>
      <c r="BE24" s="49">
        <f>IF(AT24&lt;&gt;"", AT24, 0)</f>
        <v>0.30000000000000004</v>
      </c>
      <c r="BF24" s="50">
        <v>0</v>
      </c>
      <c r="BG24" s="46">
        <f t="shared" si="1"/>
        <v>0.30000000000000004</v>
      </c>
      <c r="BH24" s="47">
        <f t="shared" si="1"/>
        <v>0</v>
      </c>
      <c r="BI24" s="55">
        <f>IF(AT24&lt;&gt;"",AU24+1+$AS$10, $AZ$7)</f>
        <v>1.3499999999999999</v>
      </c>
      <c r="BJ24" s="48">
        <f t="shared" si="7"/>
        <v>0.26327476856711185</v>
      </c>
      <c r="BK24" s="55">
        <f>AW24+1+$AS$10</f>
        <v>2.0500000000000003</v>
      </c>
      <c r="BL24" s="48">
        <f t="shared" si="8"/>
        <v>0.26327476856711185</v>
      </c>
      <c r="BM24" s="55">
        <f>AY24+1+$AS$10</f>
        <v>1.2</v>
      </c>
      <c r="BN24" s="48">
        <f t="shared" si="12"/>
        <v>0</v>
      </c>
      <c r="BO24" s="55">
        <f>BA24+1+$AS$10</f>
        <v>1.2</v>
      </c>
      <c r="BP24" s="48">
        <f t="shared" si="13"/>
        <v>0</v>
      </c>
      <c r="BQ24" s="55">
        <f>BC24+1+$AS$10</f>
        <v>1.2</v>
      </c>
      <c r="BR24" s="48">
        <f t="shared" si="14"/>
        <v>0</v>
      </c>
      <c r="BS24" s="55">
        <f t="shared" si="2"/>
        <v>1.5</v>
      </c>
      <c r="BT24" s="48">
        <f t="shared" si="9"/>
        <v>0</v>
      </c>
      <c r="BU24" s="55">
        <f>IF(AT24&lt;&gt;"",BG24+1+$AS$10,BQ24)</f>
        <v>1.5</v>
      </c>
      <c r="BV24" s="48">
        <f t="shared" si="10"/>
        <v>0</v>
      </c>
      <c r="BW24" s="55">
        <f t="shared" si="3"/>
        <v>0.75</v>
      </c>
      <c r="BX24" s="55">
        <f t="shared" si="4"/>
        <v>1.3163738428355591</v>
      </c>
      <c r="BY24" s="55">
        <f t="shared" si="5"/>
        <v>1.4500000000000002</v>
      </c>
      <c r="BZ24" s="55">
        <f t="shared" si="6"/>
        <v>1.3163738428355591</v>
      </c>
      <c r="CA24" s="46">
        <f>IF(AND($AS$9=1,AT24&lt;&gt;""), BW24, $BW$15)</f>
        <v>0.60000000000000009</v>
      </c>
      <c r="CB24" s="46">
        <f>IF(AND($AS$9=1,AT24&lt;&gt;""), BX24, $BX$15)</f>
        <v>1.0530990742684474</v>
      </c>
      <c r="CC24" s="46">
        <f>IF(AND($AS$9=1,AT24&lt;&gt;""), BY24, $BY$15)</f>
        <v>1.6</v>
      </c>
      <c r="CD24" s="46">
        <f>IF(AND($AS$9=1,AT24&lt;&gt;""), BZ24, $BX$15)</f>
        <v>1.0530990742684474</v>
      </c>
    </row>
    <row r="25" spans="1:82" x14ac:dyDescent="0.25">
      <c r="AM25" s="7"/>
      <c r="AO25" s="7"/>
      <c r="AP25" s="7"/>
      <c r="AQ25" s="7"/>
      <c r="AS25" s="74"/>
      <c r="AT25" s="45">
        <f t="shared" si="15"/>
        <v>0.30000000000000004</v>
      </c>
      <c r="AU25" s="46">
        <f>IF(AT25&lt;&gt;"", ((AT25*0.5)-$AS$8), AU21)</f>
        <v>0.12000000000000002</v>
      </c>
      <c r="AV25" s="47">
        <f t="shared" si="11"/>
        <v>0.26327476856711185</v>
      </c>
      <c r="AW25" s="46">
        <f>IF(AT25&lt;&gt;"", AW24+($AS$8*0.5), AW21)</f>
        <v>0.86499999999999999</v>
      </c>
      <c r="AX25" s="47">
        <f>IF(AT25&lt;&gt;"", AX24+($AS$8*COS(0.5)*$AS$6), AX21)</f>
        <v>0.28960224542382301</v>
      </c>
      <c r="AY25" s="46">
        <f>IF($AS$9=1, AU24, AY21)</f>
        <v>0</v>
      </c>
      <c r="AZ25" s="47">
        <f>IF($AS$9=1, AX24, AZ21)</f>
        <v>0</v>
      </c>
      <c r="BA25" s="46">
        <f>IF(AND($AS$9=1, AT24&lt;&gt;""), 1-AT24, BA24)</f>
        <v>0</v>
      </c>
      <c r="BB25" s="47">
        <f>IF(AND($AS$9=1, AT24&lt;&gt;""), 0, BB24)</f>
        <v>0</v>
      </c>
      <c r="BC25" s="46">
        <f>IF($AS$9=1,AU24,BC24)</f>
        <v>0</v>
      </c>
      <c r="BD25" s="47">
        <f>IF($AS$9=1,AV24,0)</f>
        <v>0</v>
      </c>
      <c r="BE25" s="49">
        <f>IF(AT24&lt;&gt;"",BE24+(0.5*$AS$8),0)</f>
        <v>0.31500000000000006</v>
      </c>
      <c r="BF25" s="50">
        <f>IF(AT24&lt;&gt;"",-COS(0.5)*$AS$8*$AS$6,0)</f>
        <v>-2.632747685671118E-2</v>
      </c>
      <c r="BG25" s="46">
        <f t="shared" si="1"/>
        <v>0.31500000000000006</v>
      </c>
      <c r="BH25" s="47">
        <f t="shared" si="1"/>
        <v>-2.632747685671118E-2</v>
      </c>
      <c r="BI25" s="55">
        <f>IF(AT25&lt;&gt;"",AU25+1+$AS$10+($AS$8*0.5), $AZ$7)</f>
        <v>1.335</v>
      </c>
      <c r="BJ25" s="48">
        <f t="shared" si="7"/>
        <v>0.28960224542382301</v>
      </c>
      <c r="BK25" s="55">
        <f>AW25+1+$AS$10+0.5*$AS$8</f>
        <v>2.08</v>
      </c>
      <c r="BL25" s="48">
        <f t="shared" si="8"/>
        <v>0.26327476856711185</v>
      </c>
      <c r="BM25" s="55">
        <f>AY25+1+$AS$10</f>
        <v>1.2</v>
      </c>
      <c r="BN25" s="48">
        <f t="shared" si="12"/>
        <v>0</v>
      </c>
      <c r="BO25" s="55">
        <f>BA25+1+$AS$10</f>
        <v>1.2</v>
      </c>
      <c r="BP25" s="48">
        <f t="shared" si="13"/>
        <v>0</v>
      </c>
      <c r="BQ25" s="55">
        <f>BC25+1+$AS$10</f>
        <v>1.2</v>
      </c>
      <c r="BR25" s="48">
        <f t="shared" si="14"/>
        <v>0</v>
      </c>
      <c r="BS25" s="55">
        <f t="shared" si="2"/>
        <v>1.5149999999999999</v>
      </c>
      <c r="BT25" s="48">
        <f t="shared" si="9"/>
        <v>-2.632747685671118E-2</v>
      </c>
      <c r="BU25" s="55">
        <f>IF(AT25&lt;&gt;"",BG25+1+$AS$10-$AS$8,BQ24)</f>
        <v>1.4849999999999999</v>
      </c>
      <c r="BV25" s="48">
        <f t="shared" si="10"/>
        <v>-2.632747685671118E-2</v>
      </c>
      <c r="BW25" s="55">
        <f t="shared" si="3"/>
        <v>0.7350000000000001</v>
      </c>
      <c r="BX25" s="55">
        <f t="shared" si="4"/>
        <v>1.3427013196922704</v>
      </c>
      <c r="BY25" s="55">
        <f t="shared" si="5"/>
        <v>1.4649999999999999</v>
      </c>
      <c r="BZ25" s="55">
        <f t="shared" si="6"/>
        <v>1.3427013196922704</v>
      </c>
      <c r="CA25" s="46">
        <f>IF(AND($AS$9=1,AT25&lt;&gt;""), CA24+0.5, $BW$15)</f>
        <v>0.60000000000000009</v>
      </c>
      <c r="CB25" s="46">
        <f>IF(AND($AS$9=1,AT25&lt;&gt;""), CB24-$BA$7, $BX$15)</f>
        <v>1.0530990742684474</v>
      </c>
      <c r="CC25" s="46">
        <f>IF(AND($AS$9=1,AT25&lt;&gt;""), CC24-0.5, $BY$15)</f>
        <v>1.6</v>
      </c>
      <c r="CD25" s="46">
        <f>IF(AND($AS$9=1,AT25&lt;&gt;""), CD24-$BA$7, $BZ$15)</f>
        <v>1.0530990742684474</v>
      </c>
    </row>
    <row r="26" spans="1:82" x14ac:dyDescent="0.25">
      <c r="AM26" s="7"/>
      <c r="AO26" s="7"/>
      <c r="AP26" s="7"/>
      <c r="AQ26" s="7"/>
      <c r="AS26" s="74"/>
      <c r="AT26" s="45">
        <f t="shared" si="15"/>
        <v>0.30000000000000004</v>
      </c>
      <c r="AU26" s="46">
        <f>IF(AT26&lt;&gt;"", (AT26*0.5), AU21)</f>
        <v>0.15000000000000002</v>
      </c>
      <c r="AV26" s="47">
        <f t="shared" si="11"/>
        <v>0.26327476856711185</v>
      </c>
      <c r="AW26" s="46">
        <f>IF(AT26&lt;&gt;"", 1-(AT26*0.5), AW21)</f>
        <v>0.85</v>
      </c>
      <c r="AX26" s="47">
        <f>IF(AT26&lt;&gt;"", (AT26*COS(0.5)*$AS$6), AX23)</f>
        <v>0.26327476856711185</v>
      </c>
      <c r="AY26" s="46"/>
      <c r="AZ26" s="47"/>
      <c r="BA26" s="46"/>
      <c r="BB26" s="47"/>
      <c r="BC26" s="46"/>
      <c r="BD26" s="47"/>
      <c r="BE26" s="49">
        <f>IF(AT24&lt;&gt;"", AT24, 0)</f>
        <v>0.30000000000000004</v>
      </c>
      <c r="BF26" s="50">
        <v>0</v>
      </c>
      <c r="BG26" s="46">
        <f t="shared" si="1"/>
        <v>0.30000000000000004</v>
      </c>
      <c r="BH26" s="47">
        <f t="shared" si="1"/>
        <v>0</v>
      </c>
      <c r="BI26" s="55">
        <f>IF(AT26&lt;&gt;"",AU26+1+$AS$10, $AZ$7)</f>
        <v>1.3499999999999999</v>
      </c>
      <c r="BJ26" s="48">
        <f t="shared" si="7"/>
        <v>0.26327476856711185</v>
      </c>
      <c r="BK26" s="55">
        <f>AW26+1+$AS$10</f>
        <v>2.0500000000000003</v>
      </c>
      <c r="BL26" s="48">
        <f t="shared" si="8"/>
        <v>0.26327476856711185</v>
      </c>
      <c r="BM26" s="55"/>
      <c r="BN26" s="48"/>
      <c r="BO26" s="55"/>
      <c r="BP26" s="48"/>
      <c r="BQ26" s="55"/>
      <c r="BR26" s="48"/>
      <c r="BS26" s="55">
        <f t="shared" si="2"/>
        <v>1.5</v>
      </c>
      <c r="BT26" s="48">
        <f t="shared" si="9"/>
        <v>0</v>
      </c>
      <c r="BU26" s="55">
        <f>BU24</f>
        <v>1.5</v>
      </c>
      <c r="BV26" s="48">
        <f t="shared" si="10"/>
        <v>0</v>
      </c>
      <c r="BW26" s="55">
        <f t="shared" si="3"/>
        <v>0.75</v>
      </c>
      <c r="BX26" s="55">
        <f t="shared" si="4"/>
        <v>1.3163738428355591</v>
      </c>
      <c r="BY26" s="55">
        <f t="shared" si="5"/>
        <v>1.4500000000000002</v>
      </c>
      <c r="BZ26" s="55">
        <f t="shared" si="6"/>
        <v>1.3163738428355591</v>
      </c>
    </row>
    <row r="27" spans="1:82" x14ac:dyDescent="0.25">
      <c r="AM27" s="7"/>
      <c r="AO27" s="7"/>
      <c r="AP27" s="7"/>
      <c r="AQ27" s="7"/>
      <c r="AS27" s="74" t="s">
        <v>206</v>
      </c>
      <c r="AT27" s="45">
        <f>IF(AND($AS$7&gt;0, $AS$8&gt;0, AT24&lt;1), AT24+$AS$7, "")</f>
        <v>0.4</v>
      </c>
      <c r="AU27" s="46">
        <f>IF(AT27&lt;&gt;"", (AT27*0.5), AU24)</f>
        <v>0.2</v>
      </c>
      <c r="AV27" s="47">
        <f t="shared" si="11"/>
        <v>0.35103302475614911</v>
      </c>
      <c r="AW27" s="46">
        <f>IF(AT27&lt;&gt;"", 1-(AT27*0.5), AW24)</f>
        <v>0.8</v>
      </c>
      <c r="AX27" s="47">
        <f>IF(AT27&lt;&gt;"", (AT27*COS(0.5)*$AS$6), AX24)</f>
        <v>0.35103302475614911</v>
      </c>
      <c r="AY27" s="46">
        <f>IF($AS$9=1, AW27, AY24)</f>
        <v>0</v>
      </c>
      <c r="AZ27" s="47">
        <f>IF($AS$9=1, AX27, AZ24)</f>
        <v>0</v>
      </c>
      <c r="BA27" s="46">
        <f>IF(AND($AS$9=1, AT27&lt;&gt;""), AW27, BA24)</f>
        <v>0</v>
      </c>
      <c r="BB27" s="47">
        <f>IF(AND($AS$9=1, AT27&lt;&gt;""), AX27, BB24)</f>
        <v>0</v>
      </c>
      <c r="BC27" s="46">
        <f>IF($AS$9=1,BE27,BC24)</f>
        <v>0</v>
      </c>
      <c r="BD27" s="47">
        <v>0</v>
      </c>
      <c r="BE27" s="49">
        <f>IF(AT27&lt;&gt;"", AT27, 0)</f>
        <v>0.4</v>
      </c>
      <c r="BF27" s="50">
        <v>0</v>
      </c>
      <c r="BG27" s="46">
        <f t="shared" si="1"/>
        <v>0.4</v>
      </c>
      <c r="BH27" s="47">
        <f t="shared" si="1"/>
        <v>0</v>
      </c>
      <c r="BI27" s="55">
        <f>IF(AT27&lt;&gt;"",AU27+1+$AS$10, $AZ$7)</f>
        <v>1.4</v>
      </c>
      <c r="BJ27" s="48">
        <f t="shared" si="7"/>
        <v>0.35103302475614911</v>
      </c>
      <c r="BK27" s="55">
        <f>AW27+1+$AS$10</f>
        <v>2</v>
      </c>
      <c r="BL27" s="48">
        <f t="shared" si="8"/>
        <v>0.35103302475614911</v>
      </c>
      <c r="BM27" s="55">
        <f>AY27+1+$AS$10</f>
        <v>1.2</v>
      </c>
      <c r="BN27" s="48">
        <f t="shared" si="12"/>
        <v>0</v>
      </c>
      <c r="BO27" s="55">
        <f>BA27+1+$AS$10</f>
        <v>1.2</v>
      </c>
      <c r="BP27" s="48">
        <f t="shared" si="13"/>
        <v>0</v>
      </c>
      <c r="BQ27" s="55">
        <f>BC27+1+$AS$10</f>
        <v>1.2</v>
      </c>
      <c r="BR27" s="48">
        <f t="shared" si="14"/>
        <v>0</v>
      </c>
      <c r="BS27" s="55">
        <f t="shared" si="2"/>
        <v>1.5999999999999999</v>
      </c>
      <c r="BT27" s="48">
        <f t="shared" si="9"/>
        <v>0</v>
      </c>
      <c r="BU27" s="55">
        <f>IF(AT27&lt;&gt;"",BG27+1+$AS$10,BQ27)</f>
        <v>1.5999999999999999</v>
      </c>
      <c r="BV27" s="48">
        <f t="shared" si="10"/>
        <v>0</v>
      </c>
      <c r="BW27" s="55">
        <f t="shared" si="3"/>
        <v>0.8</v>
      </c>
      <c r="BX27" s="55">
        <f t="shared" si="4"/>
        <v>1.4041320990245967</v>
      </c>
      <c r="BY27" s="55">
        <f t="shared" si="5"/>
        <v>1.4000000000000004</v>
      </c>
      <c r="BZ27" s="55">
        <f t="shared" si="6"/>
        <v>1.4041320990245967</v>
      </c>
      <c r="CA27" s="46">
        <f>IF(AND($AS$9=1,AT27&lt;&gt;""), BW27, $BW$15)</f>
        <v>0.60000000000000009</v>
      </c>
      <c r="CB27" s="46">
        <f>IF(AND($AS$9=1,AT27&lt;&gt;""), BX27, $BX$15)</f>
        <v>1.0530990742684474</v>
      </c>
      <c r="CC27" s="46">
        <f>IF(AND($AS$9=1,AT27&lt;&gt;""), BY27, $BY$15)</f>
        <v>1.6</v>
      </c>
      <c r="CD27" s="46">
        <f>IF(AND($AS$9=1,AT27&lt;&gt;""), BZ27, $BX$15)</f>
        <v>1.0530990742684474</v>
      </c>
    </row>
    <row r="28" spans="1:82" x14ac:dyDescent="0.25">
      <c r="AM28" s="7"/>
      <c r="AO28" s="7"/>
      <c r="AP28" s="7"/>
      <c r="AQ28" s="7"/>
      <c r="AS28" s="74"/>
      <c r="AT28" s="45">
        <f t="shared" si="15"/>
        <v>0.4</v>
      </c>
      <c r="AU28" s="46">
        <f>IF(AT28&lt;&gt;"", ((AT28*0.5)-$AS$8), AU24)</f>
        <v>0.17</v>
      </c>
      <c r="AV28" s="47">
        <f t="shared" si="11"/>
        <v>0.35103302475614911</v>
      </c>
      <c r="AW28" s="46">
        <f>IF(AT28&lt;&gt;"", AW27+($AS$8*0.5), AW24)</f>
        <v>0.81500000000000006</v>
      </c>
      <c r="AX28" s="47">
        <f>IF(AT28&lt;&gt;"", AX27+($AS$8*COS(0.5)*$AS$6), AX24)</f>
        <v>0.37736050161286028</v>
      </c>
      <c r="AY28" s="46">
        <f>IF($AS$9=1, AU27, AY24)</f>
        <v>0</v>
      </c>
      <c r="AZ28" s="47">
        <f>IF($AS$9=1, AX27, AZ24)</f>
        <v>0</v>
      </c>
      <c r="BA28" s="46">
        <f>IF(AND($AS$9=1, AT27&lt;&gt;""), 1-AT27, BA27)</f>
        <v>0</v>
      </c>
      <c r="BB28" s="47">
        <f>IF(AND($AS$9=1, AT27&lt;&gt;""), 0, BB27)</f>
        <v>0</v>
      </c>
      <c r="BC28" s="46">
        <f>IF($AS$9=1,AU27,BC27)</f>
        <v>0</v>
      </c>
      <c r="BD28" s="47">
        <f>IF($AS$9=1,AV27,0)</f>
        <v>0</v>
      </c>
      <c r="BE28" s="49">
        <f>IF(AT27&lt;&gt;"",BE27+(0.5*$AS$8),0)</f>
        <v>0.41500000000000004</v>
      </c>
      <c r="BF28" s="50">
        <f>IF(AT27&lt;&gt;"",-COS(0.5)*$AS$8*$AS$6,0)</f>
        <v>-2.632747685671118E-2</v>
      </c>
      <c r="BG28" s="46">
        <f t="shared" si="1"/>
        <v>0.41500000000000004</v>
      </c>
      <c r="BH28" s="47">
        <f t="shared" si="1"/>
        <v>-2.632747685671118E-2</v>
      </c>
      <c r="BI28" s="55">
        <f>IF(AT28&lt;&gt;"",AU28+1+$AS$10+($AS$8*0.5), $AZ$7)</f>
        <v>1.3849999999999998</v>
      </c>
      <c r="BJ28" s="48">
        <f t="shared" si="7"/>
        <v>0.37736050161286028</v>
      </c>
      <c r="BK28" s="55">
        <f>AW28+1+$AS$10+0.5*$AS$8</f>
        <v>2.0300000000000002</v>
      </c>
      <c r="BL28" s="48">
        <f t="shared" si="8"/>
        <v>0.35103302475614911</v>
      </c>
      <c r="BM28" s="55">
        <f>AY28+1+$AS$10</f>
        <v>1.2</v>
      </c>
      <c r="BN28" s="48">
        <f t="shared" si="12"/>
        <v>0</v>
      </c>
      <c r="BO28" s="55">
        <f>BA28+1+$AS$10</f>
        <v>1.2</v>
      </c>
      <c r="BP28" s="48">
        <f t="shared" si="13"/>
        <v>0</v>
      </c>
      <c r="BQ28" s="55">
        <f>BC28+1+$AS$10</f>
        <v>1.2</v>
      </c>
      <c r="BR28" s="48">
        <f t="shared" si="14"/>
        <v>0</v>
      </c>
      <c r="BS28" s="55">
        <f t="shared" si="2"/>
        <v>1.615</v>
      </c>
      <c r="BT28" s="48">
        <f t="shared" si="9"/>
        <v>-2.632747685671118E-2</v>
      </c>
      <c r="BU28" s="55">
        <f>IF(AT28&lt;&gt;"",BG28+1+$AS$10-$AS$8,BQ27)</f>
        <v>1.585</v>
      </c>
      <c r="BV28" s="48">
        <f t="shared" si="10"/>
        <v>-2.632747685671118E-2</v>
      </c>
      <c r="BW28" s="55">
        <f t="shared" si="3"/>
        <v>0.78499999999999992</v>
      </c>
      <c r="BX28" s="55">
        <f t="shared" si="4"/>
        <v>1.4304595758813079</v>
      </c>
      <c r="BY28" s="55">
        <f t="shared" si="5"/>
        <v>1.415</v>
      </c>
      <c r="BZ28" s="55">
        <f t="shared" si="6"/>
        <v>1.4304595758813079</v>
      </c>
      <c r="CA28" s="46">
        <f>IF(AND($AS$9=1,AT28&lt;&gt;""), CA27+0.5, $BW$15)</f>
        <v>0.60000000000000009</v>
      </c>
      <c r="CB28" s="46">
        <f>IF(AND($AS$9=1,AT28&lt;&gt;""), CB27-$BA$7, $BX$15)</f>
        <v>1.0530990742684474</v>
      </c>
      <c r="CC28" s="46">
        <f>IF(AND($AS$9=1,AT28&lt;&gt;""), CC27-0.5, $BY$15)</f>
        <v>1.6</v>
      </c>
      <c r="CD28" s="46">
        <f>IF(AND($AS$9=1,AT28&lt;&gt;""), CD27-$BA$7, $BZ$15)</f>
        <v>1.0530990742684474</v>
      </c>
    </row>
    <row r="29" spans="1:82" x14ac:dyDescent="0.25">
      <c r="AM29" s="7"/>
      <c r="AO29" s="7"/>
      <c r="AP29" s="7"/>
      <c r="AQ29" s="7"/>
      <c r="AS29" s="74"/>
      <c r="AT29" s="45">
        <f t="shared" si="15"/>
        <v>0.4</v>
      </c>
      <c r="AU29" s="46">
        <f>IF(AT29&lt;&gt;"", (AT29*0.5), AU24)</f>
        <v>0.2</v>
      </c>
      <c r="AV29" s="47">
        <f t="shared" si="11"/>
        <v>0.35103302475614911</v>
      </c>
      <c r="AW29" s="46">
        <f>IF(AT29&lt;&gt;"", 1-(AT29*0.5), AW24)</f>
        <v>0.8</v>
      </c>
      <c r="AX29" s="47">
        <f>IF(AT29&lt;&gt;"", (AT29*COS(0.5)*$AS$6), AX26)</f>
        <v>0.35103302475614911</v>
      </c>
      <c r="AY29" s="46"/>
      <c r="AZ29" s="47"/>
      <c r="BA29" s="46"/>
      <c r="BB29" s="47"/>
      <c r="BC29" s="46"/>
      <c r="BD29" s="47"/>
      <c r="BE29" s="49">
        <f>IF(AT27&lt;&gt;"", AT27, 0)</f>
        <v>0.4</v>
      </c>
      <c r="BF29" s="50">
        <v>0</v>
      </c>
      <c r="BG29" s="46">
        <f t="shared" si="1"/>
        <v>0.4</v>
      </c>
      <c r="BH29" s="47">
        <f t="shared" si="1"/>
        <v>0</v>
      </c>
      <c r="BI29" s="55">
        <f>IF(AT29&lt;&gt;"",AU29+1+$AS$10, $AZ$7)</f>
        <v>1.4</v>
      </c>
      <c r="BJ29" s="48">
        <f t="shared" si="7"/>
        <v>0.35103302475614911</v>
      </c>
      <c r="BK29" s="55">
        <f>AW29+1+$AS$10</f>
        <v>2</v>
      </c>
      <c r="BL29" s="48">
        <f t="shared" si="8"/>
        <v>0.35103302475614911</v>
      </c>
      <c r="BM29" s="55"/>
      <c r="BN29" s="48"/>
      <c r="BO29" s="55"/>
      <c r="BP29" s="48"/>
      <c r="BQ29" s="55"/>
      <c r="BR29" s="48"/>
      <c r="BS29" s="55">
        <f t="shared" si="2"/>
        <v>1.5999999999999999</v>
      </c>
      <c r="BT29" s="48">
        <f t="shared" si="9"/>
        <v>0</v>
      </c>
      <c r="BU29" s="55">
        <f>BU27</f>
        <v>1.5999999999999999</v>
      </c>
      <c r="BV29" s="48">
        <f t="shared" si="10"/>
        <v>0</v>
      </c>
      <c r="BW29" s="55">
        <f t="shared" si="3"/>
        <v>0.8</v>
      </c>
      <c r="BX29" s="55">
        <f t="shared" si="4"/>
        <v>1.4041320990245967</v>
      </c>
      <c r="BY29" s="55">
        <f t="shared" si="5"/>
        <v>1.4000000000000004</v>
      </c>
      <c r="BZ29" s="55">
        <f t="shared" si="6"/>
        <v>1.4041320990245967</v>
      </c>
    </row>
    <row r="30" spans="1:82" x14ac:dyDescent="0.25">
      <c r="AM30" s="7"/>
      <c r="AO30" s="7"/>
      <c r="AP30" s="7"/>
      <c r="AQ30" s="7"/>
      <c r="AS30" s="74"/>
      <c r="AT30" s="45">
        <f>IF(AND($AS$7&gt;0, $AS$8&gt;0, AT27&lt;1), AT27+$AS$7, "")</f>
        <v>0.5</v>
      </c>
      <c r="AU30" s="46">
        <f>IF(AT30&lt;&gt;"", (AT30*0.5), AU27)</f>
        <v>0.25</v>
      </c>
      <c r="AV30" s="47">
        <f t="shared" si="11"/>
        <v>0.43879128094518638</v>
      </c>
      <c r="AW30" s="46">
        <f>IF(AT30&lt;&gt;"", 1-(AT30*0.5), AW27)</f>
        <v>0.75</v>
      </c>
      <c r="AX30" s="47">
        <f>IF(AT30&lt;&gt;"", (AT30*COS(0.5)*$AS$6), AX27)</f>
        <v>0.43879128094518638</v>
      </c>
      <c r="AY30" s="46">
        <f>IF($AS$9=1, AW30, AY27)</f>
        <v>0</v>
      </c>
      <c r="AZ30" s="47">
        <f>IF($AS$9=1, AX30, AZ27)</f>
        <v>0</v>
      </c>
      <c r="BA30" s="46">
        <f>IF(AND($AS$9=1, AT30&lt;&gt;""), AW30, BA27)</f>
        <v>0</v>
      </c>
      <c r="BB30" s="47">
        <f>IF(AND($AS$9=1, AT30&lt;&gt;""), AX30, BB27)</f>
        <v>0</v>
      </c>
      <c r="BC30" s="46">
        <f>IF($AS$9=1,BE30,BC27)</f>
        <v>0</v>
      </c>
      <c r="BD30" s="47">
        <v>0</v>
      </c>
      <c r="BE30" s="49">
        <f>IF(AT30&lt;&gt;"", AT30, 0)</f>
        <v>0.5</v>
      </c>
      <c r="BF30" s="50">
        <v>0</v>
      </c>
      <c r="BG30" s="46">
        <f t="shared" si="1"/>
        <v>0.5</v>
      </c>
      <c r="BH30" s="47">
        <f t="shared" si="1"/>
        <v>0</v>
      </c>
      <c r="BI30" s="55">
        <f>IF(AT30&lt;&gt;"",AU30+1+$AS$10, $AZ$7)</f>
        <v>1.45</v>
      </c>
      <c r="BJ30" s="48">
        <f t="shared" si="7"/>
        <v>0.43879128094518638</v>
      </c>
      <c r="BK30" s="55">
        <f>AW30+1+$AS$10</f>
        <v>1.95</v>
      </c>
      <c r="BL30" s="48">
        <f t="shared" si="8"/>
        <v>0.43879128094518638</v>
      </c>
      <c r="BM30" s="55">
        <f>AY30+1+$AS$10</f>
        <v>1.2</v>
      </c>
      <c r="BN30" s="48">
        <f t="shared" si="12"/>
        <v>0</v>
      </c>
      <c r="BO30" s="55">
        <f>BA30+1+$AS$10</f>
        <v>1.2</v>
      </c>
      <c r="BP30" s="48">
        <f t="shared" si="13"/>
        <v>0</v>
      </c>
      <c r="BQ30" s="55">
        <f>BC30+1+$AS$10</f>
        <v>1.2</v>
      </c>
      <c r="BR30" s="48">
        <f t="shared" si="14"/>
        <v>0</v>
      </c>
      <c r="BS30" s="55">
        <f t="shared" si="2"/>
        <v>1.7</v>
      </c>
      <c r="BT30" s="48">
        <f t="shared" si="9"/>
        <v>0</v>
      </c>
      <c r="BU30" s="55">
        <f>IF(AT30&lt;&gt;"",BG30+1+$AS$10,BQ30)</f>
        <v>1.7</v>
      </c>
      <c r="BV30" s="48">
        <f t="shared" si="10"/>
        <v>0</v>
      </c>
      <c r="BW30" s="55">
        <f t="shared" si="3"/>
        <v>0.85000000000000009</v>
      </c>
      <c r="BX30" s="55">
        <f t="shared" si="4"/>
        <v>1.4918903552136338</v>
      </c>
      <c r="BY30" s="55">
        <f t="shared" si="5"/>
        <v>1.35</v>
      </c>
      <c r="BZ30" s="55">
        <f t="shared" si="6"/>
        <v>1.4918903552136338</v>
      </c>
      <c r="CA30" s="46">
        <f>IF(AND($AS$9=1,AT30&lt;&gt;""), BW30, $BW$15)</f>
        <v>0.60000000000000009</v>
      </c>
      <c r="CB30" s="46">
        <f>IF(AND($AS$9=1,AT30&lt;&gt;""), BX30, $BX$15)</f>
        <v>1.0530990742684474</v>
      </c>
      <c r="CC30" s="46">
        <f>IF(AND($AS$9=1,AT30&lt;&gt;""), BY30, $BY$15)</f>
        <v>1.6</v>
      </c>
      <c r="CD30" s="46">
        <f>IF(AND($AS$9=1,AT30&lt;&gt;""), BZ30, $BX$15)</f>
        <v>1.0530990742684474</v>
      </c>
    </row>
    <row r="31" spans="1:82" x14ac:dyDescent="0.25">
      <c r="AE31" s="7"/>
      <c r="AF31" s="7"/>
      <c r="AG31" s="7"/>
      <c r="AI31" s="7"/>
      <c r="AM31" s="7"/>
      <c r="AO31" s="7"/>
      <c r="AP31" s="7"/>
      <c r="AQ31" s="7"/>
      <c r="AS31" s="74"/>
      <c r="AT31" s="45">
        <f t="shared" si="15"/>
        <v>0.5</v>
      </c>
      <c r="AU31" s="46">
        <f>IF(AT31&lt;&gt;"", ((AT31*0.5)-$AS$8), AU27)</f>
        <v>0.22</v>
      </c>
      <c r="AV31" s="47">
        <f t="shared" si="11"/>
        <v>0.43879128094518638</v>
      </c>
      <c r="AW31" s="46">
        <f>IF(AT31&lt;&gt;"", AW30+($AS$8*0.5), AW27)</f>
        <v>0.76500000000000001</v>
      </c>
      <c r="AX31" s="47">
        <f>IF(AT31&lt;&gt;"", AX30+($AS$8*COS(0.5)*$AS$6), AX27)</f>
        <v>0.46511875780189754</v>
      </c>
      <c r="AY31" s="46">
        <f>IF($AS$9=1, AU30, AY27)</f>
        <v>0</v>
      </c>
      <c r="AZ31" s="47">
        <f>IF($AS$9=1, AX30, AZ27)</f>
        <v>0</v>
      </c>
      <c r="BA31" s="46">
        <f>IF(AND($AS$9=1, AT30&lt;&gt;""), 1-AT30, BA30)</f>
        <v>0</v>
      </c>
      <c r="BB31" s="47">
        <f>IF(AND($AS$9=1, AT30&lt;&gt;""), 0, BB30)</f>
        <v>0</v>
      </c>
      <c r="BC31" s="46">
        <f>IF($AS$9=1,AU30,BC30)</f>
        <v>0</v>
      </c>
      <c r="BD31" s="47">
        <f>IF($AS$9=1,AV30,0)</f>
        <v>0</v>
      </c>
      <c r="BE31" s="49">
        <f>IF(AT30&lt;&gt;"",BE30+(0.5*$AS$8),0)</f>
        <v>0.51500000000000001</v>
      </c>
      <c r="BF31" s="50">
        <f>IF(AT30&lt;&gt;"",-COS(0.5)*$AS$8*$AS$6,0)</f>
        <v>-2.632747685671118E-2</v>
      </c>
      <c r="BG31" s="46">
        <f t="shared" si="1"/>
        <v>0.51500000000000001</v>
      </c>
      <c r="BH31" s="47">
        <f t="shared" si="1"/>
        <v>-2.632747685671118E-2</v>
      </c>
      <c r="BI31" s="55">
        <f>IF(AT31&lt;&gt;"",AU31+1+$AS$10+($AS$8*0.5), $AZ$7)</f>
        <v>1.4349999999999998</v>
      </c>
      <c r="BJ31" s="48">
        <f t="shared" si="7"/>
        <v>0.46511875780189754</v>
      </c>
      <c r="BK31" s="55">
        <f>AW31+1+$AS$10+0.5*$AS$8</f>
        <v>1.98</v>
      </c>
      <c r="BL31" s="48">
        <f t="shared" si="8"/>
        <v>0.43879128094518638</v>
      </c>
      <c r="BM31" s="55">
        <f>AY31+1+$AS$10</f>
        <v>1.2</v>
      </c>
      <c r="BN31" s="48">
        <f t="shared" si="12"/>
        <v>0</v>
      </c>
      <c r="BO31" s="55">
        <f>BA31+1+$AS$10</f>
        <v>1.2</v>
      </c>
      <c r="BP31" s="48">
        <f t="shared" si="13"/>
        <v>0</v>
      </c>
      <c r="BQ31" s="55">
        <f>BC31+1+$AS$10</f>
        <v>1.2</v>
      </c>
      <c r="BR31" s="48">
        <f t="shared" si="14"/>
        <v>0</v>
      </c>
      <c r="BS31" s="55">
        <f t="shared" si="2"/>
        <v>1.7150000000000001</v>
      </c>
      <c r="BT31" s="48">
        <f t="shared" si="9"/>
        <v>-2.632747685671118E-2</v>
      </c>
      <c r="BU31" s="55">
        <f>IF(AT31&lt;&gt;"",BG31+1+$AS$10-$AS$8,BQ30)</f>
        <v>1.6850000000000001</v>
      </c>
      <c r="BV31" s="48">
        <f t="shared" si="10"/>
        <v>-2.632747685671118E-2</v>
      </c>
      <c r="BW31" s="55">
        <f t="shared" si="3"/>
        <v>0.83499999999999996</v>
      </c>
      <c r="BX31" s="55">
        <f t="shared" si="4"/>
        <v>1.518217832070345</v>
      </c>
      <c r="BY31" s="55">
        <f t="shared" si="5"/>
        <v>1.3650000000000002</v>
      </c>
      <c r="BZ31" s="55">
        <f t="shared" si="6"/>
        <v>1.518217832070345</v>
      </c>
      <c r="CA31" s="46">
        <f>IF(AND($AS$9=1,AT31&lt;&gt;""), CA30+0.5, $BW$15)</f>
        <v>0.60000000000000009</v>
      </c>
      <c r="CB31" s="46">
        <f>IF(AND($AS$9=1,AT31&lt;&gt;""), CB30-$BA$7, $BX$15)</f>
        <v>1.0530990742684474</v>
      </c>
      <c r="CC31" s="46">
        <f>IF(AND($AS$9=1,AT31&lt;&gt;""), CC30-0.5, $BY$15)</f>
        <v>1.6</v>
      </c>
      <c r="CD31" s="46">
        <f>IF(AND($AS$9=1,AT31&lt;&gt;""), CD30-$BA$7, $BZ$15)</f>
        <v>1.0530990742684474</v>
      </c>
    </row>
    <row r="32" spans="1:82" x14ac:dyDescent="0.25">
      <c r="AM32" s="7"/>
      <c r="AO32" s="7"/>
      <c r="AP32" s="7"/>
      <c r="AQ32" s="7"/>
      <c r="AS32" s="74"/>
      <c r="AT32" s="45">
        <f t="shared" si="15"/>
        <v>0.5</v>
      </c>
      <c r="AU32" s="46">
        <f>IF(AT32&lt;&gt;"", (AT32*0.5), AU27)</f>
        <v>0.25</v>
      </c>
      <c r="AV32" s="47">
        <f t="shared" si="11"/>
        <v>0.43879128094518638</v>
      </c>
      <c r="AW32" s="46">
        <f>IF(AT32&lt;&gt;"", 1-(AT32*0.5), AW27)</f>
        <v>0.75</v>
      </c>
      <c r="AX32" s="47">
        <f>IF(AT32&lt;&gt;"", (AT32*COS(0.5)*$AS$6), AX29)</f>
        <v>0.43879128094518638</v>
      </c>
      <c r="AY32" s="46"/>
      <c r="AZ32" s="47"/>
      <c r="BA32" s="46"/>
      <c r="BB32" s="47"/>
      <c r="BC32" s="46"/>
      <c r="BD32" s="47"/>
      <c r="BE32" s="49">
        <f>IF(AT30&lt;&gt;"", AT30, 0)</f>
        <v>0.5</v>
      </c>
      <c r="BF32" s="50">
        <v>0</v>
      </c>
      <c r="BG32" s="46">
        <f t="shared" si="1"/>
        <v>0.5</v>
      </c>
      <c r="BH32" s="47">
        <f t="shared" si="1"/>
        <v>0</v>
      </c>
      <c r="BI32" s="55">
        <f>IF(AT32&lt;&gt;"",AU32+1+$AS$10, $AZ$7)</f>
        <v>1.45</v>
      </c>
      <c r="BJ32" s="48">
        <f t="shared" si="7"/>
        <v>0.43879128094518638</v>
      </c>
      <c r="BK32" s="55">
        <f>AW32+1+$AS$10</f>
        <v>1.95</v>
      </c>
      <c r="BL32" s="48">
        <f t="shared" si="8"/>
        <v>0.43879128094518638</v>
      </c>
      <c r="BM32" s="55"/>
      <c r="BN32" s="48"/>
      <c r="BO32" s="55"/>
      <c r="BP32" s="48"/>
      <c r="BQ32" s="55"/>
      <c r="BR32" s="48"/>
      <c r="BS32" s="55">
        <f t="shared" si="2"/>
        <v>1.7</v>
      </c>
      <c r="BT32" s="48">
        <f t="shared" si="9"/>
        <v>0</v>
      </c>
      <c r="BU32" s="55">
        <f>BU30</f>
        <v>1.7</v>
      </c>
      <c r="BV32" s="48">
        <f t="shared" si="10"/>
        <v>0</v>
      </c>
      <c r="BW32" s="55">
        <f t="shared" si="3"/>
        <v>0.85000000000000009</v>
      </c>
      <c r="BX32" s="55">
        <f t="shared" si="4"/>
        <v>1.4918903552136338</v>
      </c>
      <c r="BY32" s="55">
        <f t="shared" si="5"/>
        <v>1.35</v>
      </c>
      <c r="BZ32" s="55">
        <f t="shared" si="6"/>
        <v>1.4918903552136338</v>
      </c>
    </row>
    <row r="33" spans="39:82" x14ac:dyDescent="0.25">
      <c r="AM33" s="7"/>
      <c r="AO33" s="7"/>
      <c r="AP33" s="7"/>
      <c r="AQ33" s="7"/>
      <c r="AS33" s="74"/>
      <c r="AT33" s="45">
        <f>IF(AND($AS$7&gt;0, $AS$8&gt;0, AT30&lt;1), AT30+$AS$7, "")</f>
        <v>0.6</v>
      </c>
      <c r="AU33" s="46">
        <f>IF(AT33&lt;&gt;"", (AT33*0.5), AU30)</f>
        <v>0.3</v>
      </c>
      <c r="AV33" s="47">
        <f t="shared" si="11"/>
        <v>0.52654953713422359</v>
      </c>
      <c r="AW33" s="46">
        <f>IF(AT33&lt;&gt;"", 1-(AT33*0.5), AW30)</f>
        <v>0.7</v>
      </c>
      <c r="AX33" s="47">
        <f>IF(AT33&lt;&gt;"", (AT33*COS(0.5)*$AS$6), AX30)</f>
        <v>0.52654953713422359</v>
      </c>
      <c r="AY33" s="46">
        <f>IF($AS$9=1, AW33, AY30)</f>
        <v>0</v>
      </c>
      <c r="AZ33" s="47">
        <f>IF($AS$9=1, AX33, AZ30)</f>
        <v>0</v>
      </c>
      <c r="BA33" s="46">
        <f>IF(AND($AS$9=1, AT33&lt;&gt;""), AW33, BA30)</f>
        <v>0</v>
      </c>
      <c r="BB33" s="47">
        <f>IF(AND($AS$9=1, AT33&lt;&gt;""), AX33, BB30)</f>
        <v>0</v>
      </c>
      <c r="BC33" s="46">
        <f>IF($AS$9=1,BE33,BC30)</f>
        <v>0</v>
      </c>
      <c r="BD33" s="47">
        <v>0</v>
      </c>
      <c r="BE33" s="49">
        <f>IF(AT33&lt;&gt;"", AT33, 0)</f>
        <v>0.6</v>
      </c>
      <c r="BF33" s="50">
        <v>0</v>
      </c>
      <c r="BG33" s="46">
        <f t="shared" si="1"/>
        <v>0.6</v>
      </c>
      <c r="BH33" s="47">
        <f t="shared" si="1"/>
        <v>0</v>
      </c>
      <c r="BI33" s="55">
        <f>IF(AT33&lt;&gt;"",AU33+1+$AS$10, $AZ$7)</f>
        <v>1.5</v>
      </c>
      <c r="BJ33" s="48">
        <f t="shared" si="7"/>
        <v>0.52654953713422359</v>
      </c>
      <c r="BK33" s="55">
        <f>AW33+1+$AS$10</f>
        <v>1.9</v>
      </c>
      <c r="BL33" s="48">
        <f t="shared" si="8"/>
        <v>0.52654953713422359</v>
      </c>
      <c r="BM33" s="55">
        <f>AY33+1+$AS$10</f>
        <v>1.2</v>
      </c>
      <c r="BN33" s="48">
        <f t="shared" si="12"/>
        <v>0</v>
      </c>
      <c r="BO33" s="55">
        <f>BA33+1+$AS$10</f>
        <v>1.2</v>
      </c>
      <c r="BP33" s="48">
        <f t="shared" si="13"/>
        <v>0</v>
      </c>
      <c r="BQ33" s="55">
        <f>BC33+1+$AS$10</f>
        <v>1.2</v>
      </c>
      <c r="BR33" s="48">
        <f t="shared" si="14"/>
        <v>0</v>
      </c>
      <c r="BS33" s="55">
        <f t="shared" si="2"/>
        <v>1.8</v>
      </c>
      <c r="BT33" s="48">
        <f t="shared" si="9"/>
        <v>0</v>
      </c>
      <c r="BU33" s="55">
        <f>IF(AT33&lt;&gt;"",BG33+1+$AS$10,BQ33)</f>
        <v>1.8</v>
      </c>
      <c r="BV33" s="48">
        <f t="shared" si="10"/>
        <v>0</v>
      </c>
      <c r="BW33" s="55">
        <f t="shared" si="3"/>
        <v>0.90000000000000013</v>
      </c>
      <c r="BX33" s="55">
        <f t="shared" si="4"/>
        <v>1.5796486114026709</v>
      </c>
      <c r="BY33" s="55">
        <f t="shared" si="5"/>
        <v>1.2999999999999998</v>
      </c>
      <c r="BZ33" s="55">
        <f t="shared" si="6"/>
        <v>1.5796486114026709</v>
      </c>
      <c r="CA33" s="46">
        <f>IF(AND($AS$9=1,AT33&lt;&gt;""), BW33, $BW$15)</f>
        <v>0.60000000000000009</v>
      </c>
      <c r="CB33" s="46">
        <f>IF(AND($AS$9=1,AT33&lt;&gt;""), BX33, $BX$15)</f>
        <v>1.0530990742684474</v>
      </c>
      <c r="CC33" s="46">
        <f>IF(AND($AS$9=1,AT33&lt;&gt;""), BY33, $BY$15)</f>
        <v>1.6</v>
      </c>
      <c r="CD33" s="46">
        <f>IF(AND($AS$9=1,AT33&lt;&gt;""), BZ33, $BX$15)</f>
        <v>1.0530990742684474</v>
      </c>
    </row>
    <row r="34" spans="39:82" x14ac:dyDescent="0.25">
      <c r="AM34" s="7"/>
      <c r="AO34" s="7"/>
      <c r="AP34" s="7"/>
      <c r="AQ34" s="7"/>
      <c r="AS34" s="74"/>
      <c r="AT34" s="45">
        <f t="shared" si="15"/>
        <v>0.6</v>
      </c>
      <c r="AU34" s="46">
        <f>IF(AT34&lt;&gt;"", ((AT34*0.5)-$AS$8), AU30)</f>
        <v>0.27</v>
      </c>
      <c r="AV34" s="47">
        <f t="shared" si="11"/>
        <v>0.52654953713422359</v>
      </c>
      <c r="AW34" s="46">
        <f>IF(AT34&lt;&gt;"", AW33+($AS$8*0.5), AW30)</f>
        <v>0.71499999999999997</v>
      </c>
      <c r="AX34" s="47">
        <f>IF(AT34&lt;&gt;"", AX33+($AS$8*COS(0.5)*$AS$6), AX30)</f>
        <v>0.55287701399093481</v>
      </c>
      <c r="AY34" s="46">
        <f>IF($AS$9=1, AU33, AY30)</f>
        <v>0</v>
      </c>
      <c r="AZ34" s="47">
        <f>IF($AS$9=1, AX33, AZ30)</f>
        <v>0</v>
      </c>
      <c r="BA34" s="46">
        <f>IF(AND($AS$9=1, AT33&lt;&gt;""), 1-AT33, BA33)</f>
        <v>0</v>
      </c>
      <c r="BB34" s="47">
        <f>IF(AND($AS$9=1, AT33&lt;&gt;""), 0, BB33)</f>
        <v>0</v>
      </c>
      <c r="BC34" s="46">
        <f>IF($AS$9=1,AU33,BC33)</f>
        <v>0</v>
      </c>
      <c r="BD34" s="47">
        <f>IF($AS$9=1,AV33,0)</f>
        <v>0</v>
      </c>
      <c r="BE34" s="49">
        <f>IF(AT33&lt;&gt;"",BE33+(0.5*$AS$8),0)</f>
        <v>0.61499999999999999</v>
      </c>
      <c r="BF34" s="50">
        <f>IF(AT33&lt;&gt;"",-COS(0.5)*$AS$8*$AS$6,0)</f>
        <v>-2.632747685671118E-2</v>
      </c>
      <c r="BG34" s="46">
        <f t="shared" si="1"/>
        <v>0.61499999999999999</v>
      </c>
      <c r="BH34" s="47">
        <f t="shared" si="1"/>
        <v>-2.632747685671118E-2</v>
      </c>
      <c r="BI34" s="55">
        <f>IF(AT34&lt;&gt;"",AU34+1+$AS$10+($AS$8*0.5), $AZ$7)</f>
        <v>1.4849999999999999</v>
      </c>
      <c r="BJ34" s="48">
        <f t="shared" si="7"/>
        <v>0.55287701399093481</v>
      </c>
      <c r="BK34" s="55">
        <f>AW34+1+$AS$10+0.5*$AS$8</f>
        <v>1.9299999999999997</v>
      </c>
      <c r="BL34" s="48">
        <f t="shared" si="8"/>
        <v>0.52654953713422359</v>
      </c>
      <c r="BM34" s="55">
        <f>AY34+1+$AS$10</f>
        <v>1.2</v>
      </c>
      <c r="BN34" s="48">
        <f t="shared" si="12"/>
        <v>0</v>
      </c>
      <c r="BO34" s="55">
        <f>BA34+1+$AS$10</f>
        <v>1.2</v>
      </c>
      <c r="BP34" s="48">
        <f t="shared" si="13"/>
        <v>0</v>
      </c>
      <c r="BQ34" s="55">
        <f>BC34+1+$AS$10</f>
        <v>1.2</v>
      </c>
      <c r="BR34" s="48">
        <f t="shared" si="14"/>
        <v>0</v>
      </c>
      <c r="BS34" s="55">
        <f t="shared" si="2"/>
        <v>1.8149999999999999</v>
      </c>
      <c r="BT34" s="48">
        <f t="shared" si="9"/>
        <v>-2.632747685671118E-2</v>
      </c>
      <c r="BU34" s="55">
        <f>IF(AT34&lt;&gt;"",BG34+1+$AS$10-$AS$8,BQ33)</f>
        <v>1.7849999999999999</v>
      </c>
      <c r="BV34" s="48">
        <f t="shared" si="10"/>
        <v>-2.632747685671118E-2</v>
      </c>
      <c r="BW34" s="55">
        <f t="shared" si="3"/>
        <v>0.88500000000000001</v>
      </c>
      <c r="BX34" s="55">
        <f t="shared" si="4"/>
        <v>1.6059760882593821</v>
      </c>
      <c r="BY34" s="55">
        <f t="shared" si="5"/>
        <v>1.3149999999999999</v>
      </c>
      <c r="BZ34" s="55">
        <f t="shared" si="6"/>
        <v>1.6059760882593821</v>
      </c>
      <c r="CA34" s="46">
        <f>IF(AND($AS$9=1,AT34&lt;&gt;""), CA33+0.5, $BW$15)</f>
        <v>0.60000000000000009</v>
      </c>
      <c r="CB34" s="46">
        <f>IF(AND($AS$9=1,AT34&lt;&gt;""), CB33-$BA$7, $BX$15)</f>
        <v>1.0530990742684474</v>
      </c>
      <c r="CC34" s="46">
        <f>IF(AND($AS$9=1,AT34&lt;&gt;""), CC33-0.5, $BY$15)</f>
        <v>1.6</v>
      </c>
      <c r="CD34" s="46">
        <f>IF(AND($AS$9=1,AT34&lt;&gt;""), CD33-$BA$7, $BZ$15)</f>
        <v>1.0530990742684474</v>
      </c>
    </row>
    <row r="35" spans="39:82" x14ac:dyDescent="0.25">
      <c r="AM35" s="7"/>
      <c r="AO35" s="7"/>
      <c r="AP35" s="7"/>
      <c r="AQ35" s="7"/>
      <c r="AS35" s="74"/>
      <c r="AT35" s="45">
        <f t="shared" si="15"/>
        <v>0.6</v>
      </c>
      <c r="AU35" s="46">
        <f>IF(AT35&lt;&gt;"", (AT35*0.5), AU30)</f>
        <v>0.3</v>
      </c>
      <c r="AV35" s="47">
        <f t="shared" si="11"/>
        <v>0.52654953713422359</v>
      </c>
      <c r="AW35" s="46">
        <f>IF(AT35&lt;&gt;"", 1-(AT35*0.5), AW30)</f>
        <v>0.7</v>
      </c>
      <c r="AX35" s="47">
        <f>IF(AT35&lt;&gt;"", (AT35*COS(0.5)*$AS$6), AX32)</f>
        <v>0.52654953713422359</v>
      </c>
      <c r="AY35" s="46"/>
      <c r="AZ35" s="47"/>
      <c r="BA35" s="46"/>
      <c r="BB35" s="47"/>
      <c r="BC35" s="46"/>
      <c r="BD35" s="47"/>
      <c r="BE35" s="49">
        <f>IF(AT33&lt;&gt;"", AT33, 0)</f>
        <v>0.6</v>
      </c>
      <c r="BF35" s="50">
        <v>0</v>
      </c>
      <c r="BG35" s="46">
        <f t="shared" si="1"/>
        <v>0.6</v>
      </c>
      <c r="BH35" s="47">
        <f t="shared" si="1"/>
        <v>0</v>
      </c>
      <c r="BI35" s="55">
        <f>IF(AT35&lt;&gt;"",AU35+1+$AS$10, $AZ$7)</f>
        <v>1.5</v>
      </c>
      <c r="BJ35" s="48">
        <f t="shared" si="7"/>
        <v>0.52654953713422359</v>
      </c>
      <c r="BK35" s="55">
        <f>AW35+1+$AS$10</f>
        <v>1.9</v>
      </c>
      <c r="BL35" s="48">
        <f t="shared" si="8"/>
        <v>0.52654953713422359</v>
      </c>
      <c r="BM35" s="55"/>
      <c r="BN35" s="48"/>
      <c r="BO35" s="55"/>
      <c r="BP35" s="48"/>
      <c r="BQ35" s="55"/>
      <c r="BR35" s="48"/>
      <c r="BS35" s="55">
        <f t="shared" si="2"/>
        <v>1.8</v>
      </c>
      <c r="BT35" s="48">
        <f t="shared" si="9"/>
        <v>0</v>
      </c>
      <c r="BU35" s="55">
        <f>BU33</f>
        <v>1.8</v>
      </c>
      <c r="BV35" s="48">
        <f t="shared" si="10"/>
        <v>0</v>
      </c>
      <c r="BW35" s="55">
        <f t="shared" si="3"/>
        <v>0.90000000000000013</v>
      </c>
      <c r="BX35" s="55">
        <f t="shared" si="4"/>
        <v>1.5796486114026709</v>
      </c>
      <c r="BY35" s="55">
        <f t="shared" si="5"/>
        <v>1.2999999999999998</v>
      </c>
      <c r="BZ35" s="55">
        <f t="shared" si="6"/>
        <v>1.5796486114026709</v>
      </c>
    </row>
    <row r="36" spans="39:82" x14ac:dyDescent="0.25">
      <c r="AM36" s="7"/>
      <c r="AN36" s="7"/>
      <c r="AO36" s="7"/>
      <c r="AP36" s="7"/>
      <c r="AQ36" s="7"/>
      <c r="AS36" s="74"/>
      <c r="AT36" s="45">
        <f>IF(AND($AS$7&gt;0, $AS$8&gt;0, AT33&lt;1), AT33+$AS$7, "")</f>
        <v>0.7</v>
      </c>
      <c r="AU36" s="46">
        <f>IF(AT36&lt;&gt;"", (AT36*0.5), AU33)</f>
        <v>0.35</v>
      </c>
      <c r="AV36" s="47">
        <f t="shared" si="11"/>
        <v>0.61430779332326091</v>
      </c>
      <c r="AW36" s="46">
        <f>IF(AT36&lt;&gt;"", 1-(AT36*0.5), AW33)</f>
        <v>0.65</v>
      </c>
      <c r="AX36" s="47">
        <f>IF(AT36&lt;&gt;"", (AT36*COS(0.5)*$AS$6), AX33)</f>
        <v>0.61430779332326091</v>
      </c>
      <c r="AY36" s="46">
        <f>IF($AS$9=1, AW36, AY33)</f>
        <v>0</v>
      </c>
      <c r="AZ36" s="47">
        <f>IF($AS$9=1, AX36, AZ33)</f>
        <v>0</v>
      </c>
      <c r="BA36" s="46">
        <f>IF(AND($AS$9=1, AT36&lt;&gt;""), AW36, BA33)</f>
        <v>0</v>
      </c>
      <c r="BB36" s="47">
        <f>IF(AND($AS$9=1, AT36&lt;&gt;""), AX36, BB33)</f>
        <v>0</v>
      </c>
      <c r="BC36" s="46">
        <f>IF($AS$9=1,BE36,BC33)</f>
        <v>0</v>
      </c>
      <c r="BD36" s="47">
        <v>0</v>
      </c>
      <c r="BE36" s="49">
        <f>IF(AT36&lt;&gt;"", AT36, 0)</f>
        <v>0.7</v>
      </c>
      <c r="BF36" s="50">
        <v>0</v>
      </c>
      <c r="BG36" s="46">
        <f t="shared" si="1"/>
        <v>0.7</v>
      </c>
      <c r="BH36" s="47">
        <f t="shared" si="1"/>
        <v>0</v>
      </c>
      <c r="BI36" s="55">
        <f>IF(AT36&lt;&gt;"",AU36+1+$AS$10, $AZ$7)</f>
        <v>1.55</v>
      </c>
      <c r="BJ36" s="48">
        <f t="shared" si="7"/>
        <v>0.61430779332326091</v>
      </c>
      <c r="BK36" s="55">
        <f>AW36+1+$AS$10</f>
        <v>1.8499999999999999</v>
      </c>
      <c r="BL36" s="48">
        <f t="shared" si="8"/>
        <v>0.61430779332326091</v>
      </c>
      <c r="BM36" s="55">
        <f>AY36+1+$AS$10</f>
        <v>1.2</v>
      </c>
      <c r="BN36" s="48">
        <f t="shared" si="12"/>
        <v>0</v>
      </c>
      <c r="BO36" s="55">
        <f>BA36+1+$AS$10</f>
        <v>1.2</v>
      </c>
      <c r="BP36" s="48">
        <f t="shared" si="13"/>
        <v>0</v>
      </c>
      <c r="BQ36" s="55">
        <f>BC36+1+$AS$10</f>
        <v>1.2</v>
      </c>
      <c r="BR36" s="48">
        <f t="shared" si="14"/>
        <v>0</v>
      </c>
      <c r="BS36" s="55">
        <f t="shared" si="2"/>
        <v>1.9</v>
      </c>
      <c r="BT36" s="48">
        <f t="shared" si="9"/>
        <v>0</v>
      </c>
      <c r="BU36" s="55">
        <f>IF(AT36&lt;&gt;"",BG36+1+$AS$10,BQ36)</f>
        <v>1.9</v>
      </c>
      <c r="BV36" s="48">
        <f t="shared" si="10"/>
        <v>0</v>
      </c>
      <c r="BW36" s="55">
        <f t="shared" si="3"/>
        <v>0.95000000000000018</v>
      </c>
      <c r="BX36" s="55">
        <f t="shared" si="4"/>
        <v>1.6674068675917084</v>
      </c>
      <c r="BY36" s="55">
        <f t="shared" si="5"/>
        <v>1.25</v>
      </c>
      <c r="BZ36" s="55">
        <f t="shared" si="6"/>
        <v>1.6674068675917084</v>
      </c>
      <c r="CA36" s="46">
        <f>IF(AND($AS$9=1,AT36&lt;&gt;""), BW36, $BW$15)</f>
        <v>0.60000000000000009</v>
      </c>
      <c r="CB36" s="46">
        <f>IF(AND($AS$9=1,AT36&lt;&gt;""), BX36, $BX$15)</f>
        <v>1.0530990742684474</v>
      </c>
      <c r="CC36" s="46">
        <f>IF(AND($AS$9=1,AT36&lt;&gt;""), BY36, $BY$15)</f>
        <v>1.6</v>
      </c>
      <c r="CD36" s="46">
        <f>IF(AND($AS$9=1,AT36&lt;&gt;""), BZ36, $BX$15)</f>
        <v>1.0530990742684474</v>
      </c>
    </row>
    <row r="37" spans="39:82" x14ac:dyDescent="0.25">
      <c r="AM37" s="7"/>
      <c r="AN37" s="7"/>
      <c r="AO37" s="7"/>
      <c r="AP37" s="7"/>
      <c r="AQ37" s="7"/>
      <c r="AS37" s="74"/>
      <c r="AT37" s="45">
        <f t="shared" si="15"/>
        <v>0.7</v>
      </c>
      <c r="AU37" s="46">
        <f>IF(AT37&lt;&gt;"", ((AT37*0.5)-$AS$8), AU33)</f>
        <v>0.31999999999999995</v>
      </c>
      <c r="AV37" s="47">
        <f t="shared" si="11"/>
        <v>0.61430779332326091</v>
      </c>
      <c r="AW37" s="46">
        <f>IF(AT37&lt;&gt;"", AW36+($AS$8*0.5), AW33)</f>
        <v>0.66500000000000004</v>
      </c>
      <c r="AX37" s="47">
        <f>IF(AT37&lt;&gt;"", AX36+($AS$8*COS(0.5)*$AS$6), AX33)</f>
        <v>0.64063527017997213</v>
      </c>
      <c r="AY37" s="46">
        <f>IF($AS$9=1, AU36, AY33)</f>
        <v>0</v>
      </c>
      <c r="AZ37" s="47">
        <f>IF($AS$9=1, AX36, AZ33)</f>
        <v>0</v>
      </c>
      <c r="BA37" s="46">
        <f>IF(AND($AS$9=1, AT36&lt;&gt;""), 1-AT36, BA36)</f>
        <v>0</v>
      </c>
      <c r="BB37" s="47">
        <f>IF(AND($AS$9=1, AT36&lt;&gt;""), 0, BB36)</f>
        <v>0</v>
      </c>
      <c r="BC37" s="46">
        <f>IF($AS$9=1,AU36,BC36)</f>
        <v>0</v>
      </c>
      <c r="BD37" s="47">
        <f>IF($AS$9=1,AV36,0)</f>
        <v>0</v>
      </c>
      <c r="BE37" s="49">
        <f>IF(AT36&lt;&gt;"",BE36+(0.5*$AS$8),0)</f>
        <v>0.71499999999999997</v>
      </c>
      <c r="BF37" s="50">
        <f>IF(AT36&lt;&gt;"",-COS(0.5)*$AS$8*$AS$6,0)</f>
        <v>-2.632747685671118E-2</v>
      </c>
      <c r="BG37" s="46">
        <f t="shared" si="1"/>
        <v>0.71499999999999997</v>
      </c>
      <c r="BH37" s="47">
        <f t="shared" si="1"/>
        <v>-2.632747685671118E-2</v>
      </c>
      <c r="BI37" s="55">
        <f>IF(AT37&lt;&gt;"",AU37+1+$AS$10+($AS$8*0.5), $AZ$7)</f>
        <v>1.5349999999999997</v>
      </c>
      <c r="BJ37" s="48">
        <f t="shared" si="7"/>
        <v>0.64063527017997213</v>
      </c>
      <c r="BK37" s="55">
        <f>AW37+1+$AS$10+0.5*$AS$8</f>
        <v>1.88</v>
      </c>
      <c r="BL37" s="48">
        <f t="shared" si="8"/>
        <v>0.61430779332326091</v>
      </c>
      <c r="BM37" s="55">
        <f>AY37+1+$AS$10</f>
        <v>1.2</v>
      </c>
      <c r="BN37" s="48">
        <f t="shared" si="12"/>
        <v>0</v>
      </c>
      <c r="BO37" s="55">
        <f>BA37+1+$AS$10</f>
        <v>1.2</v>
      </c>
      <c r="BP37" s="48">
        <f t="shared" si="13"/>
        <v>0</v>
      </c>
      <c r="BQ37" s="55">
        <f>BC37+1+$AS$10</f>
        <v>1.2</v>
      </c>
      <c r="BR37" s="48">
        <f t="shared" si="14"/>
        <v>0</v>
      </c>
      <c r="BS37" s="55">
        <f t="shared" si="2"/>
        <v>1.9149999999999998</v>
      </c>
      <c r="BT37" s="48">
        <f t="shared" si="9"/>
        <v>-2.632747685671118E-2</v>
      </c>
      <c r="BU37" s="55">
        <f>IF(AT37&lt;&gt;"",BG37+1+$AS$10-$AS$8,BQ36)</f>
        <v>1.8849999999999998</v>
      </c>
      <c r="BV37" s="48">
        <f t="shared" si="10"/>
        <v>-2.632747685671118E-2</v>
      </c>
      <c r="BW37" s="55">
        <f t="shared" si="3"/>
        <v>0.93499999999999983</v>
      </c>
      <c r="BX37" s="55">
        <f t="shared" si="4"/>
        <v>1.6937343444484196</v>
      </c>
      <c r="BY37" s="55">
        <f t="shared" si="5"/>
        <v>1.2650000000000001</v>
      </c>
      <c r="BZ37" s="55">
        <f t="shared" si="6"/>
        <v>1.6937343444484196</v>
      </c>
      <c r="CA37" s="46">
        <f>IF(AND($AS$9=1,AT37&lt;&gt;""), CA36+0.5, $BW$15)</f>
        <v>0.60000000000000009</v>
      </c>
      <c r="CB37" s="46">
        <f>IF(AND($AS$9=1,AT37&lt;&gt;""), CB36-$BA$7, $BX$15)</f>
        <v>1.0530990742684474</v>
      </c>
      <c r="CC37" s="46">
        <f>IF(AND($AS$9=1,AT37&lt;&gt;""), CC36-0.5, $BY$15)</f>
        <v>1.6</v>
      </c>
      <c r="CD37" s="46">
        <f>IF(AND($AS$9=1,AT37&lt;&gt;""), CD36-$BA$7, $BZ$15)</f>
        <v>1.0530990742684474</v>
      </c>
    </row>
    <row r="38" spans="39:82" x14ac:dyDescent="0.25">
      <c r="AM38" s="7"/>
      <c r="AN38" s="7"/>
      <c r="AO38" s="7"/>
      <c r="AP38" s="7"/>
      <c r="AQ38" s="7"/>
      <c r="AS38" s="74"/>
      <c r="AT38" s="45">
        <f t="shared" si="15"/>
        <v>0.7</v>
      </c>
      <c r="AU38" s="46">
        <f>IF(AT38&lt;&gt;"", (AT38*0.5), AU33)</f>
        <v>0.35</v>
      </c>
      <c r="AV38" s="47">
        <f t="shared" si="11"/>
        <v>0.61430779332326091</v>
      </c>
      <c r="AW38" s="46">
        <f>IF(AT38&lt;&gt;"", 1-(AT38*0.5), AW33)</f>
        <v>0.65</v>
      </c>
      <c r="AX38" s="47">
        <f>IF(AT38&lt;&gt;"", (AT38*COS(0.5)*$AS$6), AX35)</f>
        <v>0.61430779332326091</v>
      </c>
      <c r="AY38" s="46"/>
      <c r="AZ38" s="47"/>
      <c r="BA38" s="46"/>
      <c r="BB38" s="47"/>
      <c r="BC38" s="46"/>
      <c r="BD38" s="47"/>
      <c r="BE38" s="49">
        <f>IF(AT36&lt;&gt;"", AT36, 0)</f>
        <v>0.7</v>
      </c>
      <c r="BF38" s="50">
        <v>0</v>
      </c>
      <c r="BG38" s="46">
        <f t="shared" si="1"/>
        <v>0.7</v>
      </c>
      <c r="BH38" s="47">
        <f t="shared" si="1"/>
        <v>0</v>
      </c>
      <c r="BI38" s="55">
        <f>IF(AT38&lt;&gt;"",AU38+1+$AS$10, $AZ$7)</f>
        <v>1.55</v>
      </c>
      <c r="BJ38" s="48">
        <f t="shared" si="7"/>
        <v>0.61430779332326091</v>
      </c>
      <c r="BK38" s="55">
        <f>AW38+1+$AS$10</f>
        <v>1.8499999999999999</v>
      </c>
      <c r="BL38" s="48">
        <f t="shared" si="8"/>
        <v>0.61430779332326091</v>
      </c>
      <c r="BM38" s="55"/>
      <c r="BN38" s="48"/>
      <c r="BO38" s="55"/>
      <c r="BP38" s="48"/>
      <c r="BQ38" s="55"/>
      <c r="BR38" s="48"/>
      <c r="BS38" s="55">
        <f t="shared" si="2"/>
        <v>1.9</v>
      </c>
      <c r="BT38" s="48">
        <f t="shared" si="9"/>
        <v>0</v>
      </c>
      <c r="BU38" s="55">
        <f>BU36</f>
        <v>1.9</v>
      </c>
      <c r="BV38" s="48">
        <f t="shared" si="10"/>
        <v>0</v>
      </c>
      <c r="BW38" s="55">
        <f t="shared" si="3"/>
        <v>0.95000000000000018</v>
      </c>
      <c r="BX38" s="55">
        <f t="shared" si="4"/>
        <v>1.6674068675917084</v>
      </c>
      <c r="BY38" s="55">
        <f t="shared" si="5"/>
        <v>1.25</v>
      </c>
      <c r="BZ38" s="55">
        <f t="shared" si="6"/>
        <v>1.6674068675917084</v>
      </c>
    </row>
    <row r="39" spans="39:82" x14ac:dyDescent="0.25">
      <c r="AM39" s="7"/>
      <c r="AN39" s="7"/>
      <c r="AO39" s="7"/>
      <c r="AP39" s="7"/>
      <c r="AQ39" s="7"/>
      <c r="AS39" s="74"/>
      <c r="AT39" s="45">
        <f>IF(AND($AS$7&gt;0, $AS$8&gt;0, AT36&lt;1), AT36+$AS$7, "")</f>
        <v>0.79999999999999993</v>
      </c>
      <c r="AU39" s="46">
        <f>IF(AT39&lt;&gt;"", (AT39*0.5), AU36)</f>
        <v>0.39999999999999997</v>
      </c>
      <c r="AV39" s="47">
        <f t="shared" si="11"/>
        <v>0.70206604951229812</v>
      </c>
      <c r="AW39" s="46">
        <f>IF(AT39&lt;&gt;"", 1-(AT39*0.5), AW36)</f>
        <v>0.60000000000000009</v>
      </c>
      <c r="AX39" s="47">
        <f>IF(AT39&lt;&gt;"", (AT39*COS(0.5)*$AS$6), AX36)</f>
        <v>0.70206604951229812</v>
      </c>
      <c r="AY39" s="46">
        <f>IF($AS$9=1, AW39, AY36)</f>
        <v>0</v>
      </c>
      <c r="AZ39" s="47">
        <f>IF($AS$9=1, AX39, AZ36)</f>
        <v>0</v>
      </c>
      <c r="BA39" s="46">
        <f>IF(AND($AS$9=1, AT39&lt;&gt;""), AW39, BA36)</f>
        <v>0</v>
      </c>
      <c r="BB39" s="47">
        <f>IF(AND($AS$9=1, AT39&lt;&gt;""), AX39, BB36)</f>
        <v>0</v>
      </c>
      <c r="BC39" s="46">
        <f>IF($AS$9=1,BE39,BC36)</f>
        <v>0</v>
      </c>
      <c r="BD39" s="47">
        <v>0</v>
      </c>
      <c r="BE39" s="49">
        <f>IF(AT39&lt;&gt;"", AT39, 0)</f>
        <v>0.79999999999999993</v>
      </c>
      <c r="BF39" s="50">
        <v>0</v>
      </c>
      <c r="BG39" s="46">
        <f t="shared" si="1"/>
        <v>0.79999999999999993</v>
      </c>
      <c r="BH39" s="47">
        <f t="shared" si="1"/>
        <v>0</v>
      </c>
      <c r="BI39" s="55">
        <f>IF(AT39&lt;&gt;"",AU39+1+$AS$10, $AZ$7)</f>
        <v>1.5999999999999999</v>
      </c>
      <c r="BJ39" s="48">
        <f t="shared" si="7"/>
        <v>0.70206604951229812</v>
      </c>
      <c r="BK39" s="55">
        <f>AW39+1+$AS$10</f>
        <v>1.8</v>
      </c>
      <c r="BL39" s="48">
        <f t="shared" si="8"/>
        <v>0.70206604951229812</v>
      </c>
      <c r="BM39" s="55">
        <f>AY39+1+$AS$10</f>
        <v>1.2</v>
      </c>
      <c r="BN39" s="48">
        <f t="shared" si="12"/>
        <v>0</v>
      </c>
      <c r="BO39" s="55">
        <f>BA39+1+$AS$10</f>
        <v>1.2</v>
      </c>
      <c r="BP39" s="48">
        <f t="shared" si="13"/>
        <v>0</v>
      </c>
      <c r="BQ39" s="55">
        <f>BC39+1+$AS$10</f>
        <v>1.2</v>
      </c>
      <c r="BR39" s="48">
        <f t="shared" si="14"/>
        <v>0</v>
      </c>
      <c r="BS39" s="55">
        <f t="shared" si="2"/>
        <v>1.9999999999999998</v>
      </c>
      <c r="BT39" s="48">
        <f t="shared" si="9"/>
        <v>0</v>
      </c>
      <c r="BU39" s="55">
        <f>IF(AT39&lt;&gt;"",BG39+1+$AS$10,BQ39)</f>
        <v>1.9999999999999998</v>
      </c>
      <c r="BV39" s="48">
        <f t="shared" si="10"/>
        <v>0</v>
      </c>
      <c r="BW39" s="55">
        <f t="shared" si="3"/>
        <v>1</v>
      </c>
      <c r="BX39" s="55">
        <f t="shared" si="4"/>
        <v>1.7551651237807455</v>
      </c>
      <c r="BY39" s="55">
        <f t="shared" si="5"/>
        <v>1.2000000000000002</v>
      </c>
      <c r="BZ39" s="55">
        <f t="shared" si="6"/>
        <v>1.7551651237807455</v>
      </c>
      <c r="CA39" s="46">
        <f>IF(AND($AS$9=1,AT39&lt;&gt;""), BW39, $BW$15)</f>
        <v>0.60000000000000009</v>
      </c>
      <c r="CB39" s="46">
        <f>IF(AND($AS$9=1,AT39&lt;&gt;""), BX39, $BX$15)</f>
        <v>1.0530990742684474</v>
      </c>
      <c r="CC39" s="46">
        <f>IF(AND($AS$9=1,AT39&lt;&gt;""), BY39, $BY$15)</f>
        <v>1.6</v>
      </c>
      <c r="CD39" s="46">
        <f>IF(AND($AS$9=1,AT39&lt;&gt;""), BZ39, $BX$15)</f>
        <v>1.0530990742684474</v>
      </c>
    </row>
    <row r="40" spans="39:82" x14ac:dyDescent="0.25">
      <c r="AM40" s="7"/>
      <c r="AN40" s="7"/>
      <c r="AO40" s="7"/>
      <c r="AP40" s="7"/>
      <c r="AQ40" s="7"/>
      <c r="AS40" s="74"/>
      <c r="AT40" s="45">
        <f t="shared" si="15"/>
        <v>0.79999999999999993</v>
      </c>
      <c r="AU40" s="46">
        <f>IF(AT40&lt;&gt;"", ((AT40*0.5)-$AS$8), AU36)</f>
        <v>0.37</v>
      </c>
      <c r="AV40" s="47">
        <f t="shared" si="11"/>
        <v>0.70206604951229812</v>
      </c>
      <c r="AW40" s="46">
        <f>IF(AT40&lt;&gt;"", AW39+($AS$8*0.5), AW36)</f>
        <v>0.6150000000000001</v>
      </c>
      <c r="AX40" s="47">
        <f>IF(AT40&lt;&gt;"", AX39+($AS$8*COS(0.5)*$AS$6), AX36)</f>
        <v>0.72839352636900934</v>
      </c>
      <c r="AY40" s="46">
        <f>IF($AS$9=1, AU39, AY36)</f>
        <v>0</v>
      </c>
      <c r="AZ40" s="47">
        <f>IF($AS$9=1, AX39, AZ36)</f>
        <v>0</v>
      </c>
      <c r="BA40" s="46">
        <f>IF(AND($AS$9=1, AT39&lt;&gt;""), 1-AT39, BA39)</f>
        <v>0</v>
      </c>
      <c r="BB40" s="47">
        <f>IF(AND($AS$9=1, AT39&lt;&gt;""), 0, BB39)</f>
        <v>0</v>
      </c>
      <c r="BC40" s="46">
        <f>IF($AS$9=1,AU39,BC39)</f>
        <v>0</v>
      </c>
      <c r="BD40" s="47">
        <f>IF($AS$9=1,AV39,0)</f>
        <v>0</v>
      </c>
      <c r="BE40" s="49">
        <f>IF(AT39&lt;&gt;"",BE39+(0.5*$AS$8),0)</f>
        <v>0.81499999999999995</v>
      </c>
      <c r="BF40" s="50">
        <f>IF(AT39&lt;&gt;"",-COS(0.5)*$AS$8*$AS$6,0)</f>
        <v>-2.632747685671118E-2</v>
      </c>
      <c r="BG40" s="46">
        <f t="shared" si="1"/>
        <v>0.81499999999999995</v>
      </c>
      <c r="BH40" s="47">
        <f t="shared" si="1"/>
        <v>-2.632747685671118E-2</v>
      </c>
      <c r="BI40" s="55">
        <f>IF(AT40&lt;&gt;"",AU40+1+$AS$10+($AS$8*0.5), $AZ$7)</f>
        <v>1.585</v>
      </c>
      <c r="BJ40" s="48">
        <f t="shared" si="7"/>
        <v>0.72839352636900934</v>
      </c>
      <c r="BK40" s="55">
        <f>AW40+1+$AS$10+0.5*$AS$8</f>
        <v>1.83</v>
      </c>
      <c r="BL40" s="48">
        <f t="shared" si="8"/>
        <v>0.70206604951229812</v>
      </c>
      <c r="BM40" s="55">
        <f>AY40+1+$AS$10</f>
        <v>1.2</v>
      </c>
      <c r="BN40" s="48">
        <f t="shared" si="12"/>
        <v>0</v>
      </c>
      <c r="BO40" s="55">
        <f>BA40+1+$AS$10</f>
        <v>1.2</v>
      </c>
      <c r="BP40" s="48">
        <f t="shared" si="13"/>
        <v>0</v>
      </c>
      <c r="BQ40" s="55">
        <f>BC40+1+$AS$10</f>
        <v>1.2</v>
      </c>
      <c r="BR40" s="48">
        <f t="shared" si="14"/>
        <v>0</v>
      </c>
      <c r="BS40" s="55">
        <f t="shared" si="2"/>
        <v>2.0150000000000001</v>
      </c>
      <c r="BT40" s="48">
        <f t="shared" si="9"/>
        <v>-2.632747685671118E-2</v>
      </c>
      <c r="BU40" s="55">
        <f>IF(AT40&lt;&gt;"",BG40+1+$AS$10-$AS$8,BQ39)</f>
        <v>1.9850000000000001</v>
      </c>
      <c r="BV40" s="48">
        <f t="shared" si="10"/>
        <v>-2.632747685671118E-2</v>
      </c>
      <c r="BW40" s="55">
        <f t="shared" si="3"/>
        <v>0.9850000000000001</v>
      </c>
      <c r="BX40" s="55">
        <f t="shared" si="4"/>
        <v>1.7814926006374567</v>
      </c>
      <c r="BY40" s="55">
        <f t="shared" si="5"/>
        <v>1.2150000000000003</v>
      </c>
      <c r="BZ40" s="55">
        <f t="shared" si="6"/>
        <v>1.7814926006374567</v>
      </c>
      <c r="CA40" s="46">
        <f>IF(AND($AS$9=1,AT40&lt;&gt;""), CA39+0.5, $BW$15)</f>
        <v>0.60000000000000009</v>
      </c>
      <c r="CB40" s="46">
        <f>IF(AND($AS$9=1,AT40&lt;&gt;""), CB39-$BA$7, $BX$15)</f>
        <v>1.0530990742684474</v>
      </c>
      <c r="CC40" s="46">
        <f>IF(AND($AS$9=1,AT40&lt;&gt;""), CC39-0.5, $BY$15)</f>
        <v>1.6</v>
      </c>
      <c r="CD40" s="46">
        <f>IF(AND($AS$9=1,AT40&lt;&gt;""), CD39-$BA$7, $BZ$15)</f>
        <v>1.0530990742684474</v>
      </c>
    </row>
    <row r="41" spans="39:82" x14ac:dyDescent="0.25">
      <c r="AM41" s="7"/>
      <c r="AN41" s="7"/>
      <c r="AO41" s="7"/>
      <c r="AP41" s="7"/>
      <c r="AQ41" s="7"/>
      <c r="AS41" s="74"/>
      <c r="AT41" s="45">
        <f t="shared" si="15"/>
        <v>0.79999999999999993</v>
      </c>
      <c r="AU41" s="46">
        <f>IF(AT41&lt;&gt;"", (AT41*0.5), AU36)</f>
        <v>0.39999999999999997</v>
      </c>
      <c r="AV41" s="47">
        <f t="shared" si="11"/>
        <v>0.70206604951229812</v>
      </c>
      <c r="AW41" s="46">
        <f>IF(AT41&lt;&gt;"", 1-(AT41*0.5), AW36)</f>
        <v>0.60000000000000009</v>
      </c>
      <c r="AX41" s="47">
        <f>IF(AT41&lt;&gt;"", (AT41*COS(0.5)*$AS$6), AX38)</f>
        <v>0.70206604951229812</v>
      </c>
      <c r="AY41" s="46"/>
      <c r="AZ41" s="47"/>
      <c r="BA41" s="46"/>
      <c r="BB41" s="47"/>
      <c r="BC41" s="46"/>
      <c r="BD41" s="47"/>
      <c r="BE41" s="49">
        <f>IF(AT39&lt;&gt;"", AT39, 0)</f>
        <v>0.79999999999999993</v>
      </c>
      <c r="BF41" s="50">
        <v>0</v>
      </c>
      <c r="BG41" s="46">
        <f t="shared" si="1"/>
        <v>0.79999999999999993</v>
      </c>
      <c r="BH41" s="47">
        <f t="shared" si="1"/>
        <v>0</v>
      </c>
      <c r="BI41" s="55">
        <f>IF(AT41&lt;&gt;"",AU41+1+$AS$10, $AZ$7)</f>
        <v>1.5999999999999999</v>
      </c>
      <c r="BJ41" s="48">
        <f t="shared" si="7"/>
        <v>0.70206604951229812</v>
      </c>
      <c r="BK41" s="55">
        <f>AW41+1+$AS$10</f>
        <v>1.8</v>
      </c>
      <c r="BL41" s="48">
        <f t="shared" si="8"/>
        <v>0.70206604951229812</v>
      </c>
      <c r="BM41" s="55"/>
      <c r="BN41" s="48"/>
      <c r="BO41" s="55"/>
      <c r="BP41" s="48"/>
      <c r="BQ41" s="55"/>
      <c r="BR41" s="48"/>
      <c r="BS41" s="55">
        <f t="shared" si="2"/>
        <v>1.9999999999999998</v>
      </c>
      <c r="BT41" s="48">
        <f t="shared" si="9"/>
        <v>0</v>
      </c>
      <c r="BU41" s="55">
        <f>BU39</f>
        <v>1.9999999999999998</v>
      </c>
      <c r="BV41" s="48">
        <f t="shared" si="10"/>
        <v>0</v>
      </c>
      <c r="BW41" s="55">
        <f t="shared" si="3"/>
        <v>1</v>
      </c>
      <c r="BX41" s="55">
        <f t="shared" si="4"/>
        <v>1.7551651237807455</v>
      </c>
      <c r="BY41" s="55">
        <f t="shared" si="5"/>
        <v>1.2000000000000002</v>
      </c>
      <c r="BZ41" s="55">
        <f t="shared" si="6"/>
        <v>1.7551651237807455</v>
      </c>
    </row>
    <row r="42" spans="39:82" x14ac:dyDescent="0.25">
      <c r="AM42" s="7"/>
      <c r="AN42" s="7"/>
      <c r="AO42" s="7"/>
      <c r="AP42" s="7"/>
      <c r="AQ42" s="7"/>
      <c r="AS42" s="74"/>
      <c r="AT42" s="45">
        <f>IF(AND($AS$7&gt;0, $AS$8&gt;0, AT39&lt;1), AT39+$AS$7, "")</f>
        <v>0.89999999999999991</v>
      </c>
      <c r="AU42" s="46">
        <f>IF(AT42&lt;&gt;"", (AT42*0.5), AU39)</f>
        <v>0.44999999999999996</v>
      </c>
      <c r="AV42" s="47">
        <f t="shared" si="11"/>
        <v>0.78982430570133544</v>
      </c>
      <c r="AW42" s="46">
        <f>IF(AT42&lt;&gt;"", 1-(AT42*0.5), AW39)</f>
        <v>0.55000000000000004</v>
      </c>
      <c r="AX42" s="47">
        <f>IF(AT42&lt;&gt;"", (AT42*COS(0.5)*$AS$6), AX39)</f>
        <v>0.78982430570133544</v>
      </c>
      <c r="AY42" s="46">
        <f>IF($AS$9=1, AW42, AY39)</f>
        <v>0</v>
      </c>
      <c r="AZ42" s="47">
        <f>IF($AS$9=1, AX42, AZ39)</f>
        <v>0</v>
      </c>
      <c r="BA42" s="46">
        <f>IF(AND($AS$9=1, AT42&lt;&gt;""), AW42, BA39)</f>
        <v>0</v>
      </c>
      <c r="BB42" s="47">
        <f>IF(AND($AS$9=1, AT42&lt;&gt;""), AX42, BB39)</f>
        <v>0</v>
      </c>
      <c r="BC42" s="46">
        <f>IF($AS$9=1,BE42,BC39)</f>
        <v>0</v>
      </c>
      <c r="BD42" s="47">
        <v>0</v>
      </c>
      <c r="BE42" s="49">
        <f>IF(AT42&lt;&gt;"", AT42, 0)</f>
        <v>0.89999999999999991</v>
      </c>
      <c r="BF42" s="50">
        <v>0</v>
      </c>
      <c r="BG42" s="46">
        <f t="shared" si="1"/>
        <v>0.89999999999999991</v>
      </c>
      <c r="BH42" s="47">
        <f t="shared" si="1"/>
        <v>0</v>
      </c>
      <c r="BI42" s="55">
        <f>IF(AT42&lt;&gt;"",AU42+1+$AS$10, $AZ$7)</f>
        <v>1.65</v>
      </c>
      <c r="BJ42" s="48">
        <f t="shared" si="7"/>
        <v>0.78982430570133544</v>
      </c>
      <c r="BK42" s="55">
        <f>AW42+1+$AS$10</f>
        <v>1.75</v>
      </c>
      <c r="BL42" s="48">
        <f t="shared" si="8"/>
        <v>0.78982430570133544</v>
      </c>
      <c r="BM42" s="55">
        <f>AY42+1+$AS$10</f>
        <v>1.2</v>
      </c>
      <c r="BN42" s="48">
        <f t="shared" si="12"/>
        <v>0</v>
      </c>
      <c r="BO42" s="55">
        <f>BA42+1+$AS$10</f>
        <v>1.2</v>
      </c>
      <c r="BP42" s="48">
        <f t="shared" si="13"/>
        <v>0</v>
      </c>
      <c r="BQ42" s="55">
        <f>BC42+1+$AS$10</f>
        <v>1.2</v>
      </c>
      <c r="BR42" s="48">
        <f t="shared" si="14"/>
        <v>0</v>
      </c>
      <c r="BS42" s="55">
        <f t="shared" si="2"/>
        <v>2.1</v>
      </c>
      <c r="BT42" s="48">
        <f t="shared" si="9"/>
        <v>0</v>
      </c>
      <c r="BU42" s="55">
        <f>IF(AT42&lt;&gt;"",BG42+1+$AS$10,BQ42)</f>
        <v>2.1</v>
      </c>
      <c r="BV42" s="48">
        <f t="shared" si="10"/>
        <v>0</v>
      </c>
      <c r="BW42" s="55">
        <f t="shared" si="3"/>
        <v>1.05</v>
      </c>
      <c r="BX42" s="55">
        <f t="shared" si="4"/>
        <v>1.8429233799697826</v>
      </c>
      <c r="BY42" s="55">
        <f t="shared" si="5"/>
        <v>1.1500000000000004</v>
      </c>
      <c r="BZ42" s="55">
        <f t="shared" si="6"/>
        <v>1.8429233799697826</v>
      </c>
      <c r="CA42" s="46">
        <f>IF(AND($AS$9=1,AT42&lt;&gt;""), BW42, $BW$15)</f>
        <v>0.60000000000000009</v>
      </c>
      <c r="CB42" s="46">
        <f>IF(AND($AS$9=1,AT42&lt;&gt;""), BX42, $BX$15)</f>
        <v>1.0530990742684474</v>
      </c>
      <c r="CC42" s="46">
        <f>IF(AND($AS$9=1,AT42&lt;&gt;""), BY42, $BY$15)</f>
        <v>1.6</v>
      </c>
      <c r="CD42" s="46">
        <f>IF(AND($AS$9=1,AT42&lt;&gt;""), BZ42, $BX$15)</f>
        <v>1.0530990742684474</v>
      </c>
    </row>
    <row r="43" spans="39:82" x14ac:dyDescent="0.25">
      <c r="AM43" s="7"/>
      <c r="AN43" s="7"/>
      <c r="AO43" s="7"/>
      <c r="AP43" s="7"/>
      <c r="AQ43" s="7"/>
      <c r="AS43" s="74"/>
      <c r="AT43" s="45">
        <f t="shared" si="15"/>
        <v>0.89999999999999991</v>
      </c>
      <c r="AU43" s="46">
        <f>IF(AT43&lt;&gt;"", ((AT43*0.5)-$AS$8), AU39)</f>
        <v>0.41999999999999993</v>
      </c>
      <c r="AV43" s="47">
        <f t="shared" si="11"/>
        <v>0.78982430570133544</v>
      </c>
      <c r="AW43" s="46">
        <f>IF(AT43&lt;&gt;"", AW42+($AS$8*0.5), AW39)</f>
        <v>0.56500000000000006</v>
      </c>
      <c r="AX43" s="47">
        <f>IF(AT43&lt;&gt;"", AX42+($AS$8*COS(0.5)*$AS$6), AX39)</f>
        <v>0.81615178255804666</v>
      </c>
      <c r="AY43" s="46">
        <f>IF($AS$9=1, AU42, AY39)</f>
        <v>0</v>
      </c>
      <c r="AZ43" s="47">
        <f>IF($AS$9=1, AX42, AZ39)</f>
        <v>0</v>
      </c>
      <c r="BA43" s="46">
        <f>IF(AND($AS$9=1, AT42&lt;&gt;""), 1-AT42, BA42)</f>
        <v>0</v>
      </c>
      <c r="BB43" s="47">
        <f>IF(AND($AS$9=1, AT42&lt;&gt;""), 0, BB42)</f>
        <v>0</v>
      </c>
      <c r="BC43" s="46">
        <f>IF($AS$9=1,AU42,BC42)</f>
        <v>0</v>
      </c>
      <c r="BD43" s="47">
        <f>IF($AS$9=1,AV42,0)</f>
        <v>0</v>
      </c>
      <c r="BE43" s="49">
        <f>IF(AT42&lt;&gt;"",BE42+(0.5*$AS$8),0)</f>
        <v>0.91499999999999992</v>
      </c>
      <c r="BF43" s="50">
        <f>IF(AT42&lt;&gt;"",-COS(0.5)*$AS$8*$AS$6,0)</f>
        <v>-2.632747685671118E-2</v>
      </c>
      <c r="BG43" s="46">
        <f t="shared" si="1"/>
        <v>0.91499999999999992</v>
      </c>
      <c r="BH43" s="47">
        <f t="shared" si="1"/>
        <v>-2.632747685671118E-2</v>
      </c>
      <c r="BI43" s="55">
        <f>IF(AT43&lt;&gt;"",AU43+1+$AS$10+($AS$8*0.5), $AZ$7)</f>
        <v>1.6349999999999998</v>
      </c>
      <c r="BJ43" s="48">
        <f t="shared" si="7"/>
        <v>0.81615178255804666</v>
      </c>
      <c r="BK43" s="55">
        <f>AW43+1+$AS$10+0.5*$AS$8</f>
        <v>1.7799999999999998</v>
      </c>
      <c r="BL43" s="48">
        <f t="shared" si="8"/>
        <v>0.78982430570133544</v>
      </c>
      <c r="BM43" s="55">
        <f>AY43+1+$AS$10</f>
        <v>1.2</v>
      </c>
      <c r="BN43" s="48">
        <f t="shared" si="12"/>
        <v>0</v>
      </c>
      <c r="BO43" s="55">
        <f>BA43+1+$AS$10</f>
        <v>1.2</v>
      </c>
      <c r="BP43" s="48">
        <f t="shared" si="13"/>
        <v>0</v>
      </c>
      <c r="BQ43" s="55">
        <f>BC43+1+$AS$10</f>
        <v>1.2</v>
      </c>
      <c r="BR43" s="48">
        <f t="shared" si="14"/>
        <v>0</v>
      </c>
      <c r="BS43" s="55">
        <f t="shared" si="2"/>
        <v>2.1150000000000002</v>
      </c>
      <c r="BT43" s="48">
        <f t="shared" si="9"/>
        <v>-2.632747685671118E-2</v>
      </c>
      <c r="BU43" s="55">
        <f>IF(AT43&lt;&gt;"",BG43+1+$AS$10-$AS$8,BQ42)</f>
        <v>2.0850000000000004</v>
      </c>
      <c r="BV43" s="48">
        <f t="shared" si="10"/>
        <v>-2.632747685671118E-2</v>
      </c>
      <c r="BW43" s="55">
        <f t="shared" si="3"/>
        <v>1.0349999999999999</v>
      </c>
      <c r="BX43" s="55">
        <f t="shared" si="4"/>
        <v>1.8692508568264943</v>
      </c>
      <c r="BY43" s="55">
        <f t="shared" si="5"/>
        <v>1.165</v>
      </c>
      <c r="BZ43" s="55">
        <f t="shared" si="6"/>
        <v>1.8692508568264943</v>
      </c>
      <c r="CA43" s="46">
        <f>IF(AND($AS$9=1,AT43&lt;&gt;""), CA42+0.5, $BW$15)</f>
        <v>0.60000000000000009</v>
      </c>
      <c r="CB43" s="46">
        <f>IF(AND($AS$9=1,AT43&lt;&gt;""), CB42-$BA$7, $BX$15)</f>
        <v>1.0530990742684474</v>
      </c>
      <c r="CC43" s="46">
        <f>IF(AND($AS$9=1,AT43&lt;&gt;""), CC42-0.5, $BY$15)</f>
        <v>1.6</v>
      </c>
      <c r="CD43" s="46">
        <f>IF(AND($AS$9=1,AT43&lt;&gt;""), CD42-$BA$7, $BZ$15)</f>
        <v>1.0530990742684474</v>
      </c>
    </row>
    <row r="44" spans="39:82" x14ac:dyDescent="0.25">
      <c r="AM44" s="7"/>
      <c r="AN44" s="7"/>
      <c r="AO44" s="7"/>
      <c r="AP44" s="7"/>
      <c r="AQ44" s="7"/>
      <c r="AS44" s="74"/>
      <c r="AT44" s="45">
        <f t="shared" si="15"/>
        <v>0.89999999999999991</v>
      </c>
      <c r="AU44" s="46">
        <f>IF(AT44&lt;&gt;"", (AT44*0.5), AU39)</f>
        <v>0.44999999999999996</v>
      </c>
      <c r="AV44" s="47">
        <f t="shared" si="11"/>
        <v>0.78982430570133544</v>
      </c>
      <c r="AW44" s="46">
        <f>IF(AT44&lt;&gt;"", 1-(AT44*0.5), AW39)</f>
        <v>0.55000000000000004</v>
      </c>
      <c r="AX44" s="47">
        <f>IF(AT44&lt;&gt;"", (AT44*COS(0.5)*$AS$6), AX41)</f>
        <v>0.78982430570133544</v>
      </c>
      <c r="AY44" s="46"/>
      <c r="AZ44" s="47"/>
      <c r="BA44" s="46"/>
      <c r="BB44" s="47"/>
      <c r="BC44" s="46"/>
      <c r="BD44" s="47"/>
      <c r="BE44" s="49">
        <f>IF(AT42&lt;&gt;"", AT42, 0)</f>
        <v>0.89999999999999991</v>
      </c>
      <c r="BF44" s="50">
        <v>0</v>
      </c>
      <c r="BG44" s="46">
        <f t="shared" si="1"/>
        <v>0.89999999999999991</v>
      </c>
      <c r="BH44" s="47">
        <f t="shared" si="1"/>
        <v>0</v>
      </c>
      <c r="BI44" s="55">
        <f>IF(AT44&lt;&gt;"",AU44+1+$AS$10, $AZ$7)</f>
        <v>1.65</v>
      </c>
      <c r="BJ44" s="48">
        <f t="shared" si="7"/>
        <v>0.78982430570133544</v>
      </c>
      <c r="BK44" s="55">
        <f>AW44+1+$AS$10</f>
        <v>1.75</v>
      </c>
      <c r="BL44" s="48">
        <f t="shared" si="8"/>
        <v>0.78982430570133544</v>
      </c>
      <c r="BM44" s="55"/>
      <c r="BN44" s="48"/>
      <c r="BO44" s="55"/>
      <c r="BP44" s="48"/>
      <c r="BQ44" s="55"/>
      <c r="BR44" s="48"/>
      <c r="BS44" s="55">
        <f t="shared" si="2"/>
        <v>2.1</v>
      </c>
      <c r="BT44" s="48">
        <f t="shared" si="9"/>
        <v>0</v>
      </c>
      <c r="BU44" s="55">
        <f>BU42</f>
        <v>2.1</v>
      </c>
      <c r="BV44" s="48">
        <f t="shared" si="10"/>
        <v>0</v>
      </c>
      <c r="BW44" s="55">
        <f t="shared" si="3"/>
        <v>1.05</v>
      </c>
      <c r="BX44" s="55">
        <f t="shared" si="4"/>
        <v>1.8429233799697826</v>
      </c>
      <c r="BY44" s="55">
        <f t="shared" si="5"/>
        <v>1.1500000000000004</v>
      </c>
      <c r="BZ44" s="55">
        <f t="shared" si="6"/>
        <v>1.8429233799697826</v>
      </c>
    </row>
    <row r="45" spans="39:82" x14ac:dyDescent="0.25">
      <c r="AM45" s="7"/>
      <c r="AN45" s="7"/>
      <c r="AO45" s="7"/>
      <c r="AP45" s="7"/>
      <c r="AQ45" s="7"/>
      <c r="AS45" s="74" t="s">
        <v>206</v>
      </c>
      <c r="AT45" s="45">
        <f>IF(AND($AS$7&gt;0, $AS$8&gt;0, AT42&lt;1), AT42+$AS$7, "")</f>
        <v>0.99999999999999989</v>
      </c>
      <c r="AU45" s="46">
        <f>IF(AT45&lt;&gt;"", (AT45*0.5), AU42)</f>
        <v>0.49999999999999994</v>
      </c>
      <c r="AV45" s="47">
        <f t="shared" si="11"/>
        <v>0.87758256189037265</v>
      </c>
      <c r="AW45" s="46">
        <f>IF(AT45&lt;&gt;"", 1-(AT45*0.5), AW42)</f>
        <v>0.5</v>
      </c>
      <c r="AX45" s="47">
        <f>IF(AT45&lt;&gt;"", (AT45*COS(0.5)*$AS$6), AX42)</f>
        <v>0.87758256189037265</v>
      </c>
      <c r="AY45" s="46">
        <f>IF($AS$9=1, AW45, AY42)</f>
        <v>0</v>
      </c>
      <c r="AZ45" s="47">
        <f>IF($AS$9=1, AX45, AZ42)</f>
        <v>0</v>
      </c>
      <c r="BA45" s="46">
        <f>IF(AND($AS$9=1, AT45&lt;&gt;""), AW45, BA42)</f>
        <v>0</v>
      </c>
      <c r="BB45" s="47">
        <f>IF(AND($AS$9=1, AT45&lt;&gt;""), AX45, BB42)</f>
        <v>0</v>
      </c>
      <c r="BC45" s="46">
        <f>IF($AS$9=1,BE45,BC42)</f>
        <v>0</v>
      </c>
      <c r="BD45" s="47">
        <v>0</v>
      </c>
      <c r="BE45" s="49">
        <f>IF(AT45&lt;&gt;"", AT45, 0)</f>
        <v>0.99999999999999989</v>
      </c>
      <c r="BF45" s="50">
        <v>0</v>
      </c>
      <c r="BG45" s="46">
        <f t="shared" si="1"/>
        <v>0.99999999999999989</v>
      </c>
      <c r="BH45" s="47">
        <f t="shared" si="1"/>
        <v>0</v>
      </c>
      <c r="BI45" s="55">
        <f>IF(AT45&lt;&gt;"",AU45+1+$AS$10, $AZ$7)</f>
        <v>1.7</v>
      </c>
      <c r="BJ45" s="48">
        <f t="shared" si="7"/>
        <v>0.87758256189037265</v>
      </c>
      <c r="BK45" s="55">
        <f>AW45+1+$AS$10</f>
        <v>1.7</v>
      </c>
      <c r="BL45" s="48">
        <f t="shared" si="8"/>
        <v>0.87758256189037265</v>
      </c>
      <c r="BM45" s="55">
        <f>AY45+1+$AS$10</f>
        <v>1.2</v>
      </c>
      <c r="BN45" s="48">
        <f t="shared" si="12"/>
        <v>0</v>
      </c>
      <c r="BO45" s="55">
        <f>BA45+1+$AS$10</f>
        <v>1.2</v>
      </c>
      <c r="BP45" s="48">
        <f t="shared" si="13"/>
        <v>0</v>
      </c>
      <c r="BQ45" s="55">
        <f>BC45+1+$AS$10</f>
        <v>1.2</v>
      </c>
      <c r="BR45" s="48">
        <f t="shared" si="14"/>
        <v>0</v>
      </c>
      <c r="BS45" s="55">
        <f t="shared" si="2"/>
        <v>2.2000000000000002</v>
      </c>
      <c r="BT45" s="48">
        <f t="shared" si="9"/>
        <v>0</v>
      </c>
      <c r="BU45" s="55">
        <f>IF(AT45&lt;&gt;"",BG45+1+$AS$10,BQ45)</f>
        <v>2.2000000000000002</v>
      </c>
      <c r="BV45" s="48">
        <f t="shared" si="10"/>
        <v>0</v>
      </c>
      <c r="BW45" s="55">
        <f t="shared" si="3"/>
        <v>1.1000000000000001</v>
      </c>
      <c r="BX45" s="55">
        <f t="shared" si="4"/>
        <v>1.9306816361588202</v>
      </c>
      <c r="BY45" s="55">
        <f t="shared" si="5"/>
        <v>1.1000000000000001</v>
      </c>
      <c r="BZ45" s="55">
        <f t="shared" si="6"/>
        <v>1.9306816361588202</v>
      </c>
      <c r="CA45" s="46">
        <f>IF(AND($AS$9=1,AT45&lt;&gt;""), BW45, $BW$15)</f>
        <v>0.60000000000000009</v>
      </c>
      <c r="CB45" s="46">
        <f>IF(AND($AS$9=1,AT45&lt;&gt;""), BX45, $BX$15)</f>
        <v>1.0530990742684474</v>
      </c>
      <c r="CC45" s="46">
        <f>IF(AND($AS$9=1,AT45&lt;&gt;""), BY45, $BY$15)</f>
        <v>1.6</v>
      </c>
      <c r="CD45" s="46">
        <f>IF(AND($AS$9=1,AT45&lt;&gt;""), BZ45, $BX$15)</f>
        <v>1.0530990742684474</v>
      </c>
    </row>
    <row r="46" spans="39:82" x14ac:dyDescent="0.25">
      <c r="AM46" s="7"/>
      <c r="AN46" s="7"/>
      <c r="AO46" s="7"/>
      <c r="AP46" s="7"/>
      <c r="AQ46" s="7"/>
      <c r="AS46" s="74"/>
      <c r="AT46" s="45">
        <f t="shared" si="15"/>
        <v>0.99999999999999989</v>
      </c>
      <c r="AU46" s="46">
        <f>IF(AT46&lt;&gt;"", ((AT46*0.5)-$AS$8), AU42)</f>
        <v>0.47</v>
      </c>
      <c r="AV46" s="47">
        <f t="shared" si="11"/>
        <v>0.87758256189037265</v>
      </c>
      <c r="AW46" s="46">
        <f>IF(AT46&lt;&gt;"", AW45+($AS$8*0.5), AW42)</f>
        <v>0.51500000000000001</v>
      </c>
      <c r="AX46" s="47">
        <f>IF(AT46&lt;&gt;"", AX45+($AS$8*COS(0.5)*$AS$6), AX42)</f>
        <v>0.90391003874708387</v>
      </c>
      <c r="AY46" s="46">
        <f>IF($AS$9=1, AU45, AY42)</f>
        <v>0</v>
      </c>
      <c r="AZ46" s="47">
        <f>IF($AS$9=1, AX45, AZ42)</f>
        <v>0</v>
      </c>
      <c r="BA46" s="46">
        <f>IF(AND($AS$9=1, AT45&lt;&gt;""), 1-AT45, BA45)</f>
        <v>0</v>
      </c>
      <c r="BB46" s="47">
        <f>IF(AND($AS$9=1, AT45&lt;&gt;""), 0, BB45)</f>
        <v>0</v>
      </c>
      <c r="BC46" s="46">
        <f>IF($AS$9=1,AU45,BC45)</f>
        <v>0</v>
      </c>
      <c r="BD46" s="47">
        <f>IF($AS$9=1,AV45,0)</f>
        <v>0</v>
      </c>
      <c r="BE46" s="49">
        <f>IF(AT45&lt;&gt;"",BE45+(0.5*$AS$8),0)</f>
        <v>1.0149999999999999</v>
      </c>
      <c r="BF46" s="50">
        <f>IF(AT45&lt;&gt;"",-COS(0.5)*$AS$8*$AS$6,0)</f>
        <v>-2.632747685671118E-2</v>
      </c>
      <c r="BG46" s="46">
        <f t="shared" si="1"/>
        <v>1.0149999999999999</v>
      </c>
      <c r="BH46" s="47">
        <f t="shared" si="1"/>
        <v>-2.632747685671118E-2</v>
      </c>
      <c r="BI46" s="55">
        <f>IF(AT46&lt;&gt;"",AU46+1+$AS$10+($AS$8*0.5), $AZ$7)</f>
        <v>1.6849999999999998</v>
      </c>
      <c r="BJ46" s="48">
        <f t="shared" si="7"/>
        <v>0.90391003874708387</v>
      </c>
      <c r="BK46" s="55">
        <f>AW46+1+$AS$10+0.5*$AS$8</f>
        <v>1.73</v>
      </c>
      <c r="BL46" s="48">
        <f t="shared" si="8"/>
        <v>0.87758256189037265</v>
      </c>
      <c r="BM46" s="55">
        <f>AY46+1+$AS$10</f>
        <v>1.2</v>
      </c>
      <c r="BN46" s="48">
        <f t="shared" si="12"/>
        <v>0</v>
      </c>
      <c r="BO46" s="55">
        <f>BA46+1+$AS$10</f>
        <v>1.2</v>
      </c>
      <c r="BP46" s="48">
        <f t="shared" si="13"/>
        <v>0</v>
      </c>
      <c r="BQ46" s="55">
        <f>BC46+1+$AS$10</f>
        <v>1.2</v>
      </c>
      <c r="BR46" s="48">
        <f t="shared" si="14"/>
        <v>0</v>
      </c>
      <c r="BS46" s="55">
        <f t="shared" si="2"/>
        <v>2.2149999999999999</v>
      </c>
      <c r="BT46" s="48">
        <f t="shared" si="9"/>
        <v>-2.632747685671118E-2</v>
      </c>
      <c r="BU46" s="55">
        <f>IF(AT46&lt;&gt;"",BG46+1+$AS$10-$AS$8,BQ45)</f>
        <v>2.1850000000000001</v>
      </c>
      <c r="BV46" s="48">
        <f t="shared" si="10"/>
        <v>-2.632747685671118E-2</v>
      </c>
      <c r="BW46" s="55">
        <f t="shared" si="3"/>
        <v>1.085</v>
      </c>
      <c r="BX46" s="55">
        <f t="shared" si="4"/>
        <v>1.9570091130155314</v>
      </c>
      <c r="BY46" s="55">
        <f t="shared" si="5"/>
        <v>1.1150000000000002</v>
      </c>
      <c r="BZ46" s="55">
        <f t="shared" si="6"/>
        <v>1.9570091130155314</v>
      </c>
      <c r="CA46" s="46">
        <f>IF(AND($AS$9=1,AT46&lt;&gt;""), CA45+0.5, $BW$15)</f>
        <v>0.60000000000000009</v>
      </c>
      <c r="CB46" s="46">
        <f>IF(AND($AS$9=1,AT46&lt;&gt;""), CB45-$BA$7, $BX$15)</f>
        <v>1.0530990742684474</v>
      </c>
      <c r="CC46" s="46">
        <f>IF(AND($AS$9=1,AT46&lt;&gt;""), CC45-0.5, $BY$15)</f>
        <v>1.6</v>
      </c>
      <c r="CD46" s="46">
        <f>IF(AND($AS$9=1,AT46&lt;&gt;""), CD45-$BA$7, $BZ$15)</f>
        <v>1.0530990742684474</v>
      </c>
    </row>
    <row r="47" spans="39:82" x14ac:dyDescent="0.25">
      <c r="AM47" s="7"/>
      <c r="AN47" s="7"/>
      <c r="AO47" s="7"/>
      <c r="AP47" s="7"/>
      <c r="AQ47" s="7"/>
      <c r="AS47" s="74"/>
      <c r="AT47" s="45">
        <f t="shared" si="15"/>
        <v>0.99999999999999989</v>
      </c>
      <c r="AU47" s="46">
        <f>IF(AT47&lt;&gt;"", (AT47*0.5), AU42)</f>
        <v>0.49999999999999994</v>
      </c>
      <c r="AV47" s="47">
        <f t="shared" si="11"/>
        <v>0.87758256189037265</v>
      </c>
      <c r="AW47" s="46">
        <f>IF(AT47&lt;&gt;"", 1-(AT47*0.5), AW42)</f>
        <v>0.5</v>
      </c>
      <c r="AX47" s="47">
        <f>IF(AT47&lt;&gt;"", (AT47*COS(0.5)*$AS$6), AX44)</f>
        <v>0.87758256189037265</v>
      </c>
      <c r="AY47" s="46"/>
      <c r="AZ47" s="47"/>
      <c r="BA47" s="46"/>
      <c r="BB47" s="47"/>
      <c r="BC47" s="46"/>
      <c r="BD47" s="47"/>
      <c r="BE47" s="49">
        <f>IF(AT45&lt;&gt;"", AT45, 0)</f>
        <v>0.99999999999999989</v>
      </c>
      <c r="BF47" s="50">
        <v>0</v>
      </c>
      <c r="BG47" s="46">
        <f t="shared" ref="BG47:BH77" si="16">BE47</f>
        <v>0.99999999999999989</v>
      </c>
      <c r="BH47" s="47">
        <f t="shared" si="16"/>
        <v>0</v>
      </c>
      <c r="BI47" s="55">
        <f>IF(AT47&lt;&gt;"",AU47+1+$AS$10, $AZ$7)</f>
        <v>1.7</v>
      </c>
      <c r="BJ47" s="48">
        <f t="shared" si="7"/>
        <v>0.87758256189037265</v>
      </c>
      <c r="BK47" s="55">
        <f>AW47+1+$AS$10</f>
        <v>1.7</v>
      </c>
      <c r="BL47" s="48">
        <f t="shared" si="8"/>
        <v>0.87758256189037265</v>
      </c>
      <c r="BM47" s="55"/>
      <c r="BN47" s="48"/>
      <c r="BO47" s="55"/>
      <c r="BP47" s="48"/>
      <c r="BQ47" s="55"/>
      <c r="BR47" s="48"/>
      <c r="BS47" s="55">
        <f t="shared" ref="BS47:BS77" si="17">BE47+1+$AS$10</f>
        <v>2.2000000000000002</v>
      </c>
      <c r="BT47" s="48">
        <f t="shared" si="9"/>
        <v>0</v>
      </c>
      <c r="BU47" s="55">
        <f>BU45</f>
        <v>2.2000000000000002</v>
      </c>
      <c r="BV47" s="48">
        <f t="shared" si="10"/>
        <v>0</v>
      </c>
      <c r="BW47" s="55">
        <f t="shared" ref="BW47:BW77" si="18">BI47-$AZ$8+$BC$8</f>
        <v>1.1000000000000001</v>
      </c>
      <c r="BX47" s="55">
        <f t="shared" ref="BX47:BX77" si="19">BJ47+$BD$9-$BA$7</f>
        <v>1.9306816361588202</v>
      </c>
      <c r="BY47" s="55">
        <f t="shared" ref="BY47:BY77" si="20">AW47+$BC$10-$AW$9</f>
        <v>1.1000000000000001</v>
      </c>
      <c r="BZ47" s="55">
        <f t="shared" ref="BZ47:BZ77" si="21">AX47+$BD$9-$AX$7</f>
        <v>1.9306816361588202</v>
      </c>
    </row>
    <row r="48" spans="39:82" x14ac:dyDescent="0.25">
      <c r="AM48" s="7"/>
      <c r="AN48" s="7"/>
      <c r="AO48" s="7"/>
      <c r="AP48" s="7"/>
      <c r="AQ48" s="7"/>
      <c r="AS48" s="74"/>
      <c r="AT48" s="45" t="str">
        <f>IF(AND($AS$7&gt;0, $AS$8&gt;0, AT45&lt;1), AT45+$AS$7, "")</f>
        <v/>
      </c>
      <c r="AU48" s="46">
        <f>IF(AT48&lt;&gt;"", (AT48*0.5), AU45)</f>
        <v>0.49999999999999994</v>
      </c>
      <c r="AV48" s="47">
        <f t="shared" si="11"/>
        <v>0.87758256189037265</v>
      </c>
      <c r="AW48" s="46">
        <f>IF(AT48&lt;&gt;"", 1-(AT48*0.5), AW45)</f>
        <v>0.5</v>
      </c>
      <c r="AX48" s="47">
        <f>IF(AT48&lt;&gt;"", (AT48*COS(0.5)*$AS$6), AX45)</f>
        <v>0.87758256189037265</v>
      </c>
      <c r="AY48" s="46">
        <f>IF($AS$9=1, AW48, AY45)</f>
        <v>0</v>
      </c>
      <c r="AZ48" s="47">
        <f>IF($AS$9=1, AX48, AZ45)</f>
        <v>0</v>
      </c>
      <c r="BA48" s="46">
        <f>IF(AND($AS$9=1, AT48&lt;&gt;""), AW48, BA45)</f>
        <v>0</v>
      </c>
      <c r="BB48" s="47">
        <f>IF(AND($AS$9=1, AT48&lt;&gt;""), AX48, BB45)</f>
        <v>0</v>
      </c>
      <c r="BC48" s="46">
        <f>IF($AS$9=1,BE48,BC45)</f>
        <v>0</v>
      </c>
      <c r="BD48" s="47">
        <v>0</v>
      </c>
      <c r="BE48" s="49">
        <f>IF(AT48&lt;&gt;"", AT48, 0)</f>
        <v>0</v>
      </c>
      <c r="BF48" s="50">
        <v>0</v>
      </c>
      <c r="BG48" s="46">
        <f t="shared" si="16"/>
        <v>0</v>
      </c>
      <c r="BH48" s="47">
        <f t="shared" si="16"/>
        <v>0</v>
      </c>
      <c r="BI48" s="55">
        <f>IF(AT48&lt;&gt;"",AU48+1+$AS$10, $AZ$7)</f>
        <v>1.7</v>
      </c>
      <c r="BJ48" s="48">
        <f>AX48</f>
        <v>0.87758256189037265</v>
      </c>
      <c r="BK48" s="55">
        <f>AW48+1+$AS$10</f>
        <v>1.7</v>
      </c>
      <c r="BL48" s="48">
        <f t="shared" si="8"/>
        <v>0.87758256189037265</v>
      </c>
      <c r="BM48" s="55">
        <f>AY48+1+$AS$10</f>
        <v>1.2</v>
      </c>
      <c r="BN48" s="48">
        <f t="shared" si="12"/>
        <v>0</v>
      </c>
      <c r="BO48" s="55">
        <f>BA48+1+$AS$10</f>
        <v>1.2</v>
      </c>
      <c r="BP48" s="48">
        <f t="shared" si="13"/>
        <v>0</v>
      </c>
      <c r="BQ48" s="55">
        <f>BC48+1+$AS$10</f>
        <v>1.2</v>
      </c>
      <c r="BR48" s="48">
        <f t="shared" si="14"/>
        <v>0</v>
      </c>
      <c r="BS48" s="55">
        <f t="shared" si="17"/>
        <v>1.2</v>
      </c>
      <c r="BT48" s="48">
        <f t="shared" si="9"/>
        <v>0</v>
      </c>
      <c r="BU48" s="55">
        <f>IF(AT48&lt;&gt;"",BG48+1+$AS$10,BQ48)</f>
        <v>1.2</v>
      </c>
      <c r="BV48" s="48">
        <f t="shared" si="10"/>
        <v>0</v>
      </c>
      <c r="BW48" s="55">
        <f t="shared" si="18"/>
        <v>1.1000000000000001</v>
      </c>
      <c r="BX48" s="55">
        <f t="shared" si="19"/>
        <v>1.9306816361588202</v>
      </c>
      <c r="BY48" s="55">
        <f t="shared" si="20"/>
        <v>1.1000000000000001</v>
      </c>
      <c r="BZ48" s="55">
        <f t="shared" si="21"/>
        <v>1.9306816361588202</v>
      </c>
      <c r="CA48" s="46">
        <f>IF(AND($AS$9=1,AT48&lt;&gt;""), BW48, $BW$15)</f>
        <v>0.60000000000000009</v>
      </c>
      <c r="CB48" s="46">
        <f>IF(AND($AS$9=1,AT48&lt;&gt;""), BX48, $BX$15)</f>
        <v>1.0530990742684474</v>
      </c>
      <c r="CC48" s="46">
        <f>IF(AND($AS$9=1,AT48&lt;&gt;""), BY48, $BY$15)</f>
        <v>1.6</v>
      </c>
      <c r="CD48" s="46">
        <f>IF(AND($AS$9=1,AT48&lt;&gt;""), BZ48, $BX$15)</f>
        <v>1.0530990742684474</v>
      </c>
    </row>
    <row r="49" spans="39:82" x14ac:dyDescent="0.25">
      <c r="AM49" s="7"/>
      <c r="AN49" s="7"/>
      <c r="AO49" s="7"/>
      <c r="AP49" s="7"/>
      <c r="AQ49" s="7"/>
      <c r="AS49" s="74"/>
      <c r="AT49" s="45" t="str">
        <f t="shared" si="15"/>
        <v/>
      </c>
      <c r="AU49" s="46">
        <f>IF(AT49&lt;&gt;"", ((AT49*0.5)-$AS$8), AU45)</f>
        <v>0.49999999999999994</v>
      </c>
      <c r="AV49" s="47">
        <f t="shared" si="11"/>
        <v>0.87758256189037265</v>
      </c>
      <c r="AW49" s="46">
        <f>IF(AT49&lt;&gt;"", AW48+($AS$8*0.5), AW45)</f>
        <v>0.5</v>
      </c>
      <c r="AX49" s="47">
        <f>IF(AT49&lt;&gt;"", AX48+($AS$8*COS(0.5)*$AS$6), AX45)</f>
        <v>0.87758256189037265</v>
      </c>
      <c r="AY49" s="46">
        <f>IF($AS$9=1, AU48, AY45)</f>
        <v>0</v>
      </c>
      <c r="AZ49" s="47">
        <f>IF($AS$9=1, AX48, AZ45)</f>
        <v>0</v>
      </c>
      <c r="BA49" s="46">
        <f>IF(AND($AS$9=1, AT48&lt;&gt;""), 1-AT48, BA48)</f>
        <v>0</v>
      </c>
      <c r="BB49" s="47">
        <f>IF(AND($AS$9=1, AT48&lt;&gt;""), 0, BB48)</f>
        <v>0</v>
      </c>
      <c r="BC49" s="46">
        <f>IF($AS$9=1,AU48,BC48)</f>
        <v>0</v>
      </c>
      <c r="BD49" s="47">
        <f>IF($AS$9=1,AV48,0)</f>
        <v>0</v>
      </c>
      <c r="BE49" s="49">
        <f>IF(AT48&lt;&gt;"",BE48+(0.5*$AS$8),0)</f>
        <v>0</v>
      </c>
      <c r="BF49" s="50">
        <f>IF(AT48&lt;&gt;"",-COS(0.5)*$AS$8*$AS$6,0)</f>
        <v>0</v>
      </c>
      <c r="BG49" s="46">
        <f t="shared" si="16"/>
        <v>0</v>
      </c>
      <c r="BH49" s="47">
        <f t="shared" si="16"/>
        <v>0</v>
      </c>
      <c r="BI49" s="55">
        <f>IF(AT49&lt;&gt;"",AU49+1+$AS$10+($AS$8*0.5), $AZ$7)</f>
        <v>1.7</v>
      </c>
      <c r="BJ49" s="48">
        <f t="shared" si="7"/>
        <v>0.87758256189037265</v>
      </c>
      <c r="BK49" s="55">
        <f>AW49+1+$AS$10+0.5*$AS$8</f>
        <v>1.7149999999999999</v>
      </c>
      <c r="BL49" s="48">
        <f t="shared" si="8"/>
        <v>0.87758256189037265</v>
      </c>
      <c r="BM49" s="55">
        <f>AY49+1+$AS$10</f>
        <v>1.2</v>
      </c>
      <c r="BN49" s="48">
        <f t="shared" si="12"/>
        <v>0</v>
      </c>
      <c r="BO49" s="55">
        <f>BA49+1+$AS$10</f>
        <v>1.2</v>
      </c>
      <c r="BP49" s="48">
        <f t="shared" si="13"/>
        <v>0</v>
      </c>
      <c r="BQ49" s="55">
        <f>BC49+1+$AS$10</f>
        <v>1.2</v>
      </c>
      <c r="BR49" s="48">
        <f t="shared" si="14"/>
        <v>0</v>
      </c>
      <c r="BS49" s="55">
        <f t="shared" si="17"/>
        <v>1.2</v>
      </c>
      <c r="BT49" s="48">
        <f t="shared" si="9"/>
        <v>0</v>
      </c>
      <c r="BU49" s="55">
        <f>IF(AT49&lt;&gt;"",BG49+1+$AS$10-$AS$8,BQ48)</f>
        <v>1.2</v>
      </c>
      <c r="BV49" s="48">
        <f t="shared" si="10"/>
        <v>0</v>
      </c>
      <c r="BW49" s="55">
        <f t="shared" si="18"/>
        <v>1.1000000000000001</v>
      </c>
      <c r="BX49" s="55">
        <f t="shared" si="19"/>
        <v>1.9306816361588202</v>
      </c>
      <c r="BY49" s="55">
        <f t="shared" si="20"/>
        <v>1.1000000000000001</v>
      </c>
      <c r="BZ49" s="55">
        <f t="shared" si="21"/>
        <v>1.9306816361588202</v>
      </c>
      <c r="CA49" s="46">
        <f>IF(AND($AS$9=1,AT49&lt;&gt;""), CA48+0.5, $BW$15)</f>
        <v>0.60000000000000009</v>
      </c>
      <c r="CB49" s="46">
        <f>IF(AND($AS$9=1,AT49&lt;&gt;""), CB48-$BA$7, $BX$15)</f>
        <v>1.0530990742684474</v>
      </c>
      <c r="CC49" s="46">
        <f>IF(AND($AS$9=1,AT49&lt;&gt;""), CC48-0.5, $BY$15)</f>
        <v>1.6</v>
      </c>
      <c r="CD49" s="46">
        <f>IF(AND($AS$9=1,AT49&lt;&gt;""), CD48-$BA$7, $BZ$15)</f>
        <v>1.0530990742684474</v>
      </c>
    </row>
    <row r="50" spans="39:82" x14ac:dyDescent="0.25">
      <c r="AM50" s="7"/>
      <c r="AN50" s="7"/>
      <c r="AO50" s="7"/>
      <c r="AP50" s="7"/>
      <c r="AQ50" s="7"/>
      <c r="AS50" s="74"/>
      <c r="AT50" s="45" t="str">
        <f t="shared" si="15"/>
        <v/>
      </c>
      <c r="AU50" s="46">
        <f>IF(AT50&lt;&gt;"", (AT50*0.5), AU45)</f>
        <v>0.49999999999999994</v>
      </c>
      <c r="AV50" s="47">
        <f t="shared" ref="AV50:AV77" si="22">IF(AT50&lt;&gt;"", (AT50*COS(0.5)*$AS$6), AV47)</f>
        <v>0.87758256189037265</v>
      </c>
      <c r="AW50" s="46">
        <f>IF(AT50&lt;&gt;"", 1-(AT50*0.5), AW45)</f>
        <v>0.5</v>
      </c>
      <c r="AX50" s="47">
        <f>IF(AT50&lt;&gt;"", (AT50*COS(0.5)*$AS$6), AX47)</f>
        <v>0.87758256189037265</v>
      </c>
      <c r="AY50" s="46"/>
      <c r="AZ50" s="47"/>
      <c r="BA50" s="46"/>
      <c r="BB50" s="47"/>
      <c r="BC50" s="46"/>
      <c r="BD50" s="47"/>
      <c r="BE50" s="49">
        <f>IF(AT48&lt;&gt;"", AT48, 0)</f>
        <v>0</v>
      </c>
      <c r="BF50" s="50">
        <v>0</v>
      </c>
      <c r="BG50" s="46">
        <f t="shared" si="16"/>
        <v>0</v>
      </c>
      <c r="BH50" s="47">
        <f t="shared" si="16"/>
        <v>0</v>
      </c>
      <c r="BI50" s="55">
        <f>IF(AT50&lt;&gt;"",AU50+1+$AS$10, $AZ$7)</f>
        <v>1.7</v>
      </c>
      <c r="BJ50" s="48">
        <f t="shared" si="7"/>
        <v>0.87758256189037265</v>
      </c>
      <c r="BK50" s="55">
        <f>AW50+1+$AS$10</f>
        <v>1.7</v>
      </c>
      <c r="BL50" s="48">
        <f t="shared" si="8"/>
        <v>0.87758256189037265</v>
      </c>
      <c r="BM50" s="55"/>
      <c r="BN50" s="48"/>
      <c r="BO50" s="55"/>
      <c r="BP50" s="48"/>
      <c r="BQ50" s="55"/>
      <c r="BR50" s="48"/>
      <c r="BS50" s="55">
        <f t="shared" si="17"/>
        <v>1.2</v>
      </c>
      <c r="BT50" s="48">
        <f t="shared" si="9"/>
        <v>0</v>
      </c>
      <c r="BU50" s="55">
        <f>BU48</f>
        <v>1.2</v>
      </c>
      <c r="BV50" s="48">
        <f t="shared" si="10"/>
        <v>0</v>
      </c>
      <c r="BW50" s="55">
        <f t="shared" si="18"/>
        <v>1.1000000000000001</v>
      </c>
      <c r="BX50" s="55">
        <f t="shared" si="19"/>
        <v>1.9306816361588202</v>
      </c>
      <c r="BY50" s="55">
        <f t="shared" si="20"/>
        <v>1.1000000000000001</v>
      </c>
      <c r="BZ50" s="55">
        <f t="shared" si="21"/>
        <v>1.9306816361588202</v>
      </c>
    </row>
    <row r="51" spans="39:82" x14ac:dyDescent="0.25">
      <c r="AM51" s="7"/>
      <c r="AN51" s="7"/>
      <c r="AO51" s="7"/>
      <c r="AP51" s="7"/>
      <c r="AQ51" s="7"/>
      <c r="AS51" s="74"/>
      <c r="AT51" s="45" t="str">
        <f>IF(AND($AS$7&gt;0, $AS$8&gt;0, AT48&lt;1), AT48+$AS$7, "")</f>
        <v/>
      </c>
      <c r="AU51" s="46">
        <f>IF(AT51&lt;&gt;"", (AT51*0.5), AU48)</f>
        <v>0.49999999999999994</v>
      </c>
      <c r="AV51" s="47">
        <f t="shared" si="22"/>
        <v>0.87758256189037265</v>
      </c>
      <c r="AW51" s="46">
        <f>IF(AT51&lt;&gt;"", 1-(AT51*0.5), AW48)</f>
        <v>0.5</v>
      </c>
      <c r="AX51" s="47">
        <f>IF(AT51&lt;&gt;"", (AT51*COS(0.5)*$AS$6), AX48)</f>
        <v>0.87758256189037265</v>
      </c>
      <c r="AY51" s="46">
        <f>IF($AS$9=1, AW51, AY48)</f>
        <v>0</v>
      </c>
      <c r="AZ51" s="47">
        <f>IF($AS$9=1, AX51, AZ48)</f>
        <v>0</v>
      </c>
      <c r="BA51" s="46">
        <f>IF(AND($AS$9=1, AT51&lt;&gt;""), AW51, BA48)</f>
        <v>0</v>
      </c>
      <c r="BB51" s="47">
        <f>IF(AND($AS$9=1, AT51&lt;&gt;""), AX51, BB48)</f>
        <v>0</v>
      </c>
      <c r="BC51" s="46">
        <f>IF($AS$9=1,BE51,BC48)</f>
        <v>0</v>
      </c>
      <c r="BD51" s="47">
        <v>0</v>
      </c>
      <c r="BE51" s="49">
        <f>IF(AT51&lt;&gt;"", AT51, 0)</f>
        <v>0</v>
      </c>
      <c r="BF51" s="50">
        <v>0</v>
      </c>
      <c r="BG51" s="46">
        <f t="shared" si="16"/>
        <v>0</v>
      </c>
      <c r="BH51" s="47">
        <f t="shared" si="16"/>
        <v>0</v>
      </c>
      <c r="BI51" s="55">
        <f>IF(AT51&lt;&gt;"",AU51+1+$AS$10, $AZ$7)</f>
        <v>1.7</v>
      </c>
      <c r="BJ51" s="48">
        <f t="shared" si="7"/>
        <v>0.87758256189037265</v>
      </c>
      <c r="BK51" s="55">
        <f>AW51+1+$AS$10</f>
        <v>1.7</v>
      </c>
      <c r="BL51" s="48">
        <f t="shared" si="8"/>
        <v>0.87758256189037265</v>
      </c>
      <c r="BM51" s="55">
        <f>AY51+1+$AS$10</f>
        <v>1.2</v>
      </c>
      <c r="BN51" s="48">
        <f t="shared" si="12"/>
        <v>0</v>
      </c>
      <c r="BO51" s="55">
        <f>BA51+1+$AS$10</f>
        <v>1.2</v>
      </c>
      <c r="BP51" s="48">
        <f t="shared" si="13"/>
        <v>0</v>
      </c>
      <c r="BQ51" s="55">
        <f>BC51+1+$AS$10</f>
        <v>1.2</v>
      </c>
      <c r="BR51" s="48">
        <f t="shared" si="14"/>
        <v>0</v>
      </c>
      <c r="BS51" s="55">
        <f t="shared" si="17"/>
        <v>1.2</v>
      </c>
      <c r="BT51" s="48">
        <f t="shared" si="9"/>
        <v>0</v>
      </c>
      <c r="BU51" s="55">
        <f>IF(AT51&lt;&gt;"",BG51+1+$AS$10,BQ51)</f>
        <v>1.2</v>
      </c>
      <c r="BV51" s="48">
        <f t="shared" si="10"/>
        <v>0</v>
      </c>
      <c r="BW51" s="55">
        <f t="shared" si="18"/>
        <v>1.1000000000000001</v>
      </c>
      <c r="BX51" s="55">
        <f t="shared" si="19"/>
        <v>1.9306816361588202</v>
      </c>
      <c r="BY51" s="55">
        <f t="shared" si="20"/>
        <v>1.1000000000000001</v>
      </c>
      <c r="BZ51" s="55">
        <f t="shared" si="21"/>
        <v>1.9306816361588202</v>
      </c>
      <c r="CA51" s="46">
        <f>IF(AND($AS$9=1,AT51&lt;&gt;""), BW51, $BW$15)</f>
        <v>0.60000000000000009</v>
      </c>
      <c r="CB51" s="46">
        <f>IF(AND($AS$9=1,AT51&lt;&gt;""), BX51, $BX$15)</f>
        <v>1.0530990742684474</v>
      </c>
      <c r="CC51" s="46">
        <f>IF(AND($AS$9=1,AT51&lt;&gt;""), BY51, $BY$15)</f>
        <v>1.6</v>
      </c>
      <c r="CD51" s="46">
        <f>IF(AND($AS$9=1,AT51&lt;&gt;""), BZ51, $BX$15)</f>
        <v>1.0530990742684474</v>
      </c>
    </row>
    <row r="52" spans="39:82" x14ac:dyDescent="0.25">
      <c r="AM52" s="7"/>
      <c r="AN52" s="7"/>
      <c r="AO52" s="7"/>
      <c r="AP52" s="7"/>
      <c r="AQ52" s="7"/>
      <c r="AS52" s="74"/>
      <c r="AT52" s="45" t="str">
        <f t="shared" si="15"/>
        <v/>
      </c>
      <c r="AU52" s="46">
        <f>IF(AT52&lt;&gt;"", ((AT52*0.5)-$AS$8), AU48)</f>
        <v>0.49999999999999994</v>
      </c>
      <c r="AV52" s="47">
        <f t="shared" si="22"/>
        <v>0.87758256189037265</v>
      </c>
      <c r="AW52" s="46">
        <f>IF(AT52&lt;&gt;"", AW51+($AS$8*0.5), AW48)</f>
        <v>0.5</v>
      </c>
      <c r="AX52" s="47">
        <f>IF(AT52&lt;&gt;"", AX51+($AS$8*COS(0.5)*$AS$6), AX48)</f>
        <v>0.87758256189037265</v>
      </c>
      <c r="AY52" s="46">
        <f>IF($AS$9=1, AU51, AY48)</f>
        <v>0</v>
      </c>
      <c r="AZ52" s="47">
        <f>IF($AS$9=1, AX51, AZ48)</f>
        <v>0</v>
      </c>
      <c r="BA52" s="46">
        <f>IF(AND($AS$9=1, AT51&lt;&gt;""), 1-AT51, BA51)</f>
        <v>0</v>
      </c>
      <c r="BB52" s="47">
        <f>IF(AND($AS$9=1, AT51&lt;&gt;""), 0, BB51)</f>
        <v>0</v>
      </c>
      <c r="BC52" s="46">
        <f>IF($AS$9=1,AU51,BC51)</f>
        <v>0</v>
      </c>
      <c r="BD52" s="47">
        <f>IF($AS$9=1,AV51,0)</f>
        <v>0</v>
      </c>
      <c r="BE52" s="49">
        <f>IF(AT51&lt;&gt;"",BE51+(0.5*$AS$8),0)</f>
        <v>0</v>
      </c>
      <c r="BF52" s="50">
        <f>IF(AT51&lt;&gt;"",-COS(0.5)*$AS$8*$AS$6,0)</f>
        <v>0</v>
      </c>
      <c r="BG52" s="46">
        <f t="shared" si="16"/>
        <v>0</v>
      </c>
      <c r="BH52" s="47">
        <f t="shared" si="16"/>
        <v>0</v>
      </c>
      <c r="BI52" s="55">
        <f>IF(AT52&lt;&gt;"",AU52+1+$AS$10+($AS$8*0.5), $AZ$7)</f>
        <v>1.7</v>
      </c>
      <c r="BJ52" s="48">
        <f t="shared" si="7"/>
        <v>0.87758256189037265</v>
      </c>
      <c r="BK52" s="55">
        <f>AW52+1+$AS$10+0.5*$AS$8</f>
        <v>1.7149999999999999</v>
      </c>
      <c r="BL52" s="48">
        <f t="shared" si="8"/>
        <v>0.87758256189037265</v>
      </c>
      <c r="BM52" s="55">
        <f>AY52+1+$AS$10</f>
        <v>1.2</v>
      </c>
      <c r="BN52" s="48">
        <f t="shared" si="12"/>
        <v>0</v>
      </c>
      <c r="BO52" s="55">
        <f>BA52+1+$AS$10</f>
        <v>1.2</v>
      </c>
      <c r="BP52" s="48">
        <f t="shared" si="13"/>
        <v>0</v>
      </c>
      <c r="BQ52" s="55">
        <f>BC52+1+$AS$10</f>
        <v>1.2</v>
      </c>
      <c r="BR52" s="48">
        <f t="shared" si="14"/>
        <v>0</v>
      </c>
      <c r="BS52" s="55">
        <f t="shared" si="17"/>
        <v>1.2</v>
      </c>
      <c r="BT52" s="48">
        <f t="shared" si="9"/>
        <v>0</v>
      </c>
      <c r="BU52" s="55">
        <f>IF(AT52&lt;&gt;"",BG52+1+$AS$10-$AS$8,BQ51)</f>
        <v>1.2</v>
      </c>
      <c r="BV52" s="48">
        <f t="shared" si="10"/>
        <v>0</v>
      </c>
      <c r="BW52" s="55">
        <f t="shared" si="18"/>
        <v>1.1000000000000001</v>
      </c>
      <c r="BX52" s="55">
        <f t="shared" si="19"/>
        <v>1.9306816361588202</v>
      </c>
      <c r="BY52" s="55">
        <f t="shared" si="20"/>
        <v>1.1000000000000001</v>
      </c>
      <c r="BZ52" s="55">
        <f t="shared" si="21"/>
        <v>1.9306816361588202</v>
      </c>
      <c r="CA52" s="46">
        <f>IF(AND($AS$9=1,AT52&lt;&gt;""), CA51+0.5, $BW$15)</f>
        <v>0.60000000000000009</v>
      </c>
      <c r="CB52" s="46">
        <f>IF(AND($AS$9=1,AT52&lt;&gt;""), CB51-$BA$7, $BX$15)</f>
        <v>1.0530990742684474</v>
      </c>
      <c r="CC52" s="46">
        <f>IF(AND($AS$9=1,AT52&lt;&gt;""), CC51-0.5, $BY$15)</f>
        <v>1.6</v>
      </c>
      <c r="CD52" s="46">
        <f>IF(AND($AS$9=1,AT52&lt;&gt;""), CD51-$BA$7, $BZ$15)</f>
        <v>1.0530990742684474</v>
      </c>
    </row>
    <row r="53" spans="39:82" x14ac:dyDescent="0.25">
      <c r="AM53" s="7"/>
      <c r="AN53" s="7"/>
      <c r="AO53" s="7"/>
      <c r="AP53" s="7"/>
      <c r="AQ53" s="7"/>
      <c r="AS53" s="74"/>
      <c r="AT53" s="45" t="str">
        <f t="shared" si="15"/>
        <v/>
      </c>
      <c r="AU53" s="46">
        <f>IF(AT53&lt;&gt;"", (AT53*0.5), AU48)</f>
        <v>0.49999999999999994</v>
      </c>
      <c r="AV53" s="47">
        <f t="shared" si="22"/>
        <v>0.87758256189037265</v>
      </c>
      <c r="AW53" s="46">
        <f>IF(AT53&lt;&gt;"", 1-(AT53*0.5), AW48)</f>
        <v>0.5</v>
      </c>
      <c r="AX53" s="47">
        <f>IF(AT53&lt;&gt;"", (AT53*COS(0.5)*$AS$6), AX50)</f>
        <v>0.87758256189037265</v>
      </c>
      <c r="AY53" s="46"/>
      <c r="AZ53" s="47"/>
      <c r="BA53" s="46"/>
      <c r="BB53" s="47"/>
      <c r="BC53" s="46"/>
      <c r="BD53" s="47"/>
      <c r="BE53" s="49">
        <f>IF(AT51&lt;&gt;"", AT51, 0)</f>
        <v>0</v>
      </c>
      <c r="BF53" s="50">
        <v>0</v>
      </c>
      <c r="BG53" s="46">
        <f t="shared" si="16"/>
        <v>0</v>
      </c>
      <c r="BH53" s="47">
        <f t="shared" si="16"/>
        <v>0</v>
      </c>
      <c r="BI53" s="55">
        <f>IF(AT53&lt;&gt;"",AU53+1+$AS$10, $AZ$7)</f>
        <v>1.7</v>
      </c>
      <c r="BJ53" s="48">
        <f t="shared" si="7"/>
        <v>0.87758256189037265</v>
      </c>
      <c r="BK53" s="55">
        <f>AW53+1+$AS$10</f>
        <v>1.7</v>
      </c>
      <c r="BL53" s="48">
        <f t="shared" si="8"/>
        <v>0.87758256189037265</v>
      </c>
      <c r="BM53" s="55"/>
      <c r="BN53" s="48"/>
      <c r="BO53" s="55"/>
      <c r="BP53" s="48"/>
      <c r="BQ53" s="55"/>
      <c r="BR53" s="48"/>
      <c r="BS53" s="55">
        <f t="shared" si="17"/>
        <v>1.2</v>
      </c>
      <c r="BT53" s="48">
        <f t="shared" si="9"/>
        <v>0</v>
      </c>
      <c r="BU53" s="55">
        <f>BU51</f>
        <v>1.2</v>
      </c>
      <c r="BV53" s="48">
        <f t="shared" si="10"/>
        <v>0</v>
      </c>
      <c r="BW53" s="55">
        <f t="shared" si="18"/>
        <v>1.1000000000000001</v>
      </c>
      <c r="BX53" s="55">
        <f t="shared" si="19"/>
        <v>1.9306816361588202</v>
      </c>
      <c r="BY53" s="55">
        <f t="shared" si="20"/>
        <v>1.1000000000000001</v>
      </c>
      <c r="BZ53" s="55">
        <f t="shared" si="21"/>
        <v>1.9306816361588202</v>
      </c>
    </row>
    <row r="54" spans="39:82" x14ac:dyDescent="0.25">
      <c r="AM54" s="7"/>
      <c r="AN54" s="7"/>
      <c r="AO54" s="7"/>
      <c r="AP54" s="7"/>
      <c r="AQ54" s="7"/>
      <c r="AS54" s="74"/>
      <c r="AT54" s="45" t="str">
        <f>IF(AND($AS$7&gt;0, $AS$8&gt;0, AT51&lt;1), AT51+$AS$7, "")</f>
        <v/>
      </c>
      <c r="AU54" s="46">
        <f>IF(AT54&lt;&gt;"", (AT54*0.5), AU51)</f>
        <v>0.49999999999999994</v>
      </c>
      <c r="AV54" s="47">
        <f t="shared" si="22"/>
        <v>0.87758256189037265</v>
      </c>
      <c r="AW54" s="46">
        <f>IF(AT54&lt;&gt;"", 1-(AT54*0.5), AW51)</f>
        <v>0.5</v>
      </c>
      <c r="AX54" s="47">
        <f>IF(AT54&lt;&gt;"", (AT54*COS(0.5)*$AS$6), AX51)</f>
        <v>0.87758256189037265</v>
      </c>
      <c r="AY54" s="46">
        <f>IF($AS$9=1, AW54, AY51)</f>
        <v>0</v>
      </c>
      <c r="AZ54" s="47">
        <f>IF($AS$9=1, AX54, AZ51)</f>
        <v>0</v>
      </c>
      <c r="BA54" s="46">
        <f>IF(AND($AS$9=1, AT54&lt;&gt;""), AW54, BA51)</f>
        <v>0</v>
      </c>
      <c r="BB54" s="47">
        <f>IF(AND($AS$9=1, AT54&lt;&gt;""), AX54, BB51)</f>
        <v>0</v>
      </c>
      <c r="BC54" s="46">
        <f>IF($AS$9=1,BE54,BC51)</f>
        <v>0</v>
      </c>
      <c r="BD54" s="47">
        <v>0</v>
      </c>
      <c r="BE54" s="49">
        <f>IF(AT54&lt;&gt;"", AT54, 0)</f>
        <v>0</v>
      </c>
      <c r="BF54" s="50">
        <v>0</v>
      </c>
      <c r="BG54" s="46">
        <f t="shared" si="16"/>
        <v>0</v>
      </c>
      <c r="BH54" s="47">
        <f t="shared" si="16"/>
        <v>0</v>
      </c>
      <c r="BI54" s="55">
        <f>IF(AT54&lt;&gt;"",AU54+1+$AS$10, $AZ$7)</f>
        <v>1.7</v>
      </c>
      <c r="BJ54" s="48">
        <f t="shared" si="7"/>
        <v>0.87758256189037265</v>
      </c>
      <c r="BK54" s="55">
        <f>AW54+1+$AS$10</f>
        <v>1.7</v>
      </c>
      <c r="BL54" s="48">
        <f t="shared" si="8"/>
        <v>0.87758256189037265</v>
      </c>
      <c r="BM54" s="55">
        <f>AY54+1+$AS$10</f>
        <v>1.2</v>
      </c>
      <c r="BN54" s="48">
        <f t="shared" si="12"/>
        <v>0</v>
      </c>
      <c r="BO54" s="55">
        <f>BA54+1+$AS$10</f>
        <v>1.2</v>
      </c>
      <c r="BP54" s="48">
        <f t="shared" si="13"/>
        <v>0</v>
      </c>
      <c r="BQ54" s="55">
        <f>BC54+1+$AS$10</f>
        <v>1.2</v>
      </c>
      <c r="BR54" s="48">
        <f t="shared" si="14"/>
        <v>0</v>
      </c>
      <c r="BS54" s="55">
        <f t="shared" si="17"/>
        <v>1.2</v>
      </c>
      <c r="BT54" s="48">
        <f t="shared" si="9"/>
        <v>0</v>
      </c>
      <c r="BU54" s="55">
        <f>IF(AT54&lt;&gt;"",BG54+1+$AS$10,BQ54)</f>
        <v>1.2</v>
      </c>
      <c r="BV54" s="48">
        <f t="shared" si="10"/>
        <v>0</v>
      </c>
      <c r="BW54" s="55">
        <f t="shared" si="18"/>
        <v>1.1000000000000001</v>
      </c>
      <c r="BX54" s="55">
        <f t="shared" si="19"/>
        <v>1.9306816361588202</v>
      </c>
      <c r="BY54" s="55">
        <f t="shared" si="20"/>
        <v>1.1000000000000001</v>
      </c>
      <c r="BZ54" s="55">
        <f t="shared" si="21"/>
        <v>1.9306816361588202</v>
      </c>
      <c r="CA54" s="46">
        <f>IF(AND($AS$9=1,AT54&lt;&gt;""), BW54, $BW$15)</f>
        <v>0.60000000000000009</v>
      </c>
      <c r="CB54" s="46">
        <f>IF(AND($AS$9=1,AT54&lt;&gt;""), BX54, $BX$15)</f>
        <v>1.0530990742684474</v>
      </c>
      <c r="CC54" s="46">
        <f>IF(AND($AS$9=1,AT54&lt;&gt;""), BY54, $BY$15)</f>
        <v>1.6</v>
      </c>
      <c r="CD54" s="46">
        <f>IF(AND($AS$9=1,AT54&lt;&gt;""), BZ54, $BX$15)</f>
        <v>1.0530990742684474</v>
      </c>
    </row>
    <row r="55" spans="39:82" x14ac:dyDescent="0.25">
      <c r="AM55" s="7"/>
      <c r="AN55" s="7"/>
      <c r="AO55" s="7"/>
      <c r="AP55" s="7"/>
      <c r="AQ55" s="7"/>
      <c r="AS55" s="74"/>
      <c r="AT55" s="45" t="str">
        <f t="shared" si="15"/>
        <v/>
      </c>
      <c r="AU55" s="46">
        <f>IF(AT55&lt;&gt;"", ((AT55*0.5)-$AS$8), AU51)</f>
        <v>0.49999999999999994</v>
      </c>
      <c r="AV55" s="47">
        <f t="shared" si="22"/>
        <v>0.87758256189037265</v>
      </c>
      <c r="AW55" s="46">
        <f>IF(AT55&lt;&gt;"", AW54+($AS$8*0.5), AW51)</f>
        <v>0.5</v>
      </c>
      <c r="AX55" s="47">
        <f>IF(AT55&lt;&gt;"", AX54+($AS$8*COS(0.5)*$AS$6), AX51)</f>
        <v>0.87758256189037265</v>
      </c>
      <c r="AY55" s="46">
        <f>IF($AS$9=1, AU54, AY51)</f>
        <v>0</v>
      </c>
      <c r="AZ55" s="47">
        <f>IF($AS$9=1, AX54, AZ51)</f>
        <v>0</v>
      </c>
      <c r="BA55" s="46">
        <f>IF(AND($AS$9=1, AT54&lt;&gt;""), 1-AT54, BA54)</f>
        <v>0</v>
      </c>
      <c r="BB55" s="47">
        <f>IF(AND($AS$9=1, AT54&lt;&gt;""), 0, BB54)</f>
        <v>0</v>
      </c>
      <c r="BC55" s="46">
        <f>IF($AS$9=1,AU54,BC54)</f>
        <v>0</v>
      </c>
      <c r="BD55" s="47">
        <f>IF($AS$9=1,AV54,0)</f>
        <v>0</v>
      </c>
      <c r="BE55" s="49">
        <f>IF(AT54&lt;&gt;"",BE54+(0.5*$AS$8),0)</f>
        <v>0</v>
      </c>
      <c r="BF55" s="50">
        <f>IF(AT54&lt;&gt;"",-COS(0.5)*$AS$8*$AS$6,0)</f>
        <v>0</v>
      </c>
      <c r="BG55" s="46">
        <f t="shared" si="16"/>
        <v>0</v>
      </c>
      <c r="BH55" s="47">
        <f t="shared" si="16"/>
        <v>0</v>
      </c>
      <c r="BI55" s="55">
        <f>IF(AT55&lt;&gt;"",AU55+1+$AS$10+($AS$8*0.5), $AZ$7)</f>
        <v>1.7</v>
      </c>
      <c r="BJ55" s="48">
        <f t="shared" si="7"/>
        <v>0.87758256189037265</v>
      </c>
      <c r="BK55" s="55">
        <f>AW55+1+$AS$10+0.5*$AS$8</f>
        <v>1.7149999999999999</v>
      </c>
      <c r="BL55" s="48">
        <f t="shared" si="8"/>
        <v>0.87758256189037265</v>
      </c>
      <c r="BM55" s="55">
        <f>AY55+1+$AS$10</f>
        <v>1.2</v>
      </c>
      <c r="BN55" s="48">
        <f t="shared" si="12"/>
        <v>0</v>
      </c>
      <c r="BO55" s="55">
        <f>BA55+1+$AS$10</f>
        <v>1.2</v>
      </c>
      <c r="BP55" s="48">
        <f t="shared" si="13"/>
        <v>0</v>
      </c>
      <c r="BQ55" s="55">
        <f>BC55+1+$AS$10</f>
        <v>1.2</v>
      </c>
      <c r="BR55" s="48">
        <f t="shared" si="14"/>
        <v>0</v>
      </c>
      <c r="BS55" s="55">
        <f t="shared" si="17"/>
        <v>1.2</v>
      </c>
      <c r="BT55" s="48">
        <f t="shared" si="9"/>
        <v>0</v>
      </c>
      <c r="BU55" s="55">
        <f>IF(AT55&lt;&gt;"",BG55+1+$AS$10-$AS$8,BQ54)</f>
        <v>1.2</v>
      </c>
      <c r="BV55" s="48">
        <f t="shared" si="10"/>
        <v>0</v>
      </c>
      <c r="BW55" s="55">
        <f t="shared" si="18"/>
        <v>1.1000000000000001</v>
      </c>
      <c r="BX55" s="55">
        <f t="shared" si="19"/>
        <v>1.9306816361588202</v>
      </c>
      <c r="BY55" s="55">
        <f t="shared" si="20"/>
        <v>1.1000000000000001</v>
      </c>
      <c r="BZ55" s="55">
        <f t="shared" si="21"/>
        <v>1.9306816361588202</v>
      </c>
      <c r="CA55" s="46">
        <f>IF(AND($AS$9=1,AT55&lt;&gt;""), CA54+0.5, $BW$15)</f>
        <v>0.60000000000000009</v>
      </c>
      <c r="CB55" s="46">
        <f>IF(AND($AS$9=1,AT55&lt;&gt;""), CB54-$BA$7, $BX$15)</f>
        <v>1.0530990742684474</v>
      </c>
      <c r="CC55" s="46">
        <f>IF(AND($AS$9=1,AT55&lt;&gt;""), CC54-0.5, $BY$15)</f>
        <v>1.6</v>
      </c>
      <c r="CD55" s="46">
        <f>IF(AND($AS$9=1,AT55&lt;&gt;""), CD54-$BA$7, $BZ$15)</f>
        <v>1.0530990742684474</v>
      </c>
    </row>
    <row r="56" spans="39:82" x14ac:dyDescent="0.25">
      <c r="AM56" s="7"/>
      <c r="AN56" s="7"/>
      <c r="AO56" s="7"/>
      <c r="AP56" s="7"/>
      <c r="AQ56" s="7"/>
      <c r="AS56" s="74"/>
      <c r="AT56" s="45" t="str">
        <f t="shared" si="15"/>
        <v/>
      </c>
      <c r="AU56" s="46">
        <f>IF(AT56&lt;&gt;"", (AT56*0.5), AU51)</f>
        <v>0.49999999999999994</v>
      </c>
      <c r="AV56" s="47">
        <f t="shared" si="22"/>
        <v>0.87758256189037265</v>
      </c>
      <c r="AW56" s="46">
        <f>IF(AT56&lt;&gt;"", 1-(AT56*0.5), AW51)</f>
        <v>0.5</v>
      </c>
      <c r="AX56" s="47">
        <f>IF(AT56&lt;&gt;"", (AT56*COS(0.5)*$AS$6), AX53)</f>
        <v>0.87758256189037265</v>
      </c>
      <c r="AY56" s="46"/>
      <c r="AZ56" s="47"/>
      <c r="BA56" s="46"/>
      <c r="BB56" s="47"/>
      <c r="BC56" s="46"/>
      <c r="BD56" s="47"/>
      <c r="BE56" s="49">
        <f>IF(AT54&lt;&gt;"", AT54, 0)</f>
        <v>0</v>
      </c>
      <c r="BF56" s="50">
        <v>0</v>
      </c>
      <c r="BG56" s="46">
        <f t="shared" si="16"/>
        <v>0</v>
      </c>
      <c r="BH56" s="47">
        <f t="shared" si="16"/>
        <v>0</v>
      </c>
      <c r="BI56" s="55">
        <f>IF(AT56&lt;&gt;"",AU56+1+$AS$10, $AZ$7)</f>
        <v>1.7</v>
      </c>
      <c r="BJ56" s="48">
        <f t="shared" si="7"/>
        <v>0.87758256189037265</v>
      </c>
      <c r="BK56" s="55">
        <f>AW56+1+$AS$10</f>
        <v>1.7</v>
      </c>
      <c r="BL56" s="48">
        <f t="shared" si="8"/>
        <v>0.87758256189037265</v>
      </c>
      <c r="BM56" s="55"/>
      <c r="BN56" s="48"/>
      <c r="BO56" s="55"/>
      <c r="BP56" s="48"/>
      <c r="BQ56" s="55"/>
      <c r="BR56" s="48"/>
      <c r="BS56" s="55">
        <f t="shared" si="17"/>
        <v>1.2</v>
      </c>
      <c r="BT56" s="48">
        <f t="shared" si="9"/>
        <v>0</v>
      </c>
      <c r="BU56" s="55">
        <f>BU54</f>
        <v>1.2</v>
      </c>
      <c r="BV56" s="48">
        <f t="shared" si="10"/>
        <v>0</v>
      </c>
      <c r="BW56" s="55">
        <f t="shared" si="18"/>
        <v>1.1000000000000001</v>
      </c>
      <c r="BX56" s="55">
        <f t="shared" si="19"/>
        <v>1.9306816361588202</v>
      </c>
      <c r="BY56" s="55">
        <f t="shared" si="20"/>
        <v>1.1000000000000001</v>
      </c>
      <c r="BZ56" s="55">
        <f t="shared" si="21"/>
        <v>1.9306816361588202</v>
      </c>
    </row>
    <row r="57" spans="39:82" x14ac:dyDescent="0.25">
      <c r="AM57" s="7"/>
      <c r="AN57" s="7"/>
      <c r="AO57" s="7"/>
      <c r="AP57" s="7"/>
      <c r="AQ57" s="7"/>
      <c r="AS57" s="74"/>
      <c r="AT57" s="45" t="str">
        <f>IF(AND($AS$7&gt;0, $AS$8&gt;0, AT54&lt;1), AT54+$AS$7, "")</f>
        <v/>
      </c>
      <c r="AU57" s="46">
        <f>IF(AT57&lt;&gt;"", (AT57*0.5), AU54)</f>
        <v>0.49999999999999994</v>
      </c>
      <c r="AV57" s="47">
        <f t="shared" si="22"/>
        <v>0.87758256189037265</v>
      </c>
      <c r="AW57" s="46">
        <f>IF(AT57&lt;&gt;"", 1-(AT57*0.5), AW54)</f>
        <v>0.5</v>
      </c>
      <c r="AX57" s="47">
        <f>IF(AT57&lt;&gt;"", (AT57*COS(0.5)*$AS$6), AX54)</f>
        <v>0.87758256189037265</v>
      </c>
      <c r="AY57" s="46">
        <f>IF($AS$9=1, AW57, AY54)</f>
        <v>0</v>
      </c>
      <c r="AZ57" s="47">
        <f>IF($AS$9=1, AX57, AZ54)</f>
        <v>0</v>
      </c>
      <c r="BA57" s="46">
        <f>IF(AND($AS$9=1, AT57&lt;&gt;""), AW57, BA54)</f>
        <v>0</v>
      </c>
      <c r="BB57" s="47">
        <f>IF(AND($AS$9=1, AT57&lt;&gt;""), AX57, BB54)</f>
        <v>0</v>
      </c>
      <c r="BC57" s="46">
        <f>IF($AS$9=1,BE57,BC54)</f>
        <v>0</v>
      </c>
      <c r="BD57" s="47">
        <v>0</v>
      </c>
      <c r="BE57" s="49">
        <f>IF(AT57&lt;&gt;"", AT57, 0)</f>
        <v>0</v>
      </c>
      <c r="BF57" s="50">
        <v>0</v>
      </c>
      <c r="BG57" s="46">
        <f t="shared" si="16"/>
        <v>0</v>
      </c>
      <c r="BH57" s="47">
        <f t="shared" si="16"/>
        <v>0</v>
      </c>
      <c r="BI57" s="55">
        <f>IF(AT57&lt;&gt;"",AU57+1+$AS$10, $AZ$7)</f>
        <v>1.7</v>
      </c>
      <c r="BJ57" s="48">
        <f t="shared" si="7"/>
        <v>0.87758256189037265</v>
      </c>
      <c r="BK57" s="55">
        <f>AW57+1+$AS$10</f>
        <v>1.7</v>
      </c>
      <c r="BL57" s="48">
        <f t="shared" si="8"/>
        <v>0.87758256189037265</v>
      </c>
      <c r="BM57" s="55">
        <f>AY57+1+$AS$10</f>
        <v>1.2</v>
      </c>
      <c r="BN57" s="48">
        <f t="shared" si="12"/>
        <v>0</v>
      </c>
      <c r="BO57" s="55">
        <f>BA57+1+$AS$10</f>
        <v>1.2</v>
      </c>
      <c r="BP57" s="48">
        <f t="shared" si="13"/>
        <v>0</v>
      </c>
      <c r="BQ57" s="55">
        <f>BC57+1+$AS$10</f>
        <v>1.2</v>
      </c>
      <c r="BR57" s="48">
        <f t="shared" si="14"/>
        <v>0</v>
      </c>
      <c r="BS57" s="55">
        <f t="shared" si="17"/>
        <v>1.2</v>
      </c>
      <c r="BT57" s="48">
        <f t="shared" si="9"/>
        <v>0</v>
      </c>
      <c r="BU57" s="55">
        <f>IF(AT57&lt;&gt;"",BG57+1+$AS$10,BQ57)</f>
        <v>1.2</v>
      </c>
      <c r="BV57" s="48">
        <f t="shared" si="10"/>
        <v>0</v>
      </c>
      <c r="BW57" s="55">
        <f t="shared" si="18"/>
        <v>1.1000000000000001</v>
      </c>
      <c r="BX57" s="55">
        <f t="shared" si="19"/>
        <v>1.9306816361588202</v>
      </c>
      <c r="BY57" s="55">
        <f t="shared" si="20"/>
        <v>1.1000000000000001</v>
      </c>
      <c r="BZ57" s="55">
        <f t="shared" si="21"/>
        <v>1.9306816361588202</v>
      </c>
      <c r="CA57" s="46">
        <f>IF(AND($AS$9=1,AT57&lt;&gt;""), BW57, $BW$15)</f>
        <v>0.60000000000000009</v>
      </c>
      <c r="CB57" s="46">
        <f>IF(AND($AS$9=1,AT57&lt;&gt;""), BX57, $BX$15)</f>
        <v>1.0530990742684474</v>
      </c>
      <c r="CC57" s="46">
        <f>IF(AND($AS$9=1,AT57&lt;&gt;""), BY57, $BY$15)</f>
        <v>1.6</v>
      </c>
      <c r="CD57" s="46">
        <f>IF(AND($AS$9=1,AT57&lt;&gt;""), BZ57, $BX$15)</f>
        <v>1.0530990742684474</v>
      </c>
    </row>
    <row r="58" spans="39:82" x14ac:dyDescent="0.25">
      <c r="AM58" s="7"/>
      <c r="AN58" s="7"/>
      <c r="AO58" s="7"/>
      <c r="AP58" s="7"/>
      <c r="AQ58" s="7"/>
      <c r="AS58" s="74"/>
      <c r="AT58" s="45" t="str">
        <f t="shared" si="15"/>
        <v/>
      </c>
      <c r="AU58" s="46">
        <f>IF(AT58&lt;&gt;"", ((AT58*0.5)-$AS$8), AU54)</f>
        <v>0.49999999999999994</v>
      </c>
      <c r="AV58" s="47">
        <f t="shared" si="22"/>
        <v>0.87758256189037265</v>
      </c>
      <c r="AW58" s="46">
        <f>IF(AT58&lt;&gt;"", AW57+($AS$8*0.5), AW54)</f>
        <v>0.5</v>
      </c>
      <c r="AX58" s="47">
        <f>IF(AT58&lt;&gt;"", AX57+($AS$8*COS(0.5)*$AS$6), AX54)</f>
        <v>0.87758256189037265</v>
      </c>
      <c r="AY58" s="46">
        <f>IF($AS$9=1, AU57, AY54)</f>
        <v>0</v>
      </c>
      <c r="AZ58" s="47">
        <f>IF($AS$9=1, AX57, AZ54)</f>
        <v>0</v>
      </c>
      <c r="BA58" s="46">
        <f>IF(AND($AS$9=1, AT57&lt;&gt;""), 1-AT57, BA57)</f>
        <v>0</v>
      </c>
      <c r="BB58" s="47">
        <f>IF(AND($AS$9=1, AT57&lt;&gt;""), 0, BB57)</f>
        <v>0</v>
      </c>
      <c r="BC58" s="46">
        <f>IF($AS$9=1,AU57,BC57)</f>
        <v>0</v>
      </c>
      <c r="BD58" s="47">
        <f>IF($AS$9=1,AV57,0)</f>
        <v>0</v>
      </c>
      <c r="BE58" s="49">
        <f>IF(AT57&lt;&gt;"",BE57+(0.5*$AS$8),0)</f>
        <v>0</v>
      </c>
      <c r="BF58" s="50">
        <f>IF(AT57&lt;&gt;"",-COS(0.5)*$AS$8*$AS$6,0)</f>
        <v>0</v>
      </c>
      <c r="BG58" s="46">
        <f t="shared" si="16"/>
        <v>0</v>
      </c>
      <c r="BH58" s="47">
        <f t="shared" si="16"/>
        <v>0</v>
      </c>
      <c r="BI58" s="55">
        <f>IF(AT58&lt;&gt;"",AU58+1+$AS$10+($AS$8*0.5), $AZ$7)</f>
        <v>1.7</v>
      </c>
      <c r="BJ58" s="48">
        <f t="shared" si="7"/>
        <v>0.87758256189037265</v>
      </c>
      <c r="BK58" s="55">
        <f>AW58+1+$AS$10+0.5*$AS$8</f>
        <v>1.7149999999999999</v>
      </c>
      <c r="BL58" s="48">
        <f t="shared" si="8"/>
        <v>0.87758256189037265</v>
      </c>
      <c r="BM58" s="55">
        <f>AY58+1+$AS$10</f>
        <v>1.2</v>
      </c>
      <c r="BN58" s="48">
        <f t="shared" si="12"/>
        <v>0</v>
      </c>
      <c r="BO58" s="55">
        <f>BA58+1+$AS$10</f>
        <v>1.2</v>
      </c>
      <c r="BP58" s="48">
        <f t="shared" si="13"/>
        <v>0</v>
      </c>
      <c r="BQ58" s="55">
        <f>BC58+1+$AS$10</f>
        <v>1.2</v>
      </c>
      <c r="BR58" s="48">
        <f t="shared" si="14"/>
        <v>0</v>
      </c>
      <c r="BS58" s="55">
        <f t="shared" si="17"/>
        <v>1.2</v>
      </c>
      <c r="BT58" s="48">
        <f t="shared" si="9"/>
        <v>0</v>
      </c>
      <c r="BU58" s="55">
        <f>IF(AT58&lt;&gt;"",BG58+1+$AS$10-$AS$8,BQ57)</f>
        <v>1.2</v>
      </c>
      <c r="BV58" s="48">
        <f t="shared" si="10"/>
        <v>0</v>
      </c>
      <c r="BW58" s="55">
        <f t="shared" si="18"/>
        <v>1.1000000000000001</v>
      </c>
      <c r="BX58" s="55">
        <f t="shared" si="19"/>
        <v>1.9306816361588202</v>
      </c>
      <c r="BY58" s="55">
        <f t="shared" si="20"/>
        <v>1.1000000000000001</v>
      </c>
      <c r="BZ58" s="55">
        <f t="shared" si="21"/>
        <v>1.9306816361588202</v>
      </c>
      <c r="CA58" s="46">
        <f>IF(AND($AS$9=1,AT58&lt;&gt;""), CA57+0.5, $BW$15)</f>
        <v>0.60000000000000009</v>
      </c>
      <c r="CB58" s="46">
        <f>IF(AND($AS$9=1,AT58&lt;&gt;""), CB57-$BA$7, $BX$15)</f>
        <v>1.0530990742684474</v>
      </c>
      <c r="CC58" s="46">
        <f>IF(AND($AS$9=1,AT58&lt;&gt;""), CC57-0.5, $BY$15)</f>
        <v>1.6</v>
      </c>
      <c r="CD58" s="46">
        <f>IF(AND($AS$9=1,AT58&lt;&gt;""), CD57-$BA$7, $BZ$15)</f>
        <v>1.0530990742684474</v>
      </c>
    </row>
    <row r="59" spans="39:82" x14ac:dyDescent="0.25">
      <c r="AM59" s="7"/>
      <c r="AN59" s="7"/>
      <c r="AO59" s="7"/>
      <c r="AP59" s="7"/>
      <c r="AQ59" s="7"/>
      <c r="AS59" s="74"/>
      <c r="AT59" s="45" t="str">
        <f t="shared" si="15"/>
        <v/>
      </c>
      <c r="AU59" s="46">
        <f>IF(AT59&lt;&gt;"", (AT59*0.5), AU54)</f>
        <v>0.49999999999999994</v>
      </c>
      <c r="AV59" s="47">
        <f t="shared" si="22"/>
        <v>0.87758256189037265</v>
      </c>
      <c r="AW59" s="46">
        <f>IF(AT59&lt;&gt;"", 1-(AT59*0.5), AW54)</f>
        <v>0.5</v>
      </c>
      <c r="AX59" s="47">
        <f>IF(AT59&lt;&gt;"", (AT59*COS(0.5)*$AS$6), AX56)</f>
        <v>0.87758256189037265</v>
      </c>
      <c r="AY59" s="46"/>
      <c r="AZ59" s="47"/>
      <c r="BA59" s="46"/>
      <c r="BB59" s="47"/>
      <c r="BC59" s="46"/>
      <c r="BD59" s="47"/>
      <c r="BE59" s="49">
        <f>IF(AT57&lt;&gt;"", AT57, 0)</f>
        <v>0</v>
      </c>
      <c r="BF59" s="50">
        <v>0</v>
      </c>
      <c r="BG59" s="46">
        <f t="shared" si="16"/>
        <v>0</v>
      </c>
      <c r="BH59" s="47">
        <f t="shared" si="16"/>
        <v>0</v>
      </c>
      <c r="BI59" s="55">
        <f>IF(AT59&lt;&gt;"",AU59+1+$AS$10, $AZ$7)</f>
        <v>1.7</v>
      </c>
      <c r="BJ59" s="48">
        <f t="shared" si="7"/>
        <v>0.87758256189037265</v>
      </c>
      <c r="BK59" s="55">
        <f>AW59+1+$AS$10</f>
        <v>1.7</v>
      </c>
      <c r="BL59" s="48">
        <f t="shared" si="8"/>
        <v>0.87758256189037265</v>
      </c>
      <c r="BM59" s="55"/>
      <c r="BN59" s="48"/>
      <c r="BO59" s="55"/>
      <c r="BP59" s="48"/>
      <c r="BQ59" s="55"/>
      <c r="BR59" s="48"/>
      <c r="BS59" s="55">
        <f t="shared" si="17"/>
        <v>1.2</v>
      </c>
      <c r="BT59" s="48">
        <f t="shared" si="9"/>
        <v>0</v>
      </c>
      <c r="BU59" s="55">
        <f>BU57</f>
        <v>1.2</v>
      </c>
      <c r="BV59" s="48">
        <f t="shared" si="10"/>
        <v>0</v>
      </c>
      <c r="BW59" s="55">
        <f t="shared" si="18"/>
        <v>1.1000000000000001</v>
      </c>
      <c r="BX59" s="55">
        <f t="shared" si="19"/>
        <v>1.9306816361588202</v>
      </c>
      <c r="BY59" s="55">
        <f t="shared" si="20"/>
        <v>1.1000000000000001</v>
      </c>
      <c r="BZ59" s="55">
        <f t="shared" si="21"/>
        <v>1.9306816361588202</v>
      </c>
    </row>
    <row r="60" spans="39:82" x14ac:dyDescent="0.25">
      <c r="AM60" s="7"/>
      <c r="AN60" s="7"/>
      <c r="AO60" s="7"/>
      <c r="AP60" s="7"/>
      <c r="AQ60" s="7"/>
      <c r="AS60" s="74"/>
      <c r="AT60" s="45" t="str">
        <f>IF(AND($AS$7&gt;0, $AS$8&gt;0, AT57&lt;1), AT57+$AS$7, "")</f>
        <v/>
      </c>
      <c r="AU60" s="46">
        <f>IF(AT60&lt;&gt;"", (AT60*0.5), AU57)</f>
        <v>0.49999999999999994</v>
      </c>
      <c r="AV60" s="47">
        <f t="shared" si="22"/>
        <v>0.87758256189037265</v>
      </c>
      <c r="AW60" s="46">
        <f>IF(AT60&lt;&gt;"", 1-(AT60*0.5), AW57)</f>
        <v>0.5</v>
      </c>
      <c r="AX60" s="47">
        <f>IF(AT60&lt;&gt;"", (AT60*COS(0.5)*$AS$6), AX57)</f>
        <v>0.87758256189037265</v>
      </c>
      <c r="AY60" s="46">
        <f>IF($AS$9=1, AW60, AY57)</f>
        <v>0</v>
      </c>
      <c r="AZ60" s="47">
        <f>IF($AS$9=1, AX60, AZ57)</f>
        <v>0</v>
      </c>
      <c r="BA60" s="46">
        <f>IF(AND($AS$9=1, AT60&lt;&gt;""), AW60, BA57)</f>
        <v>0</v>
      </c>
      <c r="BB60" s="47">
        <f>IF(AND($AS$9=1, AT60&lt;&gt;""), AX60, BB57)</f>
        <v>0</v>
      </c>
      <c r="BC60" s="46">
        <f>IF($AS$9=1,BE60,BC57)</f>
        <v>0</v>
      </c>
      <c r="BD60" s="47">
        <v>0</v>
      </c>
      <c r="BE60" s="49">
        <f>IF(AT60&lt;&gt;"", AT60, 0)</f>
        <v>0</v>
      </c>
      <c r="BF60" s="50">
        <v>0</v>
      </c>
      <c r="BG60" s="46">
        <f t="shared" si="16"/>
        <v>0</v>
      </c>
      <c r="BH60" s="47">
        <f t="shared" si="16"/>
        <v>0</v>
      </c>
      <c r="BI60" s="55">
        <f>IF(AT60&lt;&gt;"",AU60+1+$AS$10, $AZ$7)</f>
        <v>1.7</v>
      </c>
      <c r="BJ60" s="48">
        <f t="shared" si="7"/>
        <v>0.87758256189037265</v>
      </c>
      <c r="BK60" s="55">
        <f>AW60+1+$AS$10</f>
        <v>1.7</v>
      </c>
      <c r="BL60" s="48">
        <f t="shared" si="8"/>
        <v>0.87758256189037265</v>
      </c>
      <c r="BM60" s="55">
        <f>AY60+1+$AS$10</f>
        <v>1.2</v>
      </c>
      <c r="BN60" s="48">
        <f t="shared" si="12"/>
        <v>0</v>
      </c>
      <c r="BO60" s="55">
        <f>BA60+1+$AS$10</f>
        <v>1.2</v>
      </c>
      <c r="BP60" s="48">
        <f t="shared" si="13"/>
        <v>0</v>
      </c>
      <c r="BQ60" s="55">
        <f>BC60+1+$AS$10</f>
        <v>1.2</v>
      </c>
      <c r="BR60" s="48">
        <f t="shared" si="14"/>
        <v>0</v>
      </c>
      <c r="BS60" s="55">
        <f t="shared" si="17"/>
        <v>1.2</v>
      </c>
      <c r="BT60" s="48">
        <f t="shared" si="9"/>
        <v>0</v>
      </c>
      <c r="BU60" s="55">
        <f>IF(AT60&lt;&gt;"",BG60+1+$AS$10,BQ60)</f>
        <v>1.2</v>
      </c>
      <c r="BV60" s="48">
        <f t="shared" si="10"/>
        <v>0</v>
      </c>
      <c r="BW60" s="55">
        <f t="shared" si="18"/>
        <v>1.1000000000000001</v>
      </c>
      <c r="BX60" s="55">
        <f t="shared" si="19"/>
        <v>1.9306816361588202</v>
      </c>
      <c r="BY60" s="55">
        <f t="shared" si="20"/>
        <v>1.1000000000000001</v>
      </c>
      <c r="BZ60" s="55">
        <f t="shared" si="21"/>
        <v>1.9306816361588202</v>
      </c>
      <c r="CA60" s="46">
        <f>IF(AND($AS$9=1,AT60&lt;&gt;""), BW60, $BW$15)</f>
        <v>0.60000000000000009</v>
      </c>
      <c r="CB60" s="46">
        <f>IF(AND($AS$9=1,AT60&lt;&gt;""), BX60, $BX$15)</f>
        <v>1.0530990742684474</v>
      </c>
      <c r="CC60" s="46">
        <f>IF(AND($AS$9=1,AT60&lt;&gt;""), BY60, $BY$15)</f>
        <v>1.6</v>
      </c>
      <c r="CD60" s="46">
        <f>IF(AND($AS$9=1,AT60&lt;&gt;""), BZ60, $BX$15)</f>
        <v>1.0530990742684474</v>
      </c>
    </row>
    <row r="61" spans="39:82" x14ac:dyDescent="0.25">
      <c r="AM61" s="7"/>
      <c r="AN61" s="7"/>
      <c r="AO61" s="7"/>
      <c r="AP61" s="7"/>
      <c r="AQ61" s="7"/>
      <c r="AS61" s="74"/>
      <c r="AT61" s="45" t="str">
        <f t="shared" si="15"/>
        <v/>
      </c>
      <c r="AU61" s="46">
        <f>IF(AT61&lt;&gt;"", ((AT61*0.5)-$AS$8), AU57)</f>
        <v>0.49999999999999994</v>
      </c>
      <c r="AV61" s="47">
        <f t="shared" si="22"/>
        <v>0.87758256189037265</v>
      </c>
      <c r="AW61" s="46">
        <f>IF(AT61&lt;&gt;"", AW60+($AS$8*0.5), AW57)</f>
        <v>0.5</v>
      </c>
      <c r="AX61" s="47">
        <f>IF(AT61&lt;&gt;"", AX60+($AS$8*COS(0.5)*$AS$6), AX57)</f>
        <v>0.87758256189037265</v>
      </c>
      <c r="AY61" s="46">
        <f>IF($AS$9=1, AU60, AY57)</f>
        <v>0</v>
      </c>
      <c r="AZ61" s="47">
        <f>IF($AS$9=1, AX60, AZ57)</f>
        <v>0</v>
      </c>
      <c r="BA61" s="46">
        <f>IF(AND($AS$9=1, AT60&lt;&gt;""), 1-AT60, BA60)</f>
        <v>0</v>
      </c>
      <c r="BB61" s="47">
        <f>IF(AND($AS$9=1, AT60&lt;&gt;""), 0, BB60)</f>
        <v>0</v>
      </c>
      <c r="BC61" s="46">
        <f>IF($AS$9=1,AU60,BC60)</f>
        <v>0</v>
      </c>
      <c r="BD61" s="47">
        <f>IF($AS$9=1,AV60,0)</f>
        <v>0</v>
      </c>
      <c r="BE61" s="49">
        <f>IF(AT60&lt;&gt;"",BE60+(0.5*$AS$8),0)</f>
        <v>0</v>
      </c>
      <c r="BF61" s="50">
        <f>IF(AT60&lt;&gt;"",-COS(0.5)*$AS$8*$AS$6,0)</f>
        <v>0</v>
      </c>
      <c r="BG61" s="46">
        <f t="shared" si="16"/>
        <v>0</v>
      </c>
      <c r="BH61" s="47">
        <f t="shared" si="16"/>
        <v>0</v>
      </c>
      <c r="BI61" s="55">
        <f>IF(AT61&lt;&gt;"",AU61+1+$AS$10+($AS$8*0.5), $AZ$7)</f>
        <v>1.7</v>
      </c>
      <c r="BJ61" s="48">
        <f t="shared" si="7"/>
        <v>0.87758256189037265</v>
      </c>
      <c r="BK61" s="55">
        <f>AW61+1+$AS$10+0.5*$AS$8</f>
        <v>1.7149999999999999</v>
      </c>
      <c r="BL61" s="48">
        <f t="shared" si="8"/>
        <v>0.87758256189037265</v>
      </c>
      <c r="BM61" s="55">
        <f>AY61+1+$AS$10</f>
        <v>1.2</v>
      </c>
      <c r="BN61" s="48">
        <f t="shared" si="12"/>
        <v>0</v>
      </c>
      <c r="BO61" s="55">
        <f>BA61+1+$AS$10</f>
        <v>1.2</v>
      </c>
      <c r="BP61" s="48">
        <f t="shared" si="13"/>
        <v>0</v>
      </c>
      <c r="BQ61" s="55">
        <f>BC61+1+$AS$10</f>
        <v>1.2</v>
      </c>
      <c r="BR61" s="48">
        <f t="shared" si="14"/>
        <v>0</v>
      </c>
      <c r="BS61" s="55">
        <f t="shared" si="17"/>
        <v>1.2</v>
      </c>
      <c r="BT61" s="48">
        <f t="shared" si="9"/>
        <v>0</v>
      </c>
      <c r="BU61" s="55">
        <f>IF(AT61&lt;&gt;"",BG61+1+$AS$10-$AS$8,BQ60)</f>
        <v>1.2</v>
      </c>
      <c r="BV61" s="48">
        <f t="shared" si="10"/>
        <v>0</v>
      </c>
      <c r="BW61" s="55">
        <f t="shared" si="18"/>
        <v>1.1000000000000001</v>
      </c>
      <c r="BX61" s="55">
        <f t="shared" si="19"/>
        <v>1.9306816361588202</v>
      </c>
      <c r="BY61" s="55">
        <f t="shared" si="20"/>
        <v>1.1000000000000001</v>
      </c>
      <c r="BZ61" s="55">
        <f t="shared" si="21"/>
        <v>1.9306816361588202</v>
      </c>
      <c r="CA61" s="46">
        <f>IF(AND($AS$9=1,AT61&lt;&gt;""), CA60+0.5, $BW$15)</f>
        <v>0.60000000000000009</v>
      </c>
      <c r="CB61" s="46">
        <f>IF(AND($AS$9=1,AT61&lt;&gt;""), CB60-$BA$7, $BX$15)</f>
        <v>1.0530990742684474</v>
      </c>
      <c r="CC61" s="46">
        <f>IF(AND($AS$9=1,AT61&lt;&gt;""), CC60-0.5, $BY$15)</f>
        <v>1.6</v>
      </c>
      <c r="CD61" s="46">
        <f>IF(AND($AS$9=1,AT61&lt;&gt;""), CD60-$BA$7, $BZ$15)</f>
        <v>1.0530990742684474</v>
      </c>
    </row>
    <row r="62" spans="39:82" x14ac:dyDescent="0.25">
      <c r="AM62" s="7"/>
      <c r="AN62" s="7"/>
      <c r="AO62" s="7"/>
      <c r="AP62" s="7"/>
      <c r="AQ62" s="7"/>
      <c r="AS62" s="74"/>
      <c r="AT62" s="45" t="str">
        <f t="shared" si="15"/>
        <v/>
      </c>
      <c r="AU62" s="46">
        <f>IF(AT62&lt;&gt;"", (AT62*0.5), AU57)</f>
        <v>0.49999999999999994</v>
      </c>
      <c r="AV62" s="47">
        <f t="shared" si="22"/>
        <v>0.87758256189037265</v>
      </c>
      <c r="AW62" s="46">
        <f>IF(AT62&lt;&gt;"", 1-(AT62*0.5), AW57)</f>
        <v>0.5</v>
      </c>
      <c r="AX62" s="47">
        <f>IF(AT62&lt;&gt;"", (AT62*COS(0.5)*$AS$6), AX59)</f>
        <v>0.87758256189037265</v>
      </c>
      <c r="AY62" s="46"/>
      <c r="AZ62" s="47"/>
      <c r="BA62" s="46"/>
      <c r="BB62" s="47"/>
      <c r="BC62" s="46"/>
      <c r="BD62" s="47"/>
      <c r="BE62" s="49">
        <f>IF(AT60&lt;&gt;"", AT60, 0)</f>
        <v>0</v>
      </c>
      <c r="BF62" s="50">
        <v>0</v>
      </c>
      <c r="BG62" s="46">
        <f t="shared" si="16"/>
        <v>0</v>
      </c>
      <c r="BH62" s="47">
        <f t="shared" si="16"/>
        <v>0</v>
      </c>
      <c r="BI62" s="55">
        <f>IF(AT62&lt;&gt;"",AU62+1+$AS$10, $AZ$7)</f>
        <v>1.7</v>
      </c>
      <c r="BJ62" s="48">
        <f t="shared" si="7"/>
        <v>0.87758256189037265</v>
      </c>
      <c r="BK62" s="55">
        <f>AW62+1+$AS$10</f>
        <v>1.7</v>
      </c>
      <c r="BL62" s="48">
        <f t="shared" si="8"/>
        <v>0.87758256189037265</v>
      </c>
      <c r="BM62" s="55"/>
      <c r="BN62" s="48"/>
      <c r="BO62" s="55"/>
      <c r="BP62" s="48"/>
      <c r="BQ62" s="55"/>
      <c r="BR62" s="48"/>
      <c r="BS62" s="55">
        <f t="shared" si="17"/>
        <v>1.2</v>
      </c>
      <c r="BT62" s="48">
        <f t="shared" si="9"/>
        <v>0</v>
      </c>
      <c r="BU62" s="55">
        <f>BU60</f>
        <v>1.2</v>
      </c>
      <c r="BV62" s="48">
        <f t="shared" si="10"/>
        <v>0</v>
      </c>
      <c r="BW62" s="55">
        <f t="shared" si="18"/>
        <v>1.1000000000000001</v>
      </c>
      <c r="BX62" s="55">
        <f t="shared" si="19"/>
        <v>1.9306816361588202</v>
      </c>
      <c r="BY62" s="55">
        <f t="shared" si="20"/>
        <v>1.1000000000000001</v>
      </c>
      <c r="BZ62" s="55">
        <f t="shared" si="21"/>
        <v>1.9306816361588202</v>
      </c>
    </row>
    <row r="63" spans="39:82" x14ac:dyDescent="0.25">
      <c r="AM63" s="7"/>
      <c r="AN63" s="7"/>
      <c r="AO63" s="7"/>
      <c r="AP63" s="7"/>
      <c r="AQ63" s="7"/>
      <c r="AS63" s="74"/>
      <c r="AT63" s="45" t="str">
        <f>IF(AND($AS$7&gt;0, $AS$8&gt;0, AT60&lt;1), AT60+$AS$7, "")</f>
        <v/>
      </c>
      <c r="AU63" s="46">
        <f>IF(AT63&lt;&gt;"", (AT63*0.5), AU60)</f>
        <v>0.49999999999999994</v>
      </c>
      <c r="AV63" s="47">
        <f t="shared" si="22"/>
        <v>0.87758256189037265</v>
      </c>
      <c r="AW63" s="46">
        <f>IF(AT63&lt;&gt;"", 1-(AT63*0.5), AW60)</f>
        <v>0.5</v>
      </c>
      <c r="AX63" s="47">
        <f>IF(AT63&lt;&gt;"", (AT63*COS(0.5)*$AS$6), AX60)</f>
        <v>0.87758256189037265</v>
      </c>
      <c r="AY63" s="46">
        <f>IF($AS$9=1, AW63, AY60)</f>
        <v>0</v>
      </c>
      <c r="AZ63" s="47">
        <f>IF($AS$9=1, AX63, AZ60)</f>
        <v>0</v>
      </c>
      <c r="BA63" s="46">
        <f>IF(AND($AS$9=1, AT63&lt;&gt;""), AW63, BA60)</f>
        <v>0</v>
      </c>
      <c r="BB63" s="47">
        <f>IF(AND($AS$9=1, AT63&lt;&gt;""), AX63, BB60)</f>
        <v>0</v>
      </c>
      <c r="BC63" s="46">
        <f>IF($AS$9=1,BE63,BC60)</f>
        <v>0</v>
      </c>
      <c r="BD63" s="47">
        <v>0</v>
      </c>
      <c r="BE63" s="49">
        <f>IF(AT63&lt;&gt;"", AT63, 0)</f>
        <v>0</v>
      </c>
      <c r="BF63" s="50">
        <v>0</v>
      </c>
      <c r="BG63" s="46">
        <f t="shared" si="16"/>
        <v>0</v>
      </c>
      <c r="BH63" s="47">
        <f t="shared" si="16"/>
        <v>0</v>
      </c>
      <c r="BI63" s="55">
        <f>IF(AT63&lt;&gt;"",AU63+1+$AS$10, $AZ$7)</f>
        <v>1.7</v>
      </c>
      <c r="BJ63" s="48">
        <f t="shared" si="7"/>
        <v>0.87758256189037265</v>
      </c>
      <c r="BK63" s="55">
        <f>AW63+1+$AS$10</f>
        <v>1.7</v>
      </c>
      <c r="BL63" s="48">
        <f t="shared" si="8"/>
        <v>0.87758256189037265</v>
      </c>
      <c r="BM63" s="55">
        <f>AY63+1+$AS$10</f>
        <v>1.2</v>
      </c>
      <c r="BN63" s="48">
        <f t="shared" si="12"/>
        <v>0</v>
      </c>
      <c r="BO63" s="55">
        <f>BA63+1+$AS$10</f>
        <v>1.2</v>
      </c>
      <c r="BP63" s="48">
        <f t="shared" si="13"/>
        <v>0</v>
      </c>
      <c r="BQ63" s="55">
        <f>BC63+1+$AS$10</f>
        <v>1.2</v>
      </c>
      <c r="BR63" s="48">
        <f t="shared" si="14"/>
        <v>0</v>
      </c>
      <c r="BS63" s="55">
        <f t="shared" si="17"/>
        <v>1.2</v>
      </c>
      <c r="BT63" s="48">
        <f t="shared" si="9"/>
        <v>0</v>
      </c>
      <c r="BU63" s="55">
        <f>IF(AT63&lt;&gt;"",BG63+1+$AS$10,BQ63)</f>
        <v>1.2</v>
      </c>
      <c r="BV63" s="48">
        <f t="shared" si="10"/>
        <v>0</v>
      </c>
      <c r="BW63" s="55">
        <f t="shared" si="18"/>
        <v>1.1000000000000001</v>
      </c>
      <c r="BX63" s="55">
        <f t="shared" si="19"/>
        <v>1.9306816361588202</v>
      </c>
      <c r="BY63" s="55">
        <f t="shared" si="20"/>
        <v>1.1000000000000001</v>
      </c>
      <c r="BZ63" s="55">
        <f t="shared" si="21"/>
        <v>1.9306816361588202</v>
      </c>
      <c r="CA63" s="46">
        <f>IF(AND($AS$9=1,AT63&lt;&gt;""), BW63, $BW$15)</f>
        <v>0.60000000000000009</v>
      </c>
      <c r="CB63" s="46">
        <f>IF(AND($AS$9=1,AT63&lt;&gt;""), BX63, $BX$15)</f>
        <v>1.0530990742684474</v>
      </c>
      <c r="CC63" s="46">
        <f>IF(AND($AS$9=1,AT63&lt;&gt;""), BY63, $BY$15)</f>
        <v>1.6</v>
      </c>
      <c r="CD63" s="46">
        <f>IF(AND($AS$9=1,AT63&lt;&gt;""), BZ63, $BX$15)</f>
        <v>1.0530990742684474</v>
      </c>
    </row>
    <row r="64" spans="39:82" x14ac:dyDescent="0.25">
      <c r="AM64" s="7"/>
      <c r="AN64" s="7"/>
      <c r="AO64" s="7"/>
      <c r="AP64" s="7"/>
      <c r="AQ64" s="7"/>
      <c r="AS64" s="74"/>
      <c r="AT64" s="45" t="str">
        <f t="shared" si="15"/>
        <v/>
      </c>
      <c r="AU64" s="46">
        <f>IF(AT64&lt;&gt;"", ((AT64*0.5)-$AS$8), AU60)</f>
        <v>0.49999999999999994</v>
      </c>
      <c r="AV64" s="47">
        <f t="shared" si="22"/>
        <v>0.87758256189037265</v>
      </c>
      <c r="AW64" s="46">
        <f>IF(AT64&lt;&gt;"", AW63+($AS$8*0.5), AW60)</f>
        <v>0.5</v>
      </c>
      <c r="AX64" s="47">
        <f>IF(AT64&lt;&gt;"", AX63+($AS$8*COS(0.5)*$AS$6), AX60)</f>
        <v>0.87758256189037265</v>
      </c>
      <c r="AY64" s="46">
        <f>IF($AS$9=1, AU63, AY60)</f>
        <v>0</v>
      </c>
      <c r="AZ64" s="47">
        <f>IF($AS$9=1, AX63, AZ60)</f>
        <v>0</v>
      </c>
      <c r="BA64" s="46">
        <f>IF(AND($AS$9=1, AT63&lt;&gt;""), 1-AT63, BA63)</f>
        <v>0</v>
      </c>
      <c r="BB64" s="47">
        <f>IF(AND($AS$9=1, AT63&lt;&gt;""), 0, BB63)</f>
        <v>0</v>
      </c>
      <c r="BC64" s="46">
        <f>IF($AS$9=1,AU63,BC63)</f>
        <v>0</v>
      </c>
      <c r="BD64" s="47">
        <f>IF($AS$9=1,AV63,0)</f>
        <v>0</v>
      </c>
      <c r="BE64" s="49">
        <f>IF(AT63&lt;&gt;"",BE63+(0.5*$AS$8),0)</f>
        <v>0</v>
      </c>
      <c r="BF64" s="50">
        <f>IF(AT63&lt;&gt;"",-COS(0.5)*$AS$8*$AS$6,0)</f>
        <v>0</v>
      </c>
      <c r="BG64" s="46">
        <f t="shared" si="16"/>
        <v>0</v>
      </c>
      <c r="BH64" s="47">
        <f t="shared" si="16"/>
        <v>0</v>
      </c>
      <c r="BI64" s="55">
        <f>IF(AT64&lt;&gt;"",AU64+1+$AS$10+($AS$8*0.5), $AZ$7)</f>
        <v>1.7</v>
      </c>
      <c r="BJ64" s="48">
        <f t="shared" si="7"/>
        <v>0.87758256189037265</v>
      </c>
      <c r="BK64" s="55">
        <f>AW64+1+$AS$10+0.5*$AS$8</f>
        <v>1.7149999999999999</v>
      </c>
      <c r="BL64" s="48">
        <f t="shared" si="8"/>
        <v>0.87758256189037265</v>
      </c>
      <c r="BM64" s="55">
        <f>AY64+1+$AS$10</f>
        <v>1.2</v>
      </c>
      <c r="BN64" s="48">
        <f t="shared" si="12"/>
        <v>0</v>
      </c>
      <c r="BO64" s="55">
        <f>BA64+1+$AS$10</f>
        <v>1.2</v>
      </c>
      <c r="BP64" s="48">
        <f t="shared" si="13"/>
        <v>0</v>
      </c>
      <c r="BQ64" s="55">
        <f>BC64+1+$AS$10</f>
        <v>1.2</v>
      </c>
      <c r="BR64" s="48">
        <f t="shared" si="14"/>
        <v>0</v>
      </c>
      <c r="BS64" s="55">
        <f t="shared" si="17"/>
        <v>1.2</v>
      </c>
      <c r="BT64" s="48">
        <f t="shared" si="9"/>
        <v>0</v>
      </c>
      <c r="BU64" s="55">
        <f>IF(AT64&lt;&gt;"",BG64+1+$AS$10-$AS$8,BQ63)</f>
        <v>1.2</v>
      </c>
      <c r="BV64" s="48">
        <f t="shared" si="10"/>
        <v>0</v>
      </c>
      <c r="BW64" s="55">
        <f t="shared" si="18"/>
        <v>1.1000000000000001</v>
      </c>
      <c r="BX64" s="55">
        <f t="shared" si="19"/>
        <v>1.9306816361588202</v>
      </c>
      <c r="BY64" s="55">
        <f t="shared" si="20"/>
        <v>1.1000000000000001</v>
      </c>
      <c r="BZ64" s="55">
        <f t="shared" si="21"/>
        <v>1.9306816361588202</v>
      </c>
      <c r="CA64" s="46">
        <f>IF(AND($AS$9=1,AT64&lt;&gt;""), CA63+0.5, $BW$15)</f>
        <v>0.60000000000000009</v>
      </c>
      <c r="CB64" s="46">
        <f>IF(AND($AS$9=1,AT64&lt;&gt;""), CB63-$BA$7, $BX$15)</f>
        <v>1.0530990742684474</v>
      </c>
      <c r="CC64" s="46">
        <f>IF(AND($AS$9=1,AT64&lt;&gt;""), CC63-0.5, $BY$15)</f>
        <v>1.6</v>
      </c>
      <c r="CD64" s="46">
        <f>IF(AND($AS$9=1,AT64&lt;&gt;""), CD63-$BA$7, $BZ$15)</f>
        <v>1.0530990742684474</v>
      </c>
    </row>
    <row r="65" spans="39:82" x14ac:dyDescent="0.25">
      <c r="AM65" s="7"/>
      <c r="AN65" s="7"/>
      <c r="AO65" s="7"/>
      <c r="AP65" s="7"/>
      <c r="AQ65" s="7"/>
      <c r="AS65" s="74"/>
      <c r="AT65" s="45" t="str">
        <f t="shared" si="15"/>
        <v/>
      </c>
      <c r="AU65" s="46">
        <f>IF(AT65&lt;&gt;"", (AT65*0.5), AU60)</f>
        <v>0.49999999999999994</v>
      </c>
      <c r="AV65" s="47">
        <f t="shared" si="22"/>
        <v>0.87758256189037265</v>
      </c>
      <c r="AW65" s="46">
        <f>IF(AT65&lt;&gt;"", 1-(AT65*0.5), AW60)</f>
        <v>0.5</v>
      </c>
      <c r="AX65" s="47">
        <f>IF(AT65&lt;&gt;"", (AT65*COS(0.5)*$AS$6), AX62)</f>
        <v>0.87758256189037265</v>
      </c>
      <c r="AY65" s="46"/>
      <c r="AZ65" s="47"/>
      <c r="BA65" s="46"/>
      <c r="BB65" s="47"/>
      <c r="BC65" s="46"/>
      <c r="BD65" s="47"/>
      <c r="BE65" s="49">
        <f>IF(AT63&lt;&gt;"", AT63, 0)</f>
        <v>0</v>
      </c>
      <c r="BF65" s="50">
        <v>0</v>
      </c>
      <c r="BG65" s="46">
        <f t="shared" si="16"/>
        <v>0</v>
      </c>
      <c r="BH65" s="47">
        <f t="shared" si="16"/>
        <v>0</v>
      </c>
      <c r="BI65" s="55">
        <f>IF(AT65&lt;&gt;"",AU65+1+$AS$10, $AZ$7)</f>
        <v>1.7</v>
      </c>
      <c r="BJ65" s="48">
        <f t="shared" si="7"/>
        <v>0.87758256189037265</v>
      </c>
      <c r="BK65" s="55">
        <f>AW65+1+$AS$10</f>
        <v>1.7</v>
      </c>
      <c r="BL65" s="48">
        <f t="shared" si="8"/>
        <v>0.87758256189037265</v>
      </c>
      <c r="BM65" s="55"/>
      <c r="BN65" s="48"/>
      <c r="BO65" s="55"/>
      <c r="BP65" s="48"/>
      <c r="BQ65" s="55"/>
      <c r="BR65" s="48"/>
      <c r="BS65" s="55">
        <f t="shared" si="17"/>
        <v>1.2</v>
      </c>
      <c r="BT65" s="48">
        <f t="shared" si="9"/>
        <v>0</v>
      </c>
      <c r="BU65" s="55">
        <f>BU63</f>
        <v>1.2</v>
      </c>
      <c r="BV65" s="48">
        <f t="shared" si="10"/>
        <v>0</v>
      </c>
      <c r="BW65" s="55">
        <f t="shared" si="18"/>
        <v>1.1000000000000001</v>
      </c>
      <c r="BX65" s="55">
        <f t="shared" si="19"/>
        <v>1.9306816361588202</v>
      </c>
      <c r="BY65" s="55">
        <f t="shared" si="20"/>
        <v>1.1000000000000001</v>
      </c>
      <c r="BZ65" s="55">
        <f t="shared" si="21"/>
        <v>1.9306816361588202</v>
      </c>
    </row>
    <row r="66" spans="39:82" x14ac:dyDescent="0.25">
      <c r="AM66" s="7"/>
      <c r="AN66" s="7"/>
      <c r="AO66" s="7"/>
      <c r="AP66" s="7"/>
      <c r="AQ66" s="7"/>
      <c r="AS66" s="74"/>
      <c r="AT66" s="45" t="str">
        <f>IF(AND($AS$7&gt;0, $AS$8&gt;0, AT63&lt;1), AT63+$AS$7, "")</f>
        <v/>
      </c>
      <c r="AU66" s="46">
        <f>IF(AT66&lt;&gt;"", (AT66*0.5), AU63)</f>
        <v>0.49999999999999994</v>
      </c>
      <c r="AV66" s="47">
        <f t="shared" si="22"/>
        <v>0.87758256189037265</v>
      </c>
      <c r="AW66" s="46">
        <f>IF(AT66&lt;&gt;"", 1-(AT66*0.5), AW63)</f>
        <v>0.5</v>
      </c>
      <c r="AX66" s="47">
        <f>IF(AT66&lt;&gt;"", (AT66*COS(0.5)*$AS$6), AX63)</f>
        <v>0.87758256189037265</v>
      </c>
      <c r="AY66" s="46">
        <f>IF($AS$9=1, AW66, AY63)</f>
        <v>0</v>
      </c>
      <c r="AZ66" s="47">
        <f>IF($AS$9=1, AX66, AZ63)</f>
        <v>0</v>
      </c>
      <c r="BA66" s="46">
        <f>IF(AND($AS$9=1, AT66&lt;&gt;""), AW66, BA63)</f>
        <v>0</v>
      </c>
      <c r="BB66" s="47">
        <f>IF(AND($AS$9=1, AT66&lt;&gt;""), AX66, BB63)</f>
        <v>0</v>
      </c>
      <c r="BC66" s="46">
        <f>IF($AS$9=1,BE66,BC63)</f>
        <v>0</v>
      </c>
      <c r="BD66" s="47">
        <v>0</v>
      </c>
      <c r="BE66" s="49">
        <f>IF(AT66&lt;&gt;"", AT66, 0)</f>
        <v>0</v>
      </c>
      <c r="BF66" s="50">
        <v>0</v>
      </c>
      <c r="BG66" s="46">
        <f t="shared" si="16"/>
        <v>0</v>
      </c>
      <c r="BH66" s="47">
        <f t="shared" si="16"/>
        <v>0</v>
      </c>
      <c r="BI66" s="55">
        <f>IF(AT66&lt;&gt;"",AU66+1+$AS$10, $AZ$7)</f>
        <v>1.7</v>
      </c>
      <c r="BJ66" s="48">
        <f t="shared" si="7"/>
        <v>0.87758256189037265</v>
      </c>
      <c r="BK66" s="55">
        <f>AW66+1+$AS$10</f>
        <v>1.7</v>
      </c>
      <c r="BL66" s="48">
        <f t="shared" si="8"/>
        <v>0.87758256189037265</v>
      </c>
      <c r="BM66" s="55">
        <f>AY66+1+$AS$10</f>
        <v>1.2</v>
      </c>
      <c r="BN66" s="48">
        <f t="shared" si="12"/>
        <v>0</v>
      </c>
      <c r="BO66" s="55">
        <f>BA66+1+$AS$10</f>
        <v>1.2</v>
      </c>
      <c r="BP66" s="48">
        <f t="shared" si="13"/>
        <v>0</v>
      </c>
      <c r="BQ66" s="55">
        <f>BC66+1+$AS$10</f>
        <v>1.2</v>
      </c>
      <c r="BR66" s="48">
        <f t="shared" si="14"/>
        <v>0</v>
      </c>
      <c r="BS66" s="55">
        <f t="shared" si="17"/>
        <v>1.2</v>
      </c>
      <c r="BT66" s="48">
        <f t="shared" si="9"/>
        <v>0</v>
      </c>
      <c r="BU66" s="55">
        <f>IF(AT66&lt;&gt;"",BG66+1+$AS$10,BQ66)</f>
        <v>1.2</v>
      </c>
      <c r="BV66" s="48">
        <f t="shared" si="10"/>
        <v>0</v>
      </c>
      <c r="BW66" s="55">
        <f t="shared" si="18"/>
        <v>1.1000000000000001</v>
      </c>
      <c r="BX66" s="55">
        <f t="shared" si="19"/>
        <v>1.9306816361588202</v>
      </c>
      <c r="BY66" s="55">
        <f t="shared" si="20"/>
        <v>1.1000000000000001</v>
      </c>
      <c r="BZ66" s="55">
        <f t="shared" si="21"/>
        <v>1.9306816361588202</v>
      </c>
      <c r="CA66" s="46">
        <f>IF(AND($AS$9=1,AT66&lt;&gt;""), BW66, $BW$15)</f>
        <v>0.60000000000000009</v>
      </c>
      <c r="CB66" s="46">
        <f>IF(AND($AS$9=1,AT66&lt;&gt;""), BX66, $BX$15)</f>
        <v>1.0530990742684474</v>
      </c>
      <c r="CC66" s="46">
        <f>IF(AND($AS$9=1,AT66&lt;&gt;""), BY66, $BY$15)</f>
        <v>1.6</v>
      </c>
      <c r="CD66" s="46">
        <f>IF(AND($AS$9=1,AT66&lt;&gt;""), BZ66, $BX$15)</f>
        <v>1.0530990742684474</v>
      </c>
    </row>
    <row r="67" spans="39:82" x14ac:dyDescent="0.25">
      <c r="AM67" s="7"/>
      <c r="AN67" s="7"/>
      <c r="AO67" s="7"/>
      <c r="AP67" s="7"/>
      <c r="AQ67" s="7"/>
      <c r="AS67" s="74"/>
      <c r="AT67" s="45" t="str">
        <f t="shared" si="15"/>
        <v/>
      </c>
      <c r="AU67" s="46">
        <f>IF(AT67&lt;&gt;"", ((AT67*0.5)-$AS$8), AU63)</f>
        <v>0.49999999999999994</v>
      </c>
      <c r="AV67" s="47">
        <f t="shared" si="22"/>
        <v>0.87758256189037265</v>
      </c>
      <c r="AW67" s="46">
        <f>IF(AT67&lt;&gt;"", AW66+($AS$8*0.5), AW63)</f>
        <v>0.5</v>
      </c>
      <c r="AX67" s="47">
        <f>IF(AT67&lt;&gt;"", AX66+($AS$8*COS(0.5)*$AS$6), AX63)</f>
        <v>0.87758256189037265</v>
      </c>
      <c r="AY67" s="46">
        <f>IF($AS$9=1, AU66, AY63)</f>
        <v>0</v>
      </c>
      <c r="AZ67" s="47">
        <f>IF($AS$9=1, AX66, AZ63)</f>
        <v>0</v>
      </c>
      <c r="BA67" s="46">
        <f>IF(AND($AS$9=1, AT66&lt;&gt;""), 1-AT66, BA66)</f>
        <v>0</v>
      </c>
      <c r="BB67" s="47">
        <f>IF(AND($AS$9=1, AT66&lt;&gt;""), 0, BB66)</f>
        <v>0</v>
      </c>
      <c r="BC67" s="46">
        <f>IF($AS$9=1,AU66,BC66)</f>
        <v>0</v>
      </c>
      <c r="BD67" s="47">
        <f>IF($AS$9=1,AV66,0)</f>
        <v>0</v>
      </c>
      <c r="BE67" s="49">
        <f>IF(AT66&lt;&gt;"",BE66+(0.5*$AS$8),0)</f>
        <v>0</v>
      </c>
      <c r="BF67" s="50">
        <f>IF(AT66&lt;&gt;"",-COS(0.5)*$AS$8*$AS$6,0)</f>
        <v>0</v>
      </c>
      <c r="BG67" s="46">
        <f t="shared" si="16"/>
        <v>0</v>
      </c>
      <c r="BH67" s="47">
        <f t="shared" si="16"/>
        <v>0</v>
      </c>
      <c r="BI67" s="55">
        <f>IF(AT67&lt;&gt;"",AU67+1+$AS$10+($AS$8*0.5), $AZ$7)</f>
        <v>1.7</v>
      </c>
      <c r="BJ67" s="48">
        <f t="shared" si="7"/>
        <v>0.87758256189037265</v>
      </c>
      <c r="BK67" s="55">
        <f>AW67+1+$AS$10+0.5*$AS$8</f>
        <v>1.7149999999999999</v>
      </c>
      <c r="BL67" s="48">
        <f t="shared" si="8"/>
        <v>0.87758256189037265</v>
      </c>
      <c r="BM67" s="55">
        <f>AY67+1+$AS$10</f>
        <v>1.2</v>
      </c>
      <c r="BN67" s="48">
        <f t="shared" si="12"/>
        <v>0</v>
      </c>
      <c r="BO67" s="55">
        <f>BA67+1+$AS$10</f>
        <v>1.2</v>
      </c>
      <c r="BP67" s="48">
        <f t="shared" si="13"/>
        <v>0</v>
      </c>
      <c r="BQ67" s="55">
        <f>BC67+1+$AS$10</f>
        <v>1.2</v>
      </c>
      <c r="BR67" s="48">
        <f t="shared" si="14"/>
        <v>0</v>
      </c>
      <c r="BS67" s="55">
        <f t="shared" si="17"/>
        <v>1.2</v>
      </c>
      <c r="BT67" s="48">
        <f t="shared" si="9"/>
        <v>0</v>
      </c>
      <c r="BU67" s="55">
        <f>IF(AT67&lt;&gt;"",BG67+1+$AS$10-$AS$8,BQ66)</f>
        <v>1.2</v>
      </c>
      <c r="BV67" s="48">
        <f t="shared" si="10"/>
        <v>0</v>
      </c>
      <c r="BW67" s="55">
        <f t="shared" si="18"/>
        <v>1.1000000000000001</v>
      </c>
      <c r="BX67" s="55">
        <f t="shared" si="19"/>
        <v>1.9306816361588202</v>
      </c>
      <c r="BY67" s="55">
        <f t="shared" si="20"/>
        <v>1.1000000000000001</v>
      </c>
      <c r="BZ67" s="55">
        <f t="shared" si="21"/>
        <v>1.9306816361588202</v>
      </c>
      <c r="CA67" s="46">
        <f>IF(AND($AS$9=1,AT67&lt;&gt;""), CA66+0.5, $BW$15)</f>
        <v>0.60000000000000009</v>
      </c>
      <c r="CB67" s="46">
        <f>IF(AND($AS$9=1,AT67&lt;&gt;""), CB66-$BA$7, $BX$15)</f>
        <v>1.0530990742684474</v>
      </c>
      <c r="CC67" s="46">
        <f>IF(AND($AS$9=1,AT67&lt;&gt;""), CC66-0.5, $BY$15)</f>
        <v>1.6</v>
      </c>
      <c r="CD67" s="46">
        <f>IF(AND($AS$9=1,AT67&lt;&gt;""), CD66-$BA$7, $BZ$15)</f>
        <v>1.0530990742684474</v>
      </c>
    </row>
    <row r="68" spans="39:82" x14ac:dyDescent="0.25">
      <c r="AM68" s="7"/>
      <c r="AN68" s="7"/>
      <c r="AO68" s="7"/>
      <c r="AP68" s="7"/>
      <c r="AQ68" s="7"/>
      <c r="AS68" s="74"/>
      <c r="AT68" s="45" t="str">
        <f t="shared" si="15"/>
        <v/>
      </c>
      <c r="AU68" s="46">
        <f>IF(AT68&lt;&gt;"", (AT68*0.5), AU63)</f>
        <v>0.49999999999999994</v>
      </c>
      <c r="AV68" s="47">
        <f t="shared" si="22"/>
        <v>0.87758256189037265</v>
      </c>
      <c r="AW68" s="46">
        <f>IF(AT68&lt;&gt;"", 1-(AT68*0.5), AW63)</f>
        <v>0.5</v>
      </c>
      <c r="AX68" s="47">
        <f>IF(AT68&lt;&gt;"", (AT68*COS(0.5)*$AS$6), AX65)</f>
        <v>0.87758256189037265</v>
      </c>
      <c r="AY68" s="46"/>
      <c r="AZ68" s="47"/>
      <c r="BA68" s="46"/>
      <c r="BB68" s="47"/>
      <c r="BC68" s="46"/>
      <c r="BD68" s="47"/>
      <c r="BE68" s="49">
        <f>IF(AT66&lt;&gt;"", AT66, 0)</f>
        <v>0</v>
      </c>
      <c r="BF68" s="50">
        <v>0</v>
      </c>
      <c r="BG68" s="46">
        <f t="shared" si="16"/>
        <v>0</v>
      </c>
      <c r="BH68" s="47">
        <f t="shared" si="16"/>
        <v>0</v>
      </c>
      <c r="BI68" s="55">
        <f>IF(AT68&lt;&gt;"",AU68+1+$AS$10, $AZ$7)</f>
        <v>1.7</v>
      </c>
      <c r="BJ68" s="48">
        <f t="shared" si="7"/>
        <v>0.87758256189037265</v>
      </c>
      <c r="BK68" s="55">
        <f>AW68+1+$AS$10</f>
        <v>1.7</v>
      </c>
      <c r="BL68" s="48">
        <f t="shared" si="8"/>
        <v>0.87758256189037265</v>
      </c>
      <c r="BM68" s="55"/>
      <c r="BN68" s="48"/>
      <c r="BO68" s="55"/>
      <c r="BP68" s="48"/>
      <c r="BQ68" s="55"/>
      <c r="BR68" s="48"/>
      <c r="BS68" s="55">
        <f t="shared" si="17"/>
        <v>1.2</v>
      </c>
      <c r="BT68" s="48">
        <f t="shared" si="9"/>
        <v>0</v>
      </c>
      <c r="BU68" s="55">
        <f>BU66</f>
        <v>1.2</v>
      </c>
      <c r="BV68" s="48">
        <f t="shared" si="10"/>
        <v>0</v>
      </c>
      <c r="BW68" s="55">
        <f t="shared" si="18"/>
        <v>1.1000000000000001</v>
      </c>
      <c r="BX68" s="55">
        <f t="shared" si="19"/>
        <v>1.9306816361588202</v>
      </c>
      <c r="BY68" s="55">
        <f t="shared" si="20"/>
        <v>1.1000000000000001</v>
      </c>
      <c r="BZ68" s="55">
        <f t="shared" si="21"/>
        <v>1.9306816361588202</v>
      </c>
    </row>
    <row r="69" spans="39:82" x14ac:dyDescent="0.25">
      <c r="AM69" s="7"/>
      <c r="AN69" s="7"/>
      <c r="AO69" s="7"/>
      <c r="AP69" s="7"/>
      <c r="AQ69" s="7"/>
      <c r="AS69" s="74" t="s">
        <v>206</v>
      </c>
      <c r="AT69" s="45" t="str">
        <f>IF(AND($AS$7&gt;0, $AS$8&gt;0, AT66&lt;1), AT66+$AS$7, "")</f>
        <v/>
      </c>
      <c r="AU69" s="46">
        <f>IF(AT69&lt;&gt;"", (AT69*0.5), AU66)</f>
        <v>0.49999999999999994</v>
      </c>
      <c r="AV69" s="47">
        <f t="shared" si="22"/>
        <v>0.87758256189037265</v>
      </c>
      <c r="AW69" s="46">
        <f>IF(AT69&lt;&gt;"", 1-(AT69*0.5), AW66)</f>
        <v>0.5</v>
      </c>
      <c r="AX69" s="47">
        <f>IF(AT69&lt;&gt;"", (AT69*COS(0.5)*$AS$6), AX66)</f>
        <v>0.87758256189037265</v>
      </c>
      <c r="AY69" s="46">
        <f>IF($AS$9=1, AW69, AY66)</f>
        <v>0</v>
      </c>
      <c r="AZ69" s="47">
        <f>IF($AS$9=1, AX69, AZ66)</f>
        <v>0</v>
      </c>
      <c r="BA69" s="46">
        <f>IF(AND($AS$9=1, AT69&lt;&gt;""), AW69, BA66)</f>
        <v>0</v>
      </c>
      <c r="BB69" s="47">
        <f>IF(AND($AS$9=1, AT69&lt;&gt;""), AX69, BB66)</f>
        <v>0</v>
      </c>
      <c r="BC69" s="46">
        <f>IF($AS$9=1,BE69,BC66)</f>
        <v>0</v>
      </c>
      <c r="BD69" s="47">
        <v>0</v>
      </c>
      <c r="BE69" s="49">
        <f>IF(AT69&lt;&gt;"", AT69, 0)</f>
        <v>0</v>
      </c>
      <c r="BF69" s="50">
        <v>0</v>
      </c>
      <c r="BG69" s="46">
        <f t="shared" si="16"/>
        <v>0</v>
      </c>
      <c r="BH69" s="47">
        <f t="shared" si="16"/>
        <v>0</v>
      </c>
      <c r="BI69" s="55">
        <f>IF(AT69&lt;&gt;"",AU69+1+$AS$10, $AZ$7)</f>
        <v>1.7</v>
      </c>
      <c r="BJ69" s="48">
        <f t="shared" si="7"/>
        <v>0.87758256189037265</v>
      </c>
      <c r="BK69" s="55">
        <f>AW69+1+$AS$10</f>
        <v>1.7</v>
      </c>
      <c r="BL69" s="48">
        <f t="shared" si="8"/>
        <v>0.87758256189037265</v>
      </c>
      <c r="BM69" s="55">
        <f>AY69+1+$AS$10</f>
        <v>1.2</v>
      </c>
      <c r="BN69" s="48">
        <f t="shared" si="12"/>
        <v>0</v>
      </c>
      <c r="BO69" s="55">
        <f>BA69+1+$AS$10</f>
        <v>1.2</v>
      </c>
      <c r="BP69" s="48">
        <f t="shared" si="13"/>
        <v>0</v>
      </c>
      <c r="BQ69" s="55">
        <f>BC69+1+$AS$10</f>
        <v>1.2</v>
      </c>
      <c r="BR69" s="48">
        <f t="shared" si="14"/>
        <v>0</v>
      </c>
      <c r="BS69" s="55">
        <f t="shared" si="17"/>
        <v>1.2</v>
      </c>
      <c r="BT69" s="48">
        <f t="shared" si="9"/>
        <v>0</v>
      </c>
      <c r="BU69" s="55">
        <f>IF(AT69&lt;&gt;"",BG69+1+$AS$10,BQ69)</f>
        <v>1.2</v>
      </c>
      <c r="BV69" s="48">
        <f t="shared" si="10"/>
        <v>0</v>
      </c>
      <c r="BW69" s="55">
        <f t="shared" si="18"/>
        <v>1.1000000000000001</v>
      </c>
      <c r="BX69" s="55">
        <f t="shared" si="19"/>
        <v>1.9306816361588202</v>
      </c>
      <c r="BY69" s="55">
        <f t="shared" si="20"/>
        <v>1.1000000000000001</v>
      </c>
      <c r="BZ69" s="55">
        <f t="shared" si="21"/>
        <v>1.9306816361588202</v>
      </c>
      <c r="CA69" s="46">
        <f>IF(AND($AS$9=1,AT69&lt;&gt;""), BW69, $BW$15)</f>
        <v>0.60000000000000009</v>
      </c>
      <c r="CB69" s="46">
        <f>IF(AND($AS$9=1,AT69&lt;&gt;""), BX69, $BX$15)</f>
        <v>1.0530990742684474</v>
      </c>
      <c r="CC69" s="46">
        <f>IF(AND($AS$9=1,AT69&lt;&gt;""), BY69, $BY$15)</f>
        <v>1.6</v>
      </c>
      <c r="CD69" s="46">
        <f>IF(AND($AS$9=1,AT69&lt;&gt;""), BZ69, $BX$15)</f>
        <v>1.0530990742684474</v>
      </c>
    </row>
    <row r="70" spans="39:82" x14ac:dyDescent="0.25">
      <c r="AM70" s="7"/>
      <c r="AN70" s="7"/>
      <c r="AO70" s="7"/>
      <c r="AP70" s="7"/>
      <c r="AQ70" s="7"/>
      <c r="AS70" s="74"/>
      <c r="AT70" s="45" t="str">
        <f t="shared" si="15"/>
        <v/>
      </c>
      <c r="AU70" s="46">
        <f>IF(AT70&lt;&gt;"", ((AT70*0.5)-$AS$8), AU66)</f>
        <v>0.49999999999999994</v>
      </c>
      <c r="AV70" s="47">
        <f t="shared" si="22"/>
        <v>0.87758256189037265</v>
      </c>
      <c r="AW70" s="46">
        <f>IF(AT70&lt;&gt;"", AW69+($AS$8*0.5), AW66)</f>
        <v>0.5</v>
      </c>
      <c r="AX70" s="47">
        <f>IF(AT70&lt;&gt;"", AX69+($AS$8*COS(0.5)*$AS$6), AX66)</f>
        <v>0.87758256189037265</v>
      </c>
      <c r="AY70" s="46">
        <f>IF($AS$9=1, AU69, AY66)</f>
        <v>0</v>
      </c>
      <c r="AZ70" s="47">
        <f>IF($AS$9=1, AX69, AZ66)</f>
        <v>0</v>
      </c>
      <c r="BA70" s="46">
        <f>IF(AND($AS$9=1, AT69&lt;&gt;""), 1-AT69, BA69)</f>
        <v>0</v>
      </c>
      <c r="BB70" s="47">
        <f>IF(AND($AS$9=1, AT69&lt;&gt;""), 0, BB69)</f>
        <v>0</v>
      </c>
      <c r="BC70" s="46">
        <f>IF($AS$9=1,AU69,BC69)</f>
        <v>0</v>
      </c>
      <c r="BD70" s="47">
        <f>IF($AS$9=1,AV69,0)</f>
        <v>0</v>
      </c>
      <c r="BE70" s="49">
        <f>IF(AT69&lt;&gt;"",BE69+(0.5*$AS$8),0)</f>
        <v>0</v>
      </c>
      <c r="BF70" s="50">
        <f>IF(AT69&lt;&gt;"",-COS(0.5)*$AS$8*$AS$6,0)</f>
        <v>0</v>
      </c>
      <c r="BG70" s="46">
        <f t="shared" si="16"/>
        <v>0</v>
      </c>
      <c r="BH70" s="47">
        <f t="shared" si="16"/>
        <v>0</v>
      </c>
      <c r="BI70" s="55">
        <f>IF(AT70&lt;&gt;"",AU70+1+$AS$10+($AS$8*0.5), $AZ$7)</f>
        <v>1.7</v>
      </c>
      <c r="BJ70" s="48">
        <f t="shared" si="7"/>
        <v>0.87758256189037265</v>
      </c>
      <c r="BK70" s="55">
        <f>AW70+1+$AS$10+0.5*$AS$8</f>
        <v>1.7149999999999999</v>
      </c>
      <c r="BL70" s="48">
        <f t="shared" si="8"/>
        <v>0.87758256189037265</v>
      </c>
      <c r="BM70" s="55">
        <f>AY70+1+$AS$10</f>
        <v>1.2</v>
      </c>
      <c r="BN70" s="48">
        <f t="shared" si="12"/>
        <v>0</v>
      </c>
      <c r="BO70" s="55">
        <f>BA70+1+$AS$10</f>
        <v>1.2</v>
      </c>
      <c r="BP70" s="48">
        <f t="shared" si="13"/>
        <v>0</v>
      </c>
      <c r="BQ70" s="55">
        <f>BC70+1+$AS$10</f>
        <v>1.2</v>
      </c>
      <c r="BR70" s="48">
        <f t="shared" si="14"/>
        <v>0</v>
      </c>
      <c r="BS70" s="55">
        <f t="shared" si="17"/>
        <v>1.2</v>
      </c>
      <c r="BT70" s="48">
        <f t="shared" si="9"/>
        <v>0</v>
      </c>
      <c r="BU70" s="55">
        <f>IF(AT70&lt;&gt;"",BG70+1+$AS$10-$AS$8,BQ69)</f>
        <v>1.2</v>
      </c>
      <c r="BV70" s="48">
        <f t="shared" si="10"/>
        <v>0</v>
      </c>
      <c r="BW70" s="55">
        <f t="shared" si="18"/>
        <v>1.1000000000000001</v>
      </c>
      <c r="BX70" s="55">
        <f t="shared" si="19"/>
        <v>1.9306816361588202</v>
      </c>
      <c r="BY70" s="55">
        <f t="shared" si="20"/>
        <v>1.1000000000000001</v>
      </c>
      <c r="BZ70" s="55">
        <f t="shared" si="21"/>
        <v>1.9306816361588202</v>
      </c>
      <c r="CA70" s="46">
        <f>IF(AND($AS$9=1,AT70&lt;&gt;""), CA69+0.5, $BW$15)</f>
        <v>0.60000000000000009</v>
      </c>
      <c r="CB70" s="46">
        <f>IF(AND($AS$9=1,AT70&lt;&gt;""), CB69-$BA$7, $BX$15)</f>
        <v>1.0530990742684474</v>
      </c>
      <c r="CC70" s="46">
        <f>IF(AND($AS$9=1,AT70&lt;&gt;""), CC69-0.5, $BY$15)</f>
        <v>1.6</v>
      </c>
      <c r="CD70" s="46">
        <f>IF(AND($AS$9=1,AT70&lt;&gt;""), CD69-$BA$7, $BZ$15)</f>
        <v>1.0530990742684474</v>
      </c>
    </row>
    <row r="71" spans="39:82" x14ac:dyDescent="0.25">
      <c r="AM71" s="7"/>
      <c r="AN71" s="7"/>
      <c r="AO71" s="7"/>
      <c r="AP71" s="7"/>
      <c r="AQ71" s="7"/>
      <c r="AS71" s="74"/>
      <c r="AT71" s="45" t="str">
        <f t="shared" si="15"/>
        <v/>
      </c>
      <c r="AU71" s="46">
        <f>IF(AT71&lt;&gt;"", (AT71*0.5), AU66)</f>
        <v>0.49999999999999994</v>
      </c>
      <c r="AV71" s="47">
        <f t="shared" si="22"/>
        <v>0.87758256189037265</v>
      </c>
      <c r="AW71" s="46">
        <f>IF(AT71&lt;&gt;"", 1-(AT71*0.5), AW66)</f>
        <v>0.5</v>
      </c>
      <c r="AX71" s="47">
        <f>IF(AT71&lt;&gt;"", (AT71*COS(0.5)*$AS$6), AX68)</f>
        <v>0.87758256189037265</v>
      </c>
      <c r="AY71" s="46"/>
      <c r="AZ71" s="47"/>
      <c r="BA71" s="46"/>
      <c r="BB71" s="47"/>
      <c r="BC71" s="46"/>
      <c r="BD71" s="47"/>
      <c r="BE71" s="49">
        <f>IF(AT69&lt;&gt;"", AT69, 0)</f>
        <v>0</v>
      </c>
      <c r="BF71" s="50">
        <v>0</v>
      </c>
      <c r="BG71" s="46">
        <f t="shared" si="16"/>
        <v>0</v>
      </c>
      <c r="BH71" s="47">
        <f t="shared" si="16"/>
        <v>0</v>
      </c>
      <c r="BI71" s="55">
        <f>IF(AT71&lt;&gt;"",AU71+1+$AS$10, $AZ$7)</f>
        <v>1.7</v>
      </c>
      <c r="BJ71" s="48">
        <f t="shared" si="7"/>
        <v>0.87758256189037265</v>
      </c>
      <c r="BK71" s="55">
        <f>AW71+1+$AS$10</f>
        <v>1.7</v>
      </c>
      <c r="BL71" s="48">
        <f t="shared" si="8"/>
        <v>0.87758256189037265</v>
      </c>
      <c r="BM71" s="55"/>
      <c r="BN71" s="48"/>
      <c r="BO71" s="55"/>
      <c r="BP71" s="48"/>
      <c r="BQ71" s="55"/>
      <c r="BR71" s="48"/>
      <c r="BS71" s="55">
        <f t="shared" si="17"/>
        <v>1.2</v>
      </c>
      <c r="BT71" s="48">
        <f t="shared" si="9"/>
        <v>0</v>
      </c>
      <c r="BU71" s="55">
        <f>BU69</f>
        <v>1.2</v>
      </c>
      <c r="BV71" s="48">
        <f t="shared" si="10"/>
        <v>0</v>
      </c>
      <c r="BW71" s="55">
        <f t="shared" si="18"/>
        <v>1.1000000000000001</v>
      </c>
      <c r="BX71" s="55">
        <f t="shared" si="19"/>
        <v>1.9306816361588202</v>
      </c>
      <c r="BY71" s="55">
        <f t="shared" si="20"/>
        <v>1.1000000000000001</v>
      </c>
      <c r="BZ71" s="55">
        <f t="shared" si="21"/>
        <v>1.9306816361588202</v>
      </c>
    </row>
    <row r="72" spans="39:82" x14ac:dyDescent="0.25">
      <c r="AM72" s="7"/>
      <c r="AN72" s="7"/>
      <c r="AO72" s="7"/>
      <c r="AP72" s="7"/>
      <c r="AQ72" s="7"/>
      <c r="AS72" s="74"/>
      <c r="AT72" s="45" t="str">
        <f>IF(AND($AS$7&gt;0, $AS$8&gt;0, AT69&lt;1), AT69+$AS$7, "")</f>
        <v/>
      </c>
      <c r="AU72" s="46">
        <f>IF(AT72&lt;&gt;"", (AT72*0.5), AU69)</f>
        <v>0.49999999999999994</v>
      </c>
      <c r="AV72" s="47">
        <f t="shared" si="22"/>
        <v>0.87758256189037265</v>
      </c>
      <c r="AW72" s="46">
        <f>IF(AT72&lt;&gt;"", 1-(AT72*0.5), AW69)</f>
        <v>0.5</v>
      </c>
      <c r="AX72" s="47">
        <f>IF(AT72&lt;&gt;"", (AT72*COS(0.5)*$AS$6), AX69)</f>
        <v>0.87758256189037265</v>
      </c>
      <c r="AY72" s="46">
        <f>IF($AS$9=1, AW72, AY69)</f>
        <v>0</v>
      </c>
      <c r="AZ72" s="47">
        <f>IF($AS$9=1, AX72, AZ69)</f>
        <v>0</v>
      </c>
      <c r="BA72" s="46">
        <f>IF(AND($AS$9=1, AT72&lt;&gt;""), AW72, BA69)</f>
        <v>0</v>
      </c>
      <c r="BB72" s="47">
        <f>IF(AND($AS$9=1, AT72&lt;&gt;""), AX72, BB69)</f>
        <v>0</v>
      </c>
      <c r="BC72" s="46">
        <f>IF($AS$9=1,BE72,BC69)</f>
        <v>0</v>
      </c>
      <c r="BD72" s="47">
        <v>0</v>
      </c>
      <c r="BE72" s="49">
        <f>IF(AT72&lt;&gt;"", AT72, 0)</f>
        <v>0</v>
      </c>
      <c r="BF72" s="50">
        <v>0</v>
      </c>
      <c r="BG72" s="46">
        <f t="shared" si="16"/>
        <v>0</v>
      </c>
      <c r="BH72" s="47">
        <f t="shared" si="16"/>
        <v>0</v>
      </c>
      <c r="BI72" s="55">
        <f>IF(AT72&lt;&gt;"",AU72+1+$AS$10, $AZ$7)</f>
        <v>1.7</v>
      </c>
      <c r="BJ72" s="48">
        <f t="shared" si="7"/>
        <v>0.87758256189037265</v>
      </c>
      <c r="BK72" s="55">
        <f>AW72+1+$AS$10</f>
        <v>1.7</v>
      </c>
      <c r="BL72" s="48">
        <f t="shared" si="8"/>
        <v>0.87758256189037265</v>
      </c>
      <c r="BM72" s="55">
        <f>AY72+1+$AS$10</f>
        <v>1.2</v>
      </c>
      <c r="BN72" s="48">
        <f t="shared" si="12"/>
        <v>0</v>
      </c>
      <c r="BO72" s="55">
        <f>BA72+1+$AS$10</f>
        <v>1.2</v>
      </c>
      <c r="BP72" s="48">
        <f t="shared" si="13"/>
        <v>0</v>
      </c>
      <c r="BQ72" s="55">
        <f>BC72+1+$AS$10</f>
        <v>1.2</v>
      </c>
      <c r="BR72" s="48">
        <f t="shared" si="14"/>
        <v>0</v>
      </c>
      <c r="BS72" s="55">
        <f t="shared" si="17"/>
        <v>1.2</v>
      </c>
      <c r="BT72" s="48">
        <f t="shared" si="9"/>
        <v>0</v>
      </c>
      <c r="BU72" s="55">
        <f>IF(AT72&lt;&gt;"",BG72+1+$AS$10,BQ72)</f>
        <v>1.2</v>
      </c>
      <c r="BV72" s="48">
        <f t="shared" si="10"/>
        <v>0</v>
      </c>
      <c r="BW72" s="55">
        <f t="shared" si="18"/>
        <v>1.1000000000000001</v>
      </c>
      <c r="BX72" s="55">
        <f t="shared" si="19"/>
        <v>1.9306816361588202</v>
      </c>
      <c r="BY72" s="55">
        <f t="shared" si="20"/>
        <v>1.1000000000000001</v>
      </c>
      <c r="BZ72" s="55">
        <f t="shared" si="21"/>
        <v>1.9306816361588202</v>
      </c>
      <c r="CA72" s="46">
        <f>IF(AND($AS$9=1,AT72&lt;&gt;""), BW72, $BW$15)</f>
        <v>0.60000000000000009</v>
      </c>
      <c r="CB72" s="46">
        <f>IF(AND($AS$9=1,AT72&lt;&gt;""), BX72, $BX$15)</f>
        <v>1.0530990742684474</v>
      </c>
      <c r="CC72" s="46">
        <f>IF(AND($AS$9=1,AT72&lt;&gt;""), BY72, $BY$15)</f>
        <v>1.6</v>
      </c>
      <c r="CD72" s="46">
        <f>IF(AND($AS$9=1,AT72&lt;&gt;""), BZ72, $BX$15)</f>
        <v>1.0530990742684474</v>
      </c>
    </row>
    <row r="73" spans="39:82" x14ac:dyDescent="0.25">
      <c r="AM73" s="7"/>
      <c r="AN73" s="7"/>
      <c r="AO73" s="7"/>
      <c r="AP73" s="7"/>
      <c r="AQ73" s="7"/>
      <c r="AS73" s="74"/>
      <c r="AT73" s="45" t="str">
        <f t="shared" si="15"/>
        <v/>
      </c>
      <c r="AU73" s="46">
        <f>IF(AT73&lt;&gt;"", ((AT73*0.5)-$AS$8), AU69)</f>
        <v>0.49999999999999994</v>
      </c>
      <c r="AV73" s="47">
        <f t="shared" si="22"/>
        <v>0.87758256189037265</v>
      </c>
      <c r="AW73" s="46">
        <f>IF(AT73&lt;&gt;"", AW72+($AS$8*0.5), AW69)</f>
        <v>0.5</v>
      </c>
      <c r="AX73" s="47">
        <f>IF(AT73&lt;&gt;"", AX72+($AS$8*COS(0.5)*$AS$6), AX69)</f>
        <v>0.87758256189037265</v>
      </c>
      <c r="AY73" s="46">
        <f>IF($AS$9=1, AU72, AY69)</f>
        <v>0</v>
      </c>
      <c r="AZ73" s="47">
        <f>IF($AS$9=1, AX72, AZ69)</f>
        <v>0</v>
      </c>
      <c r="BA73" s="46">
        <f>IF(AND($AS$9=1, AT72&lt;&gt;""), 1-AT72, BA72)</f>
        <v>0</v>
      </c>
      <c r="BB73" s="47">
        <f>IF(AND($AS$9=1, AT72&lt;&gt;""), 0, BB72)</f>
        <v>0</v>
      </c>
      <c r="BC73" s="46">
        <f>IF($AS$9=1,AU72,BC72)</f>
        <v>0</v>
      </c>
      <c r="BD73" s="47">
        <f>IF($AS$9=1,AV72,0)</f>
        <v>0</v>
      </c>
      <c r="BE73" s="49">
        <f>IF(AT72&lt;&gt;"",BE72+(0.5*$AS$8),0)</f>
        <v>0</v>
      </c>
      <c r="BF73" s="50">
        <f>IF(AT72&lt;&gt;"",-COS(0.5)*$AS$8*$AS$6,0)</f>
        <v>0</v>
      </c>
      <c r="BG73" s="46">
        <f t="shared" si="16"/>
        <v>0</v>
      </c>
      <c r="BH73" s="47">
        <f t="shared" si="16"/>
        <v>0</v>
      </c>
      <c r="BI73" s="55">
        <f>IF(AT73&lt;&gt;"",AU73+1+$AS$10+($AS$8*0.5), $AZ$7)</f>
        <v>1.7</v>
      </c>
      <c r="BJ73" s="48">
        <f t="shared" si="7"/>
        <v>0.87758256189037265</v>
      </c>
      <c r="BK73" s="55">
        <f>AW73+1+$AS$10+0.5*$AS$8</f>
        <v>1.7149999999999999</v>
      </c>
      <c r="BL73" s="48">
        <f t="shared" si="8"/>
        <v>0.87758256189037265</v>
      </c>
      <c r="BM73" s="55">
        <f>AY73+1+$AS$10</f>
        <v>1.2</v>
      </c>
      <c r="BN73" s="48">
        <f t="shared" si="12"/>
        <v>0</v>
      </c>
      <c r="BO73" s="55">
        <f>BA73+1+$AS$10</f>
        <v>1.2</v>
      </c>
      <c r="BP73" s="48">
        <f t="shared" si="13"/>
        <v>0</v>
      </c>
      <c r="BQ73" s="55">
        <f>BC73+1+$AS$10</f>
        <v>1.2</v>
      </c>
      <c r="BR73" s="48">
        <f t="shared" si="14"/>
        <v>0</v>
      </c>
      <c r="BS73" s="55">
        <f t="shared" si="17"/>
        <v>1.2</v>
      </c>
      <c r="BT73" s="48">
        <f t="shared" si="9"/>
        <v>0</v>
      </c>
      <c r="BU73" s="55">
        <f>IF(AT73&lt;&gt;"",BG73+1+$AS$10-$AS$8,BQ72)</f>
        <v>1.2</v>
      </c>
      <c r="BV73" s="48">
        <f t="shared" si="10"/>
        <v>0</v>
      </c>
      <c r="BW73" s="55">
        <f t="shared" si="18"/>
        <v>1.1000000000000001</v>
      </c>
      <c r="BX73" s="55">
        <f t="shared" si="19"/>
        <v>1.9306816361588202</v>
      </c>
      <c r="BY73" s="55">
        <f t="shared" si="20"/>
        <v>1.1000000000000001</v>
      </c>
      <c r="BZ73" s="55">
        <f t="shared" si="21"/>
        <v>1.9306816361588202</v>
      </c>
      <c r="CA73" s="46">
        <f>IF(AND($AS$9=1,AT73&lt;&gt;""), CA72+0.5, $BW$15)</f>
        <v>0.60000000000000009</v>
      </c>
      <c r="CB73" s="46">
        <f>IF(AND($AS$9=1,AT73&lt;&gt;""), CB72-$BA$7, $BX$15)</f>
        <v>1.0530990742684474</v>
      </c>
      <c r="CC73" s="46">
        <f>IF(AND($AS$9=1,AT73&lt;&gt;""), CC72-0.5, $BY$15)</f>
        <v>1.6</v>
      </c>
      <c r="CD73" s="46">
        <f>IF(AND($AS$9=1,AT73&lt;&gt;""), CD72-$BA$7, $BZ$15)</f>
        <v>1.0530990742684474</v>
      </c>
    </row>
    <row r="74" spans="39:82" x14ac:dyDescent="0.25">
      <c r="AM74" s="7"/>
      <c r="AN74" s="7"/>
      <c r="AO74" s="7"/>
      <c r="AP74" s="7"/>
      <c r="AQ74" s="7"/>
      <c r="AS74" s="74"/>
      <c r="AT74" s="45" t="str">
        <f t="shared" si="15"/>
        <v/>
      </c>
      <c r="AU74" s="46">
        <f>IF(AT74&lt;&gt;"", (AT74*0.5), AU69)</f>
        <v>0.49999999999999994</v>
      </c>
      <c r="AV74" s="47">
        <f t="shared" si="22"/>
        <v>0.87758256189037265</v>
      </c>
      <c r="AW74" s="46">
        <f>IF(AT74&lt;&gt;"", 1-(AT74*0.5), AW69)</f>
        <v>0.5</v>
      </c>
      <c r="AX74" s="47">
        <f>IF(AT74&lt;&gt;"", (AT74*COS(0.5)*$AS$6), AX71)</f>
        <v>0.87758256189037265</v>
      </c>
      <c r="AY74" s="46"/>
      <c r="AZ74" s="47"/>
      <c r="BA74" s="46"/>
      <c r="BB74" s="47"/>
      <c r="BC74" s="46"/>
      <c r="BD74" s="47"/>
      <c r="BE74" s="49">
        <f>IF(AT72&lt;&gt;"", AT72, 0)</f>
        <v>0</v>
      </c>
      <c r="BF74" s="50">
        <v>0</v>
      </c>
      <c r="BG74" s="46">
        <f t="shared" si="16"/>
        <v>0</v>
      </c>
      <c r="BH74" s="47">
        <f t="shared" si="16"/>
        <v>0</v>
      </c>
      <c r="BI74" s="55">
        <f>IF(AT74&lt;&gt;"",AU74+1+$AS$10, $AZ$7)</f>
        <v>1.7</v>
      </c>
      <c r="BJ74" s="48">
        <f t="shared" si="7"/>
        <v>0.87758256189037265</v>
      </c>
      <c r="BK74" s="55">
        <f>AW74+1+$AS$10</f>
        <v>1.7</v>
      </c>
      <c r="BL74" s="48">
        <f t="shared" si="8"/>
        <v>0.87758256189037265</v>
      </c>
      <c r="BM74" s="55"/>
      <c r="BN74" s="48"/>
      <c r="BO74" s="55"/>
      <c r="BP74" s="48"/>
      <c r="BQ74" s="55"/>
      <c r="BR74" s="48"/>
      <c r="BS74" s="55">
        <f t="shared" si="17"/>
        <v>1.2</v>
      </c>
      <c r="BT74" s="48">
        <f t="shared" si="9"/>
        <v>0</v>
      </c>
      <c r="BU74" s="55">
        <f>BU72</f>
        <v>1.2</v>
      </c>
      <c r="BV74" s="48">
        <f t="shared" si="10"/>
        <v>0</v>
      </c>
      <c r="BW74" s="55">
        <f t="shared" si="18"/>
        <v>1.1000000000000001</v>
      </c>
      <c r="BX74" s="55">
        <f t="shared" si="19"/>
        <v>1.9306816361588202</v>
      </c>
      <c r="BY74" s="55">
        <f t="shared" si="20"/>
        <v>1.1000000000000001</v>
      </c>
      <c r="BZ74" s="55">
        <f t="shared" si="21"/>
        <v>1.9306816361588202</v>
      </c>
    </row>
    <row r="75" spans="39:82" x14ac:dyDescent="0.25">
      <c r="AM75" s="7"/>
      <c r="AN75" s="7"/>
      <c r="AO75" s="7"/>
      <c r="AP75" s="7"/>
      <c r="AQ75" s="7"/>
      <c r="AS75" s="74"/>
      <c r="AT75" s="45" t="str">
        <f>IF(AND($AS$7&gt;0, $AS$8&gt;0, AT72&lt;1), AT72+$AS$7, "")</f>
        <v/>
      </c>
      <c r="AU75" s="46">
        <f>IF(AT75&lt;&gt;"", (AT75*0.5), AU72)</f>
        <v>0.49999999999999994</v>
      </c>
      <c r="AV75" s="47">
        <f t="shared" si="22"/>
        <v>0.87758256189037265</v>
      </c>
      <c r="AW75" s="46">
        <f>IF(AT75&lt;&gt;"", 1-(AT75*0.5), AW72)</f>
        <v>0.5</v>
      </c>
      <c r="AX75" s="47">
        <f>IF(AT75&lt;&gt;"", (AT75*COS(0.5)*$AS$6), AX72)</f>
        <v>0.87758256189037265</v>
      </c>
      <c r="AY75" s="46">
        <f>IF($AS$9=1, AW75, AY72)</f>
        <v>0</v>
      </c>
      <c r="AZ75" s="47">
        <f>IF($AS$9=1, AX75, AZ72)</f>
        <v>0</v>
      </c>
      <c r="BA75" s="46">
        <f>IF(AND($AS$9=1, AT75&lt;&gt;""), AW75, BA72)</f>
        <v>0</v>
      </c>
      <c r="BB75" s="47">
        <f>IF(AND($AS$9=1, AT75&lt;&gt;""), AX75, BB72)</f>
        <v>0</v>
      </c>
      <c r="BC75" s="46">
        <f>IF($AS$9=1,BE75,BC72)</f>
        <v>0</v>
      </c>
      <c r="BD75" s="47">
        <v>0</v>
      </c>
      <c r="BE75" s="49">
        <f>IF(AT75&lt;&gt;"", AT75, 0)</f>
        <v>0</v>
      </c>
      <c r="BF75" s="50">
        <v>0</v>
      </c>
      <c r="BG75" s="46">
        <f t="shared" si="16"/>
        <v>0</v>
      </c>
      <c r="BH75" s="47">
        <f t="shared" si="16"/>
        <v>0</v>
      </c>
      <c r="BI75" s="55">
        <f>IF(AT75&lt;&gt;"",AU75+1+$AS$10, $AZ$7)</f>
        <v>1.7</v>
      </c>
      <c r="BJ75" s="48">
        <f t="shared" si="7"/>
        <v>0.87758256189037265</v>
      </c>
      <c r="BK75" s="55">
        <f>AW75+1+$AS$10</f>
        <v>1.7</v>
      </c>
      <c r="BL75" s="48">
        <f t="shared" si="8"/>
        <v>0.87758256189037265</v>
      </c>
      <c r="BM75" s="55">
        <f>AY75+1+$AS$10</f>
        <v>1.2</v>
      </c>
      <c r="BN75" s="48">
        <f t="shared" si="12"/>
        <v>0</v>
      </c>
      <c r="BO75" s="55">
        <f>BA75+1+$AS$10</f>
        <v>1.2</v>
      </c>
      <c r="BP75" s="48">
        <f t="shared" si="13"/>
        <v>0</v>
      </c>
      <c r="BQ75" s="55">
        <f>BC75+1+$AS$10</f>
        <v>1.2</v>
      </c>
      <c r="BR75" s="48">
        <f t="shared" si="14"/>
        <v>0</v>
      </c>
      <c r="BS75" s="55">
        <f t="shared" si="17"/>
        <v>1.2</v>
      </c>
      <c r="BT75" s="48">
        <f t="shared" si="9"/>
        <v>0</v>
      </c>
      <c r="BU75" s="55">
        <f>IF(AT75&lt;&gt;"",BG75+1+$AS$10,BQ75)</f>
        <v>1.2</v>
      </c>
      <c r="BV75" s="48">
        <f t="shared" si="10"/>
        <v>0</v>
      </c>
      <c r="BW75" s="55">
        <f t="shared" si="18"/>
        <v>1.1000000000000001</v>
      </c>
      <c r="BX75" s="55">
        <f t="shared" si="19"/>
        <v>1.9306816361588202</v>
      </c>
      <c r="BY75" s="55">
        <f t="shared" si="20"/>
        <v>1.1000000000000001</v>
      </c>
      <c r="BZ75" s="55">
        <f t="shared" si="21"/>
        <v>1.9306816361588202</v>
      </c>
      <c r="CA75" s="46">
        <f>IF(AND($AS$9=1,AT75&lt;&gt;""), BW75, $BW$15)</f>
        <v>0.60000000000000009</v>
      </c>
      <c r="CB75" s="46">
        <f>IF(AND($AS$9=1,AT75&lt;&gt;""), BX75, $BX$15)</f>
        <v>1.0530990742684474</v>
      </c>
      <c r="CC75" s="46">
        <f>IF(AND($AS$9=1,AT75&lt;&gt;""), BY75, $BY$15)</f>
        <v>1.6</v>
      </c>
      <c r="CD75" s="46">
        <f>IF(AND($AS$9=1,AT75&lt;&gt;""), BZ75, $BX$15)</f>
        <v>1.0530990742684474</v>
      </c>
    </row>
    <row r="76" spans="39:82" x14ac:dyDescent="0.25">
      <c r="AM76" s="7"/>
      <c r="AN76" s="7"/>
      <c r="AO76" s="7"/>
      <c r="AP76" s="7"/>
      <c r="AQ76" s="7"/>
      <c r="AS76" s="74"/>
      <c r="AT76" s="45" t="str">
        <f t="shared" si="15"/>
        <v/>
      </c>
      <c r="AU76" s="46">
        <f>IF(AT76&lt;&gt;"", ((AT76*0.5)-$AS$8), AU72)</f>
        <v>0.49999999999999994</v>
      </c>
      <c r="AV76" s="47">
        <f t="shared" si="22"/>
        <v>0.87758256189037265</v>
      </c>
      <c r="AW76" s="46">
        <f>IF(AT76&lt;&gt;"", AW75+($AS$8*0.5), AW72)</f>
        <v>0.5</v>
      </c>
      <c r="AX76" s="47">
        <f>IF(AT76&lt;&gt;"", AX75+($AS$8*COS(0.5)*$AS$6), AX72)</f>
        <v>0.87758256189037265</v>
      </c>
      <c r="AY76" s="46">
        <f>IF($AS$9=1, AU75, AY72)</f>
        <v>0</v>
      </c>
      <c r="AZ76" s="47">
        <f>IF($AS$9=1, AX75, AZ72)</f>
        <v>0</v>
      </c>
      <c r="BA76" s="46">
        <f>IF(AND($AS$9=1, AT75&lt;&gt;""), 1-AT75, BA75)</f>
        <v>0</v>
      </c>
      <c r="BB76" s="47">
        <f>IF(AND($AS$9=1, AT75&lt;&gt;""), 0, BB75)</f>
        <v>0</v>
      </c>
      <c r="BC76" s="46">
        <f>IF($AS$9=1,AU75,BC75)</f>
        <v>0</v>
      </c>
      <c r="BD76" s="47">
        <f>IF($AS$9=1,AV75,0)</f>
        <v>0</v>
      </c>
      <c r="BE76" s="49">
        <f>IF(AT75&lt;&gt;"",BE75+(0.5*$AS$8),0)</f>
        <v>0</v>
      </c>
      <c r="BF76" s="50">
        <f>IF(AT75&lt;&gt;"",-COS(0.5)*$AS$8*$AS$6,0)</f>
        <v>0</v>
      </c>
      <c r="BG76" s="46">
        <f t="shared" si="16"/>
        <v>0</v>
      </c>
      <c r="BH76" s="47">
        <f t="shared" si="16"/>
        <v>0</v>
      </c>
      <c r="BI76" s="55">
        <f>IF(AT76&lt;&gt;"",AU76+1+$AS$10+($AS$8*0.5), $AZ$7)</f>
        <v>1.7</v>
      </c>
      <c r="BJ76" s="48">
        <f t="shared" si="7"/>
        <v>0.87758256189037265</v>
      </c>
      <c r="BK76" s="55">
        <f>AW76+1+$AS$10+0.5*$AS$8</f>
        <v>1.7149999999999999</v>
      </c>
      <c r="BL76" s="48">
        <f t="shared" si="8"/>
        <v>0.87758256189037265</v>
      </c>
      <c r="BM76" s="55">
        <f>AY76+1+$AS$10</f>
        <v>1.2</v>
      </c>
      <c r="BN76" s="48">
        <f t="shared" si="12"/>
        <v>0</v>
      </c>
      <c r="BO76" s="55">
        <f>BA76+1+$AS$10</f>
        <v>1.2</v>
      </c>
      <c r="BP76" s="48">
        <f t="shared" si="13"/>
        <v>0</v>
      </c>
      <c r="BQ76" s="55">
        <f>BC76+1+$AS$10</f>
        <v>1.2</v>
      </c>
      <c r="BR76" s="48">
        <f t="shared" si="14"/>
        <v>0</v>
      </c>
      <c r="BS76" s="55">
        <f t="shared" si="17"/>
        <v>1.2</v>
      </c>
      <c r="BT76" s="48">
        <f t="shared" si="9"/>
        <v>0</v>
      </c>
      <c r="BU76" s="55">
        <f>IF(AT76&lt;&gt;"",BG76+1+$AS$10-$AS$8,BQ75)</f>
        <v>1.2</v>
      </c>
      <c r="BV76" s="48">
        <f t="shared" si="10"/>
        <v>0</v>
      </c>
      <c r="BW76" s="55">
        <f t="shared" si="18"/>
        <v>1.1000000000000001</v>
      </c>
      <c r="BX76" s="55">
        <f t="shared" si="19"/>
        <v>1.9306816361588202</v>
      </c>
      <c r="BY76" s="55">
        <f t="shared" si="20"/>
        <v>1.1000000000000001</v>
      </c>
      <c r="BZ76" s="55">
        <f t="shared" si="21"/>
        <v>1.9306816361588202</v>
      </c>
      <c r="CA76" s="46">
        <f>IF(AND($AS$9=1,AT76&lt;&gt;""), CA75+0.5, $BW$15)</f>
        <v>0.60000000000000009</v>
      </c>
      <c r="CB76" s="46">
        <f>IF(AND($AS$9=1,AT76&lt;&gt;""), CB75-$BA$7, $BX$15)</f>
        <v>1.0530990742684474</v>
      </c>
      <c r="CC76" s="46">
        <f>IF(AND($AS$9=1,AT76&lt;&gt;""), CC75-0.5, $BY$15)</f>
        <v>1.6</v>
      </c>
      <c r="CD76" s="46">
        <f>IF(AND($AS$9=1,AT76&lt;&gt;""), CD75-$BA$7, $BZ$15)</f>
        <v>1.0530990742684474</v>
      </c>
    </row>
    <row r="77" spans="39:82" x14ac:dyDescent="0.25">
      <c r="AM77" s="7"/>
      <c r="AN77" s="7"/>
      <c r="AO77" s="7"/>
      <c r="AP77" s="7"/>
      <c r="AQ77" s="7"/>
      <c r="AS77" s="74"/>
      <c r="AT77" s="45" t="str">
        <f t="shared" si="15"/>
        <v/>
      </c>
      <c r="AU77" s="51">
        <f>IF(AT77&lt;&gt;"", (AT77*0.5), AU72)</f>
        <v>0.49999999999999994</v>
      </c>
      <c r="AV77" s="52">
        <f t="shared" si="22"/>
        <v>0.87758256189037265</v>
      </c>
      <c r="AW77" s="51">
        <f>IF(AT77&lt;&gt;"", 1-(AT77*0.5), AW72)</f>
        <v>0.5</v>
      </c>
      <c r="AX77" s="52">
        <f>IF(AT77&lt;&gt;"", (AT77*COS(0.5)*$AS$6), AX74)</f>
        <v>0.87758256189037265</v>
      </c>
      <c r="AY77" s="51"/>
      <c r="AZ77" s="52"/>
      <c r="BA77" s="51"/>
      <c r="BB77" s="52"/>
      <c r="BC77" s="51"/>
      <c r="BD77" s="52"/>
      <c r="BE77" s="53">
        <f>IF(AT75&lt;&gt;"", AT75, 0)</f>
        <v>0</v>
      </c>
      <c r="BF77" s="54">
        <v>0</v>
      </c>
      <c r="BG77" s="51">
        <f t="shared" si="16"/>
        <v>0</v>
      </c>
      <c r="BH77" s="52">
        <f t="shared" si="16"/>
        <v>0</v>
      </c>
      <c r="BI77" s="55">
        <f>IF(AT77&lt;&gt;"",AU77+1+$AS$10, $AZ$7)</f>
        <v>1.7</v>
      </c>
      <c r="BJ77" s="48">
        <f t="shared" si="7"/>
        <v>0.87758256189037265</v>
      </c>
      <c r="BK77" s="55">
        <f>AW77+1+$AS$10</f>
        <v>1.7</v>
      </c>
      <c r="BL77" s="48">
        <f t="shared" si="8"/>
        <v>0.87758256189037265</v>
      </c>
      <c r="BM77" s="55"/>
      <c r="BN77" s="48"/>
      <c r="BO77" s="55"/>
      <c r="BP77" s="48"/>
      <c r="BQ77" s="55"/>
      <c r="BR77" s="48"/>
      <c r="BS77" s="55">
        <f t="shared" si="17"/>
        <v>1.2</v>
      </c>
      <c r="BT77" s="48">
        <f t="shared" si="9"/>
        <v>0</v>
      </c>
      <c r="BU77" s="55">
        <f>BU75</f>
        <v>1.2</v>
      </c>
      <c r="BV77" s="48">
        <f t="shared" si="10"/>
        <v>0</v>
      </c>
      <c r="BW77" s="55">
        <f t="shared" si="18"/>
        <v>1.1000000000000001</v>
      </c>
      <c r="BX77" s="55">
        <f t="shared" si="19"/>
        <v>1.9306816361588202</v>
      </c>
      <c r="BY77" s="55">
        <f t="shared" si="20"/>
        <v>1.1000000000000001</v>
      </c>
      <c r="BZ77" s="55">
        <f t="shared" si="21"/>
        <v>1.9306816361588202</v>
      </c>
    </row>
    <row r="78" spans="39:82" x14ac:dyDescent="0.25">
      <c r="AM78" s="7"/>
      <c r="AN78" s="7"/>
      <c r="AO78" s="7"/>
      <c r="AP78" s="7"/>
      <c r="AQ78" s="7"/>
      <c r="AS78" s="56"/>
      <c r="AT78" s="7"/>
      <c r="AW78" s="8"/>
      <c r="BS78" s="32"/>
      <c r="BT78" s="15"/>
    </row>
    <row r="79" spans="39:82" x14ac:dyDescent="0.25">
      <c r="AM79" s="7"/>
      <c r="AN79" s="7"/>
      <c r="AO79" s="7"/>
      <c r="AP79" s="7"/>
      <c r="AQ79" s="7"/>
      <c r="AS79" s="56"/>
      <c r="AT79" s="7"/>
      <c r="BS79" s="32"/>
      <c r="BT79" s="15"/>
    </row>
    <row r="80" spans="39:82" x14ac:dyDescent="0.25">
      <c r="AM80" s="7"/>
      <c r="AN80" s="7"/>
      <c r="AO80" s="7"/>
      <c r="AP80" s="7"/>
      <c r="AQ80" s="7"/>
      <c r="AS80" s="56"/>
      <c r="AT80" s="7"/>
      <c r="BS80" s="32"/>
      <c r="BT80" s="15"/>
    </row>
    <row r="81" spans="39:72" x14ac:dyDescent="0.25">
      <c r="AM81" s="7"/>
      <c r="AN81" s="7"/>
      <c r="AO81" s="7"/>
      <c r="AP81" s="7"/>
      <c r="AQ81" s="7"/>
      <c r="AS81" s="56"/>
      <c r="AT81" s="7"/>
      <c r="BS81" s="32"/>
      <c r="BT81" s="15"/>
    </row>
    <row r="82" spans="39:72" x14ac:dyDescent="0.25">
      <c r="AM82" s="7"/>
      <c r="AN82" s="7"/>
      <c r="AO82" s="7"/>
      <c r="AP82" s="7"/>
      <c r="AQ82" s="7"/>
      <c r="AS82" s="56"/>
      <c r="AT82" s="7"/>
      <c r="BS82" s="32"/>
      <c r="BT82" s="15"/>
    </row>
    <row r="83" spans="39:72" x14ac:dyDescent="0.25">
      <c r="AM83" s="7"/>
      <c r="AN83" s="7"/>
      <c r="AO83" s="7"/>
      <c r="AP83" s="7"/>
      <c r="AQ83" s="7"/>
      <c r="AS83" s="56"/>
      <c r="AT83" s="7"/>
      <c r="BS83" s="32"/>
      <c r="BT83" s="15"/>
    </row>
    <row r="84" spans="39:72" x14ac:dyDescent="0.25">
      <c r="AM84" s="7"/>
      <c r="AN84" s="7"/>
      <c r="AO84" s="7"/>
      <c r="AP84" s="7"/>
      <c r="AQ84" s="7"/>
      <c r="BS84" s="32"/>
      <c r="BT84" s="15"/>
    </row>
    <row r="85" spans="39:72" x14ac:dyDescent="0.25">
      <c r="AM85" s="7"/>
      <c r="AN85" s="7"/>
      <c r="AO85" s="7"/>
      <c r="AP85" s="7"/>
      <c r="AQ85" s="7"/>
      <c r="BS85" s="32"/>
      <c r="BT85" s="15"/>
    </row>
    <row r="86" spans="39:72" x14ac:dyDescent="0.25">
      <c r="AM86" s="7"/>
      <c r="AN86" s="7"/>
      <c r="AO86" s="7"/>
      <c r="AP86" s="7"/>
      <c r="AQ86" s="7"/>
      <c r="AW86" s="8"/>
      <c r="AX86" s="8"/>
      <c r="AY86" s="8"/>
      <c r="AZ86" s="24"/>
      <c r="BA86" s="24"/>
      <c r="BB86" s="24"/>
      <c r="BC86" s="24"/>
      <c r="BD86" s="24"/>
      <c r="BE86" s="24"/>
      <c r="BF86" s="24"/>
      <c r="BG86" s="24"/>
      <c r="BJ86" s="16"/>
      <c r="BK86" s="24"/>
      <c r="BL86" s="16"/>
      <c r="BM86" s="16"/>
      <c r="BN86" s="24"/>
      <c r="BO86" s="16"/>
      <c r="BP86" s="16"/>
      <c r="BQ86" s="24"/>
      <c r="BR86" s="24"/>
      <c r="BS86" s="32"/>
      <c r="BT86" s="15"/>
    </row>
    <row r="87" spans="39:72" x14ac:dyDescent="0.25">
      <c r="AM87" s="7"/>
      <c r="AN87" s="7"/>
      <c r="AO87" s="7"/>
      <c r="AP87" s="7"/>
      <c r="AQ87" s="7"/>
      <c r="AW87" s="8"/>
      <c r="AX87" s="8"/>
      <c r="AY87" s="8"/>
      <c r="AZ87" s="24"/>
      <c r="BA87" s="24"/>
      <c r="BB87" s="24"/>
      <c r="BC87" s="24"/>
      <c r="BD87" s="24"/>
      <c r="BE87" s="24"/>
      <c r="BF87" s="24"/>
      <c r="BG87" s="24"/>
      <c r="BJ87" s="16"/>
      <c r="BK87" s="24"/>
      <c r="BL87" s="16"/>
      <c r="BM87" s="16"/>
      <c r="BN87" s="24"/>
      <c r="BO87" s="24"/>
      <c r="BP87" s="24"/>
      <c r="BQ87" s="24"/>
      <c r="BR87" s="24"/>
      <c r="BS87" s="32"/>
      <c r="BT87" s="15"/>
    </row>
    <row r="88" spans="39:72" x14ac:dyDescent="0.25">
      <c r="AM88" s="7"/>
      <c r="AN88" s="7"/>
      <c r="AO88" s="7"/>
      <c r="AP88" s="7"/>
      <c r="AQ88" s="7"/>
      <c r="AW88" s="8"/>
      <c r="AX88" s="8"/>
      <c r="AY88" s="8"/>
      <c r="AZ88" s="24"/>
      <c r="BA88" s="24"/>
      <c r="BB88" s="24"/>
      <c r="BC88" s="24"/>
      <c r="BD88" s="24"/>
      <c r="BE88" s="24"/>
      <c r="BF88" s="24"/>
      <c r="BG88" s="24"/>
      <c r="BJ88" s="24"/>
      <c r="BK88" s="24"/>
      <c r="BL88" s="24"/>
      <c r="BM88" s="24"/>
      <c r="BN88" s="24"/>
      <c r="BO88" s="24"/>
      <c r="BP88" s="24"/>
      <c r="BQ88" s="24"/>
      <c r="BR88" s="24"/>
      <c r="BS88" s="32"/>
      <c r="BT88" s="15"/>
    </row>
    <row r="89" spans="39:72" x14ac:dyDescent="0.25">
      <c r="AM89" s="7"/>
      <c r="AN89" s="7"/>
      <c r="AO89" s="7"/>
      <c r="AP89" s="7"/>
      <c r="AQ89" s="7"/>
      <c r="AW89" s="8"/>
      <c r="AX89" s="8"/>
      <c r="AY89" s="8"/>
      <c r="AZ89" s="24"/>
      <c r="BA89" s="24"/>
      <c r="BB89" s="24"/>
      <c r="BC89" s="24"/>
      <c r="BD89" s="24"/>
      <c r="BE89" s="24"/>
      <c r="BF89" s="24"/>
      <c r="BG89" s="24"/>
      <c r="BJ89" s="24"/>
      <c r="BK89" s="24"/>
      <c r="BL89" s="24"/>
      <c r="BM89" s="24"/>
      <c r="BN89" s="24"/>
      <c r="BO89" s="24"/>
      <c r="BP89" s="24"/>
      <c r="BQ89" s="24"/>
      <c r="BR89" s="24"/>
      <c r="BS89" s="32"/>
      <c r="BT89" s="15"/>
    </row>
    <row r="90" spans="39:72" x14ac:dyDescent="0.25">
      <c r="AM90" s="7"/>
      <c r="AN90" s="7"/>
      <c r="AO90" s="7"/>
      <c r="AP90" s="7"/>
      <c r="AQ90" s="7"/>
      <c r="AW90" s="8"/>
      <c r="AX90" s="8"/>
      <c r="AY90" s="8"/>
      <c r="AZ90" s="24"/>
      <c r="BA90" s="24"/>
      <c r="BB90" s="24"/>
      <c r="BC90" s="24"/>
      <c r="BD90" s="24"/>
      <c r="BE90" s="24"/>
      <c r="BF90" s="24"/>
      <c r="BG90" s="24"/>
      <c r="BJ90" s="24"/>
      <c r="BK90" s="24"/>
      <c r="BL90" s="24"/>
      <c r="BM90" s="24"/>
      <c r="BN90" s="24"/>
      <c r="BO90" s="24"/>
      <c r="BP90" s="24"/>
      <c r="BQ90" s="24"/>
      <c r="BR90" s="24"/>
      <c r="BS90" s="32"/>
      <c r="BT90" s="15"/>
    </row>
    <row r="91" spans="39:72" x14ac:dyDescent="0.25">
      <c r="AM91" s="7"/>
      <c r="AN91" s="7"/>
      <c r="AO91" s="7"/>
      <c r="AP91" s="7"/>
      <c r="AQ91" s="7"/>
      <c r="AW91" s="8"/>
      <c r="AX91" s="8"/>
      <c r="AY91" s="8"/>
      <c r="AZ91" s="24"/>
      <c r="BA91" s="24"/>
      <c r="BB91" s="24"/>
      <c r="BC91" s="24"/>
      <c r="BD91" s="24"/>
      <c r="BE91" s="24"/>
      <c r="BF91" s="24"/>
      <c r="BG91" s="24"/>
      <c r="BJ91" s="24"/>
      <c r="BK91" s="24"/>
      <c r="BL91" s="24"/>
      <c r="BM91" s="24"/>
      <c r="BN91" s="24"/>
      <c r="BO91" s="24"/>
      <c r="BP91" s="24"/>
      <c r="BQ91" s="24"/>
      <c r="BR91" s="24"/>
      <c r="BS91" s="32"/>
      <c r="BT91" s="15"/>
    </row>
    <row r="92" spans="39:72" x14ac:dyDescent="0.25">
      <c r="AM92" s="7"/>
      <c r="AN92" s="7"/>
      <c r="AO92" s="7"/>
      <c r="AP92" s="7"/>
      <c r="AQ92" s="7"/>
      <c r="AW92" s="8"/>
      <c r="AX92" s="8"/>
      <c r="AY92" s="8"/>
      <c r="AZ92" s="24"/>
      <c r="BA92" s="24"/>
      <c r="BB92" s="24"/>
      <c r="BC92" s="24"/>
      <c r="BD92" s="24"/>
      <c r="BE92" s="24"/>
      <c r="BF92" s="24"/>
      <c r="BG92" s="24"/>
      <c r="BJ92" s="24"/>
      <c r="BK92" s="24"/>
      <c r="BL92" s="24"/>
      <c r="BM92" s="24"/>
      <c r="BN92" s="24"/>
      <c r="BO92" s="24"/>
      <c r="BP92" s="24"/>
      <c r="BQ92" s="24"/>
      <c r="BR92" s="24"/>
      <c r="BS92" s="32"/>
      <c r="BT92" s="15"/>
    </row>
    <row r="93" spans="39:72" x14ac:dyDescent="0.25">
      <c r="AM93" s="7"/>
      <c r="AN93" s="7"/>
      <c r="AO93" s="7"/>
      <c r="AP93" s="7"/>
      <c r="AQ93" s="7"/>
      <c r="AW93" s="8"/>
      <c r="AX93" s="8"/>
      <c r="AY93" s="8"/>
      <c r="AZ93" s="24"/>
      <c r="BA93" s="24"/>
      <c r="BB93" s="24"/>
      <c r="BC93" s="24"/>
      <c r="BD93" s="24"/>
      <c r="BE93" s="24"/>
      <c r="BF93" s="24"/>
      <c r="BG93" s="24"/>
      <c r="BJ93" s="24"/>
      <c r="BK93" s="24"/>
      <c r="BL93" s="24"/>
      <c r="BM93" s="24"/>
      <c r="BN93" s="24"/>
      <c r="BO93" s="24"/>
      <c r="BP93" s="24"/>
      <c r="BQ93" s="24"/>
      <c r="BR93" s="24"/>
      <c r="BS93" s="32"/>
      <c r="BT93" s="15"/>
    </row>
    <row r="94" spans="39:72" x14ac:dyDescent="0.25">
      <c r="AM94" s="7"/>
      <c r="AN94" s="7"/>
      <c r="AO94" s="7"/>
      <c r="AP94" s="7"/>
      <c r="AQ94" s="7"/>
      <c r="AW94" s="8"/>
      <c r="AX94" s="8"/>
      <c r="AY94" s="8"/>
      <c r="AZ94" s="24"/>
      <c r="BA94" s="24"/>
      <c r="BB94" s="24"/>
      <c r="BC94" s="24"/>
      <c r="BD94" s="24"/>
      <c r="BE94" s="24"/>
      <c r="BF94" s="24"/>
      <c r="BG94" s="24"/>
      <c r="BJ94" s="24"/>
      <c r="BK94" s="24"/>
      <c r="BL94" s="24"/>
      <c r="BM94" s="24"/>
      <c r="BN94" s="24"/>
      <c r="BO94" s="24"/>
      <c r="BP94" s="24"/>
      <c r="BQ94" s="24"/>
      <c r="BR94" s="24"/>
      <c r="BS94" s="32"/>
      <c r="BT94" s="15"/>
    </row>
    <row r="95" spans="39:72" x14ac:dyDescent="0.25">
      <c r="AM95" s="7"/>
      <c r="AN95" s="7"/>
      <c r="AO95" s="7"/>
      <c r="AP95" s="7"/>
      <c r="AQ95" s="7"/>
      <c r="AW95" s="8"/>
      <c r="AX95" s="8"/>
      <c r="AY95" s="8"/>
      <c r="AZ95" s="24"/>
      <c r="BA95" s="24"/>
      <c r="BB95" s="24"/>
      <c r="BC95" s="24"/>
      <c r="BD95" s="24"/>
      <c r="BE95" s="24"/>
      <c r="BF95" s="24"/>
      <c r="BG95" s="24"/>
      <c r="BJ95" s="24"/>
      <c r="BK95" s="24"/>
      <c r="BL95" s="24"/>
      <c r="BM95" s="24"/>
      <c r="BN95" s="24"/>
      <c r="BO95" s="24"/>
      <c r="BP95" s="24"/>
      <c r="BQ95" s="24"/>
      <c r="BR95" s="24"/>
      <c r="BS95" s="32"/>
      <c r="BT95" s="15"/>
    </row>
    <row r="96" spans="39:72" x14ac:dyDescent="0.25">
      <c r="AM96" s="7"/>
      <c r="AN96" s="7"/>
      <c r="AO96" s="7"/>
      <c r="AP96" s="7"/>
      <c r="AQ96" s="7"/>
      <c r="AW96" s="8"/>
      <c r="AX96" s="8"/>
      <c r="AY96" s="8"/>
      <c r="AZ96" s="24"/>
      <c r="BA96" s="24"/>
      <c r="BB96" s="24"/>
      <c r="BC96" s="24"/>
      <c r="BD96" s="24"/>
      <c r="BE96" s="24"/>
      <c r="BF96" s="24"/>
      <c r="BG96" s="24"/>
      <c r="BJ96" s="24"/>
      <c r="BK96" s="24"/>
      <c r="BL96" s="24"/>
      <c r="BM96" s="24"/>
      <c r="BN96" s="24"/>
      <c r="BO96" s="24"/>
      <c r="BP96" s="24"/>
      <c r="BQ96" s="24"/>
      <c r="BR96" s="24"/>
      <c r="BS96" s="32"/>
      <c r="BT96" s="15"/>
    </row>
    <row r="97" spans="39:72" x14ac:dyDescent="0.25">
      <c r="AM97" s="7"/>
      <c r="AN97" s="7"/>
      <c r="AO97" s="7"/>
      <c r="AP97" s="7"/>
      <c r="AQ97" s="7"/>
      <c r="AW97" s="8"/>
      <c r="AX97" s="8"/>
      <c r="AY97" s="8"/>
      <c r="AZ97" s="24"/>
      <c r="BA97" s="24"/>
      <c r="BB97" s="24"/>
      <c r="BC97" s="24"/>
      <c r="BD97" s="24"/>
      <c r="BE97" s="24"/>
      <c r="BF97" s="24"/>
      <c r="BG97" s="24"/>
      <c r="BJ97" s="24"/>
      <c r="BK97" s="24"/>
      <c r="BL97" s="24"/>
      <c r="BM97" s="24"/>
      <c r="BN97" s="24"/>
      <c r="BO97" s="24"/>
      <c r="BP97" s="24"/>
      <c r="BQ97" s="24"/>
      <c r="BR97" s="24"/>
      <c r="BS97" s="32"/>
      <c r="BT97" s="15"/>
    </row>
    <row r="98" spans="39:72" x14ac:dyDescent="0.25">
      <c r="AM98" s="7"/>
      <c r="AN98" s="7"/>
      <c r="AO98" s="7"/>
      <c r="AP98" s="7"/>
      <c r="AQ98" s="7"/>
      <c r="AW98" s="8"/>
      <c r="AX98" s="8"/>
      <c r="AY98" s="8"/>
      <c r="AZ98" s="24"/>
      <c r="BA98" s="24"/>
      <c r="BB98" s="24"/>
      <c r="BC98" s="24"/>
      <c r="BD98" s="24"/>
      <c r="BE98" s="24"/>
      <c r="BF98" s="24"/>
      <c r="BG98" s="24"/>
      <c r="BJ98" s="24"/>
      <c r="BK98" s="24"/>
      <c r="BL98" s="24"/>
      <c r="BM98" s="24"/>
      <c r="BN98" s="24"/>
      <c r="BO98" s="24"/>
      <c r="BP98" s="24"/>
      <c r="BQ98" s="24"/>
      <c r="BR98" s="24"/>
      <c r="BS98" s="32"/>
      <c r="BT98" s="15"/>
    </row>
    <row r="99" spans="39:72" x14ac:dyDescent="0.25">
      <c r="AM99" s="7"/>
      <c r="AN99" s="7"/>
      <c r="AO99" s="7"/>
      <c r="AP99" s="7"/>
      <c r="AQ99" s="7"/>
      <c r="AW99" s="8"/>
      <c r="AX99" s="8"/>
      <c r="AY99" s="8"/>
      <c r="AZ99" s="24"/>
      <c r="BA99" s="24"/>
      <c r="BB99" s="24"/>
      <c r="BC99" s="24"/>
      <c r="BD99" s="24"/>
      <c r="BE99" s="24"/>
      <c r="BF99" s="24"/>
      <c r="BG99" s="24"/>
      <c r="BJ99" s="24"/>
      <c r="BK99" s="24"/>
      <c r="BL99" s="24"/>
      <c r="BM99" s="24"/>
      <c r="BN99" s="24"/>
      <c r="BO99" s="24"/>
      <c r="BP99" s="24"/>
      <c r="BQ99" s="24"/>
      <c r="BR99" s="24"/>
      <c r="BS99" s="32"/>
      <c r="BT99" s="15"/>
    </row>
    <row r="100" spans="39:72" x14ac:dyDescent="0.25">
      <c r="AM100" s="7"/>
      <c r="AN100" s="7"/>
      <c r="AO100" s="7"/>
      <c r="AP100" s="7"/>
      <c r="AQ100" s="7"/>
      <c r="AW100" s="8"/>
      <c r="AX100" s="8"/>
      <c r="AY100" s="8"/>
      <c r="AZ100" s="24"/>
      <c r="BA100" s="24"/>
      <c r="BB100" s="24"/>
      <c r="BC100" s="24"/>
      <c r="BD100" s="24"/>
      <c r="BE100" s="24"/>
      <c r="BF100" s="24"/>
      <c r="BG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32"/>
      <c r="BT100" s="15"/>
    </row>
    <row r="101" spans="39:72" x14ac:dyDescent="0.25">
      <c r="AM101" s="7"/>
      <c r="AN101" s="7"/>
      <c r="AO101" s="7"/>
      <c r="AP101" s="7"/>
      <c r="AQ101" s="7"/>
      <c r="AW101" s="8"/>
      <c r="AX101" s="8"/>
      <c r="AY101" s="8"/>
      <c r="AZ101" s="24"/>
      <c r="BA101" s="24"/>
      <c r="BB101" s="24"/>
      <c r="BC101" s="24"/>
      <c r="BD101" s="24"/>
      <c r="BE101" s="24"/>
      <c r="BF101" s="24"/>
      <c r="BG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32"/>
      <c r="BT101" s="15"/>
    </row>
    <row r="102" spans="39:72" x14ac:dyDescent="0.25">
      <c r="AM102" s="7"/>
      <c r="AN102" s="7"/>
      <c r="AO102" s="7"/>
      <c r="AP102" s="7"/>
      <c r="AQ102" s="7"/>
      <c r="AW102" s="8"/>
      <c r="AX102" s="8"/>
      <c r="AY102" s="8"/>
      <c r="AZ102" s="24"/>
      <c r="BA102" s="24"/>
      <c r="BB102" s="24"/>
      <c r="BC102" s="24"/>
      <c r="BD102" s="24"/>
      <c r="BE102" s="24"/>
      <c r="BF102" s="24"/>
      <c r="BG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32"/>
      <c r="BT102" s="15"/>
    </row>
    <row r="103" spans="39:72" x14ac:dyDescent="0.25">
      <c r="AM103" s="7"/>
      <c r="AN103" s="7"/>
      <c r="AO103" s="7"/>
      <c r="AP103" s="7"/>
      <c r="AQ103" s="7"/>
      <c r="AW103" s="8"/>
      <c r="AX103" s="8"/>
      <c r="AY103" s="8"/>
      <c r="AZ103" s="24"/>
      <c r="BA103" s="24"/>
      <c r="BB103" s="24"/>
      <c r="BC103" s="24"/>
      <c r="BD103" s="24"/>
      <c r="BE103" s="24"/>
      <c r="BF103" s="24"/>
      <c r="BG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32"/>
      <c r="BT103" s="15"/>
    </row>
    <row r="104" spans="39:72" x14ac:dyDescent="0.25">
      <c r="AM104" s="7"/>
      <c r="AN104" s="7"/>
      <c r="AO104" s="7"/>
      <c r="AP104" s="7"/>
      <c r="AQ104" s="7"/>
      <c r="AW104" s="8"/>
      <c r="AX104" s="8"/>
      <c r="AY104" s="8"/>
      <c r="AZ104" s="24"/>
      <c r="BA104" s="24"/>
      <c r="BB104" s="24"/>
      <c r="BC104" s="24"/>
      <c r="BD104" s="24"/>
      <c r="BE104" s="24"/>
      <c r="BF104" s="24"/>
      <c r="BG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32"/>
      <c r="BT104" s="15"/>
    </row>
    <row r="105" spans="39:72" x14ac:dyDescent="0.25">
      <c r="AM105" s="7"/>
      <c r="AN105" s="7"/>
      <c r="AO105" s="7"/>
      <c r="AP105" s="7"/>
      <c r="AQ105" s="7"/>
      <c r="AW105" s="8"/>
      <c r="AX105" s="8"/>
      <c r="AY105" s="8"/>
      <c r="AZ105" s="24"/>
      <c r="BA105" s="24"/>
      <c r="BB105" s="24"/>
      <c r="BC105" s="24"/>
      <c r="BD105" s="24"/>
      <c r="BE105" s="24"/>
      <c r="BF105" s="24"/>
      <c r="BG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32"/>
      <c r="BT105" s="15"/>
    </row>
    <row r="106" spans="39:72" x14ac:dyDescent="0.25">
      <c r="AM106" s="7"/>
      <c r="AN106" s="7"/>
      <c r="AO106" s="7"/>
      <c r="AP106" s="7"/>
      <c r="AQ106" s="7"/>
      <c r="AW106" s="8"/>
      <c r="AX106" s="8"/>
      <c r="AY106" s="8"/>
      <c r="AZ106" s="24"/>
      <c r="BA106" s="24"/>
      <c r="BB106" s="24"/>
      <c r="BC106" s="24"/>
      <c r="BD106" s="24"/>
      <c r="BE106" s="24"/>
      <c r="BF106" s="24"/>
      <c r="BG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32"/>
      <c r="BT106" s="15"/>
    </row>
    <row r="107" spans="39:72" x14ac:dyDescent="0.25">
      <c r="AM107" s="7"/>
      <c r="AN107" s="7"/>
      <c r="AO107" s="7"/>
      <c r="AP107" s="7"/>
      <c r="AQ107" s="7"/>
      <c r="AW107" s="8"/>
      <c r="AX107" s="8"/>
      <c r="AY107" s="8"/>
      <c r="AZ107" s="24"/>
      <c r="BA107" s="24"/>
      <c r="BB107" s="24"/>
      <c r="BC107" s="24"/>
      <c r="BD107" s="24"/>
      <c r="BE107" s="24"/>
      <c r="BF107" s="24"/>
      <c r="BG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32"/>
      <c r="BT107" s="15"/>
    </row>
    <row r="108" spans="39:72" x14ac:dyDescent="0.25">
      <c r="AM108" s="7"/>
      <c r="AN108" s="7"/>
      <c r="AO108" s="7"/>
      <c r="AP108" s="7"/>
      <c r="AQ108" s="7"/>
      <c r="AW108" s="8"/>
      <c r="AX108" s="8"/>
      <c r="AY108" s="8"/>
      <c r="AZ108" s="24"/>
      <c r="BA108" s="24"/>
      <c r="BB108" s="24"/>
      <c r="BC108" s="24"/>
      <c r="BD108" s="24"/>
      <c r="BE108" s="24"/>
      <c r="BF108" s="24"/>
      <c r="BG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32"/>
      <c r="BT108" s="15"/>
    </row>
    <row r="109" spans="39:72" x14ac:dyDescent="0.25">
      <c r="AM109" s="7"/>
      <c r="AN109" s="7"/>
      <c r="AO109" s="7"/>
      <c r="AP109" s="7"/>
      <c r="AQ109" s="7"/>
      <c r="AW109" s="8"/>
      <c r="AX109" s="8"/>
      <c r="AY109" s="8"/>
      <c r="AZ109" s="24"/>
      <c r="BA109" s="24"/>
      <c r="BB109" s="24"/>
      <c r="BC109" s="24"/>
      <c r="BD109" s="24"/>
      <c r="BE109" s="24"/>
      <c r="BF109" s="24"/>
      <c r="BG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32"/>
      <c r="BT109" s="15"/>
    </row>
    <row r="110" spans="39:72" x14ac:dyDescent="0.25">
      <c r="AM110" s="7"/>
      <c r="AN110" s="7"/>
      <c r="AO110" s="7"/>
      <c r="AP110" s="7"/>
      <c r="AQ110" s="7"/>
      <c r="AW110" s="8"/>
      <c r="AX110" s="8"/>
      <c r="AY110" s="8"/>
      <c r="AZ110" s="24"/>
      <c r="BA110" s="24"/>
      <c r="BB110" s="24"/>
      <c r="BC110" s="24"/>
      <c r="BD110" s="24"/>
      <c r="BE110" s="24"/>
      <c r="BF110" s="24"/>
      <c r="BG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32"/>
      <c r="BT110" s="15"/>
    </row>
    <row r="111" spans="39:72" x14ac:dyDescent="0.25">
      <c r="AM111" s="7"/>
      <c r="AN111" s="7"/>
      <c r="AO111" s="7"/>
      <c r="AP111" s="7"/>
      <c r="AQ111" s="7"/>
      <c r="AW111" s="8"/>
      <c r="AX111" s="8"/>
      <c r="AY111" s="8"/>
      <c r="AZ111" s="24"/>
      <c r="BA111" s="24"/>
      <c r="BB111" s="24"/>
      <c r="BC111" s="24"/>
      <c r="BD111" s="24"/>
      <c r="BE111" s="24"/>
      <c r="BF111" s="24"/>
      <c r="BG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32"/>
      <c r="BT111" s="15"/>
    </row>
    <row r="112" spans="39:72" x14ac:dyDescent="0.25">
      <c r="AM112" s="7"/>
      <c r="AN112" s="7"/>
      <c r="AO112" s="7"/>
      <c r="AP112" s="7"/>
      <c r="AQ112" s="7"/>
      <c r="AW112" s="8"/>
      <c r="AX112" s="8"/>
      <c r="AY112" s="8"/>
      <c r="AZ112" s="24"/>
      <c r="BA112" s="24"/>
      <c r="BB112" s="24"/>
      <c r="BC112" s="24"/>
      <c r="BD112" s="24"/>
      <c r="BE112" s="24"/>
      <c r="BF112" s="24"/>
      <c r="BG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32"/>
      <c r="BT112" s="15"/>
    </row>
    <row r="113" spans="39:72" x14ac:dyDescent="0.25">
      <c r="AM113" s="7"/>
      <c r="AN113" s="7"/>
      <c r="AO113" s="7"/>
      <c r="AP113" s="7"/>
      <c r="AQ113" s="7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J113" s="8"/>
      <c r="BK113" s="8"/>
      <c r="BL113" s="8"/>
      <c r="BM113" s="8"/>
      <c r="BN113" s="8"/>
      <c r="BO113" s="8"/>
      <c r="BP113" s="8"/>
      <c r="BQ113" s="8"/>
      <c r="BR113" s="8"/>
      <c r="BS113" s="14"/>
      <c r="BT113" s="7"/>
    </row>
    <row r="114" spans="39:72" x14ac:dyDescent="0.25">
      <c r="AM114" s="7"/>
      <c r="AN114" s="7"/>
      <c r="AO114" s="7"/>
      <c r="AP114" s="7"/>
      <c r="AQ114" s="7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J114" s="8"/>
      <c r="BK114" s="8"/>
      <c r="BL114" s="8"/>
      <c r="BM114" s="8"/>
      <c r="BN114" s="8"/>
      <c r="BO114" s="8"/>
      <c r="BP114" s="8"/>
      <c r="BQ114" s="8"/>
      <c r="BR114" s="8"/>
      <c r="BS114" s="14"/>
      <c r="BT114" s="7"/>
    </row>
    <row r="115" spans="39:72" x14ac:dyDescent="0.25">
      <c r="AM115" s="7"/>
      <c r="AN115" s="7"/>
      <c r="AO115" s="7"/>
      <c r="AP115" s="7"/>
      <c r="AQ115" s="7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J115" s="8"/>
      <c r="BK115" s="8"/>
      <c r="BL115" s="8"/>
      <c r="BM115" s="8"/>
      <c r="BN115" s="8"/>
      <c r="BO115" s="8"/>
      <c r="BP115" s="8"/>
      <c r="BQ115" s="8"/>
      <c r="BR115" s="8"/>
      <c r="BS115" s="14"/>
    </row>
    <row r="116" spans="39:72" x14ac:dyDescent="0.25">
      <c r="AM116" s="7"/>
      <c r="AN116" s="7"/>
      <c r="AO116" s="7"/>
      <c r="AP116" s="7"/>
      <c r="AQ116" s="7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J116" s="8"/>
      <c r="BK116" s="8"/>
      <c r="BL116" s="8"/>
      <c r="BM116" s="8"/>
      <c r="BN116" s="8"/>
      <c r="BO116" s="8"/>
      <c r="BP116" s="8"/>
      <c r="BQ116" s="8"/>
      <c r="BR116" s="8"/>
      <c r="BS116" s="14"/>
    </row>
    <row r="117" spans="39:72" x14ac:dyDescent="0.25">
      <c r="AM117" s="7"/>
      <c r="AN117" s="7"/>
      <c r="AO117" s="7"/>
      <c r="AP117" s="7"/>
      <c r="AQ117" s="7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J117" s="8"/>
      <c r="BK117" s="8"/>
      <c r="BL117" s="8"/>
      <c r="BM117" s="8"/>
      <c r="BN117" s="8"/>
      <c r="BO117" s="8"/>
      <c r="BP117" s="8"/>
      <c r="BQ117" s="8"/>
      <c r="BR117" s="8"/>
      <c r="BS117" s="14"/>
    </row>
    <row r="118" spans="39:72" x14ac:dyDescent="0.25">
      <c r="AM118" s="7"/>
      <c r="AN118" s="7"/>
      <c r="AO118" s="7"/>
      <c r="AP118" s="7"/>
      <c r="AQ118" s="7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J118" s="8"/>
      <c r="BK118" s="8"/>
      <c r="BL118" s="8"/>
      <c r="BM118" s="8"/>
      <c r="BN118" s="8"/>
      <c r="BO118" s="8"/>
      <c r="BP118" s="8"/>
      <c r="BQ118" s="8"/>
      <c r="BR118" s="8"/>
      <c r="BS118" s="14"/>
    </row>
    <row r="119" spans="39:72" x14ac:dyDescent="0.25">
      <c r="AM119" s="7"/>
      <c r="AN119" s="7"/>
      <c r="AO119" s="7"/>
      <c r="AP119" s="7"/>
      <c r="AQ119" s="7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J119" s="8"/>
      <c r="BK119" s="8"/>
      <c r="BL119" s="8"/>
      <c r="BM119" s="8"/>
      <c r="BN119" s="8"/>
      <c r="BO119" s="8"/>
      <c r="BP119" s="8"/>
      <c r="BQ119" s="8"/>
      <c r="BR119" s="8"/>
      <c r="BS119" s="14"/>
    </row>
    <row r="120" spans="39:72" x14ac:dyDescent="0.25">
      <c r="AM120" s="7"/>
      <c r="AN120" s="7"/>
      <c r="AO120" s="7"/>
      <c r="AP120" s="7"/>
      <c r="AQ120" s="7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J120" s="8"/>
      <c r="BK120" s="8"/>
      <c r="BL120" s="8"/>
      <c r="BM120" s="8"/>
      <c r="BN120" s="8"/>
      <c r="BO120" s="8"/>
      <c r="BP120" s="8"/>
      <c r="BQ120" s="8"/>
      <c r="BR120" s="8"/>
      <c r="BS120" s="14"/>
    </row>
    <row r="121" spans="39:72" x14ac:dyDescent="0.25">
      <c r="AM121" s="7"/>
      <c r="AN121" s="7"/>
      <c r="AO121" s="7"/>
      <c r="AP121" s="7"/>
      <c r="AQ121" s="7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J121" s="8"/>
      <c r="BK121" s="8"/>
      <c r="BL121" s="8"/>
      <c r="BM121" s="8"/>
      <c r="BN121" s="8"/>
      <c r="BO121" s="8"/>
      <c r="BP121" s="8"/>
      <c r="BQ121" s="8"/>
      <c r="BR121" s="8"/>
      <c r="BS121" s="14"/>
    </row>
    <row r="122" spans="39:72" x14ac:dyDescent="0.25">
      <c r="AM122" s="7"/>
      <c r="AN122" s="7"/>
      <c r="AO122" s="7"/>
      <c r="AP122" s="7"/>
      <c r="AQ122" s="7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J122" s="8"/>
      <c r="BK122" s="8"/>
      <c r="BL122" s="8"/>
      <c r="BM122" s="8"/>
      <c r="BN122" s="8"/>
      <c r="BO122" s="8"/>
      <c r="BP122" s="8"/>
      <c r="BQ122" s="8"/>
      <c r="BR122" s="8"/>
      <c r="BS122" s="14"/>
    </row>
    <row r="123" spans="39:72" x14ac:dyDescent="0.25">
      <c r="AM123" s="7"/>
      <c r="AN123" s="7"/>
      <c r="AO123" s="7"/>
      <c r="AP123" s="7"/>
      <c r="AQ123" s="7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J123" s="8"/>
      <c r="BK123" s="8"/>
      <c r="BL123" s="8"/>
      <c r="BM123" s="8"/>
      <c r="BN123" s="8"/>
      <c r="BO123" s="8"/>
      <c r="BP123" s="8"/>
      <c r="BQ123" s="8"/>
      <c r="BR123" s="8"/>
      <c r="BS123" s="14"/>
    </row>
    <row r="124" spans="39:72" x14ac:dyDescent="0.25">
      <c r="AM124" s="7"/>
      <c r="AN124" s="7"/>
      <c r="AO124" s="7"/>
      <c r="AP124" s="7"/>
      <c r="AQ124" s="7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J124" s="8"/>
      <c r="BK124" s="8"/>
      <c r="BL124" s="8"/>
      <c r="BM124" s="8"/>
      <c r="BN124" s="8"/>
      <c r="BO124" s="8"/>
      <c r="BP124" s="8"/>
      <c r="BQ124" s="8"/>
      <c r="BR124" s="8"/>
      <c r="BS124" s="14"/>
    </row>
    <row r="125" spans="39:72" x14ac:dyDescent="0.25">
      <c r="AM125" s="7"/>
      <c r="AN125" s="7"/>
      <c r="AO125" s="7"/>
      <c r="AP125" s="7"/>
      <c r="AQ125" s="7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J125" s="8"/>
      <c r="BK125" s="8"/>
      <c r="BL125" s="8"/>
      <c r="BM125" s="8"/>
      <c r="BN125" s="8"/>
      <c r="BO125" s="8"/>
      <c r="BP125" s="8"/>
      <c r="BQ125" s="8"/>
      <c r="BR125" s="8"/>
      <c r="BS125" s="14"/>
    </row>
    <row r="126" spans="39:72" x14ac:dyDescent="0.25">
      <c r="AM126" s="7"/>
      <c r="AN126" s="7"/>
      <c r="AO126" s="7"/>
      <c r="AP126" s="7"/>
      <c r="AQ126" s="7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J126" s="8"/>
      <c r="BK126" s="8"/>
      <c r="BL126" s="8"/>
      <c r="BM126" s="8"/>
      <c r="BN126" s="8"/>
      <c r="BO126" s="8"/>
      <c r="BP126" s="8"/>
      <c r="BQ126" s="8"/>
      <c r="BR126" s="8"/>
      <c r="BS126" s="14"/>
    </row>
    <row r="127" spans="39:72" x14ac:dyDescent="0.25">
      <c r="AM127" s="7"/>
      <c r="AN127" s="7"/>
      <c r="AO127" s="7"/>
      <c r="AP127" s="7"/>
      <c r="AQ127" s="7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J127" s="8"/>
      <c r="BK127" s="8"/>
      <c r="BL127" s="8"/>
      <c r="BM127" s="8"/>
      <c r="BN127" s="8"/>
      <c r="BO127" s="8"/>
      <c r="BP127" s="8"/>
      <c r="BQ127" s="8"/>
      <c r="BR127" s="8"/>
      <c r="BS127" s="14"/>
    </row>
    <row r="128" spans="39:72" x14ac:dyDescent="0.25">
      <c r="AM128" s="7"/>
      <c r="AN128" s="7"/>
      <c r="AO128" s="7"/>
      <c r="AP128" s="7"/>
      <c r="AQ128" s="7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J128" s="8"/>
      <c r="BK128" s="8"/>
      <c r="BL128" s="8"/>
      <c r="BM128" s="8"/>
      <c r="BN128" s="8"/>
      <c r="BO128" s="8"/>
      <c r="BP128" s="8"/>
      <c r="BQ128" s="8"/>
      <c r="BR128" s="8"/>
      <c r="BS128" s="14"/>
    </row>
    <row r="129" spans="39:71" x14ac:dyDescent="0.25">
      <c r="AM129" s="7"/>
      <c r="AN129" s="7"/>
      <c r="AO129" s="7"/>
      <c r="AP129" s="7"/>
      <c r="AQ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J129" s="8"/>
      <c r="BK129" s="8"/>
      <c r="BL129" s="8"/>
      <c r="BM129" s="8"/>
      <c r="BN129" s="8"/>
      <c r="BO129" s="8"/>
      <c r="BP129" s="8"/>
      <c r="BQ129" s="8"/>
      <c r="BR129" s="8"/>
      <c r="BS129" s="14"/>
    </row>
    <row r="130" spans="39:71" x14ac:dyDescent="0.25">
      <c r="AM130" s="7"/>
      <c r="AN130" s="7"/>
      <c r="AO130" s="7"/>
      <c r="AP130" s="7"/>
      <c r="AQ130" s="7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J130" s="8"/>
      <c r="BK130" s="8"/>
      <c r="BL130" s="8"/>
      <c r="BM130" s="8"/>
      <c r="BN130" s="8"/>
      <c r="BO130" s="8"/>
      <c r="BP130" s="8"/>
      <c r="BQ130" s="8"/>
      <c r="BR130" s="8"/>
      <c r="BS130" s="14"/>
    </row>
    <row r="131" spans="39:71" x14ac:dyDescent="0.25">
      <c r="AM131" s="7"/>
      <c r="AN131" s="7"/>
      <c r="AO131" s="7"/>
      <c r="AP131" s="7"/>
      <c r="AQ131" s="7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J131" s="8"/>
      <c r="BK131" s="8"/>
      <c r="BL131" s="8"/>
      <c r="BM131" s="8"/>
      <c r="BN131" s="8"/>
      <c r="BO131" s="8"/>
      <c r="BP131" s="8"/>
      <c r="BQ131" s="8"/>
      <c r="BR131" s="8"/>
      <c r="BS131" s="14"/>
    </row>
    <row r="132" spans="39:71" x14ac:dyDescent="0.25">
      <c r="AM132" s="7"/>
      <c r="AN132" s="7"/>
      <c r="AO132" s="7"/>
      <c r="AP132" s="7"/>
      <c r="AQ132" s="7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J132" s="8"/>
      <c r="BK132" s="8"/>
      <c r="BL132" s="8"/>
      <c r="BM132" s="8"/>
      <c r="BN132" s="8"/>
      <c r="BO132" s="8"/>
      <c r="BP132" s="8"/>
      <c r="BQ132" s="8"/>
      <c r="BR132" s="8"/>
      <c r="BS132" s="14"/>
    </row>
    <row r="133" spans="39:71" x14ac:dyDescent="0.25">
      <c r="AM133" s="7"/>
      <c r="AN133" s="7"/>
      <c r="AO133" s="7"/>
      <c r="AP133" s="7"/>
      <c r="AQ133" s="7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J133" s="8"/>
      <c r="BK133" s="8"/>
      <c r="BL133" s="8"/>
      <c r="BM133" s="8"/>
      <c r="BN133" s="8"/>
      <c r="BO133" s="8"/>
      <c r="BP133" s="8"/>
      <c r="BQ133" s="8"/>
      <c r="BR133" s="8"/>
      <c r="BS133" s="14"/>
    </row>
    <row r="134" spans="39:71" x14ac:dyDescent="0.25">
      <c r="AM134" s="7"/>
      <c r="AN134" s="7"/>
      <c r="AO134" s="7"/>
      <c r="AP134" s="7"/>
      <c r="AQ134" s="7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J134" s="8"/>
      <c r="BK134" s="8"/>
      <c r="BL134" s="8"/>
      <c r="BM134" s="8"/>
      <c r="BN134" s="8"/>
      <c r="BO134" s="8"/>
      <c r="BP134" s="8"/>
      <c r="BQ134" s="8"/>
      <c r="BR134" s="8"/>
      <c r="BS134" s="14"/>
    </row>
    <row r="135" spans="39:71" x14ac:dyDescent="0.25">
      <c r="AM135" s="7"/>
      <c r="AN135" s="7"/>
      <c r="AO135" s="7"/>
      <c r="AP135" s="7"/>
      <c r="AQ135" s="7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J135" s="8"/>
      <c r="BK135" s="8"/>
      <c r="BL135" s="8"/>
      <c r="BM135" s="8"/>
      <c r="BN135" s="8"/>
      <c r="BO135" s="8"/>
      <c r="BP135" s="8"/>
      <c r="BQ135" s="8"/>
      <c r="BR135" s="8"/>
      <c r="BS135" s="14"/>
    </row>
    <row r="136" spans="39:71" x14ac:dyDescent="0.25">
      <c r="AM136" s="7"/>
      <c r="AN136" s="7"/>
      <c r="AO136" s="7"/>
      <c r="AP136" s="7"/>
      <c r="AQ136" s="7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J136" s="8"/>
      <c r="BK136" s="8"/>
      <c r="BL136" s="8"/>
      <c r="BM136" s="8"/>
      <c r="BN136" s="8"/>
      <c r="BO136" s="8"/>
      <c r="BP136" s="8"/>
      <c r="BQ136" s="8"/>
      <c r="BR136" s="8"/>
      <c r="BS136" s="14"/>
    </row>
    <row r="137" spans="39:71" x14ac:dyDescent="0.25">
      <c r="AM137" s="7"/>
      <c r="AN137" s="7"/>
      <c r="AO137" s="7"/>
      <c r="AP137" s="7"/>
      <c r="AQ137" s="7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J137" s="8"/>
      <c r="BK137" s="8"/>
      <c r="BL137" s="8"/>
      <c r="BM137" s="8"/>
      <c r="BN137" s="8"/>
      <c r="BO137" s="8"/>
      <c r="BP137" s="8"/>
      <c r="BQ137" s="8"/>
      <c r="BR137" s="8"/>
      <c r="BS137" s="14"/>
    </row>
    <row r="138" spans="39:71" x14ac:dyDescent="0.25">
      <c r="AM138" s="7"/>
      <c r="AN138" s="7"/>
      <c r="AO138" s="7"/>
      <c r="AP138" s="7"/>
      <c r="AQ138" s="7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J138" s="8"/>
      <c r="BK138" s="8"/>
      <c r="BL138" s="8"/>
      <c r="BM138" s="8"/>
      <c r="BN138" s="8"/>
      <c r="BO138" s="8"/>
      <c r="BP138" s="8"/>
      <c r="BQ138" s="8"/>
      <c r="BR138" s="8"/>
      <c r="BS138" s="14"/>
    </row>
    <row r="139" spans="39:71" x14ac:dyDescent="0.25">
      <c r="AM139" s="7"/>
      <c r="AN139" s="7"/>
      <c r="AO139" s="7"/>
      <c r="AP139" s="7"/>
      <c r="AQ139" s="7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J139" s="8"/>
      <c r="BK139" s="8"/>
      <c r="BL139" s="8"/>
      <c r="BM139" s="8"/>
      <c r="BN139" s="8"/>
      <c r="BO139" s="8"/>
      <c r="BP139" s="8"/>
      <c r="BQ139" s="8"/>
      <c r="BR139" s="8"/>
      <c r="BS139" s="14"/>
    </row>
    <row r="140" spans="39:71" x14ac:dyDescent="0.25">
      <c r="AM140" s="7"/>
      <c r="AN140" s="7"/>
      <c r="AO140" s="7"/>
      <c r="AP140" s="7"/>
      <c r="AQ140" s="7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J140" s="8"/>
      <c r="BK140" s="8"/>
      <c r="BL140" s="8"/>
      <c r="BM140" s="8"/>
      <c r="BN140" s="8"/>
      <c r="BO140" s="8"/>
      <c r="BP140" s="8"/>
      <c r="BQ140" s="8"/>
      <c r="BR140" s="8"/>
      <c r="BS140" s="14"/>
    </row>
    <row r="141" spans="39:71" x14ac:dyDescent="0.25">
      <c r="AM141" s="7"/>
      <c r="AN141" s="7"/>
      <c r="AO141" s="7"/>
      <c r="AP141" s="7"/>
      <c r="AQ141" s="7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J141" s="8"/>
      <c r="BK141" s="8"/>
      <c r="BL141" s="8"/>
      <c r="BM141" s="8"/>
      <c r="BN141" s="8"/>
      <c r="BO141" s="8"/>
      <c r="BP141" s="8"/>
      <c r="BQ141" s="8"/>
      <c r="BR141" s="8"/>
      <c r="BS141" s="14"/>
    </row>
    <row r="142" spans="39:71" x14ac:dyDescent="0.25">
      <c r="AM142" s="7"/>
      <c r="AN142" s="7"/>
      <c r="AO142" s="7"/>
      <c r="AP142" s="7"/>
      <c r="AQ142" s="7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J142" s="8"/>
      <c r="BK142" s="8"/>
      <c r="BL142" s="8"/>
      <c r="BM142" s="8"/>
      <c r="BN142" s="8"/>
      <c r="BO142" s="8"/>
      <c r="BP142" s="8"/>
      <c r="BQ142" s="8"/>
      <c r="BR142" s="8"/>
      <c r="BS142" s="14"/>
    </row>
    <row r="143" spans="39:71" x14ac:dyDescent="0.25">
      <c r="AM143" s="7"/>
      <c r="AN143" s="7"/>
      <c r="AO143" s="7"/>
      <c r="AP143" s="7"/>
      <c r="AQ143" s="7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J143" s="8"/>
      <c r="BK143" s="8"/>
      <c r="BL143" s="8"/>
      <c r="BM143" s="8"/>
      <c r="BN143" s="8"/>
      <c r="BO143" s="8"/>
      <c r="BP143" s="8"/>
      <c r="BQ143" s="8"/>
      <c r="BR143" s="8"/>
      <c r="BS143" s="14"/>
    </row>
    <row r="144" spans="39:71" x14ac:dyDescent="0.25">
      <c r="AM144" s="7"/>
      <c r="AN144" s="7"/>
      <c r="AO144" s="7"/>
      <c r="AP144" s="7"/>
      <c r="AQ144" s="7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J144" s="8"/>
      <c r="BK144" s="8"/>
      <c r="BL144" s="8"/>
      <c r="BM144" s="8"/>
      <c r="BN144" s="8"/>
      <c r="BO144" s="8"/>
      <c r="BP144" s="8"/>
      <c r="BQ144" s="8"/>
      <c r="BR144" s="8"/>
      <c r="BS144" s="14"/>
    </row>
    <row r="145" spans="39:71" x14ac:dyDescent="0.25">
      <c r="AM145" s="7"/>
      <c r="AN145" s="7"/>
      <c r="AO145" s="7"/>
      <c r="AP145" s="7"/>
      <c r="AQ145" s="7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J145" s="8"/>
      <c r="BK145" s="8"/>
      <c r="BL145" s="8"/>
      <c r="BM145" s="8"/>
      <c r="BN145" s="8"/>
      <c r="BO145" s="8"/>
      <c r="BP145" s="8"/>
      <c r="BQ145" s="8"/>
      <c r="BR145" s="8"/>
      <c r="BS145" s="14"/>
    </row>
    <row r="146" spans="39:71" x14ac:dyDescent="0.25">
      <c r="AM146" s="7"/>
      <c r="AN146" s="7"/>
      <c r="AO146" s="7"/>
      <c r="AP146" s="7"/>
      <c r="AQ146" s="7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14"/>
    </row>
    <row r="147" spans="39:71" x14ac:dyDescent="0.25">
      <c r="AM147" s="7"/>
      <c r="AN147" s="7"/>
      <c r="AO147" s="7"/>
      <c r="AP147" s="7"/>
      <c r="AQ147" s="7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14"/>
    </row>
    <row r="148" spans="39:71" x14ac:dyDescent="0.25">
      <c r="AM148" s="7"/>
      <c r="AN148" s="7"/>
      <c r="AO148" s="7"/>
      <c r="AP148" s="7"/>
      <c r="AQ148" s="7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14"/>
    </row>
    <row r="149" spans="39:71" x14ac:dyDescent="0.25">
      <c r="AM149" s="7"/>
      <c r="AN149" s="7"/>
      <c r="AO149" s="7"/>
      <c r="AP149" s="7"/>
      <c r="AQ149" s="7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14"/>
    </row>
    <row r="150" spans="39:71" x14ac:dyDescent="0.25">
      <c r="AM150" s="7"/>
      <c r="AN150" s="7"/>
      <c r="AO150" s="7"/>
      <c r="AP150" s="7"/>
      <c r="AQ150" s="7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14"/>
    </row>
    <row r="151" spans="39:71" x14ac:dyDescent="0.25">
      <c r="AM151" s="7"/>
      <c r="AN151" s="7"/>
      <c r="AO151" s="7"/>
      <c r="AP151" s="7"/>
      <c r="AQ151" s="7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14"/>
    </row>
    <row r="152" spans="39:71" x14ac:dyDescent="0.25">
      <c r="AM152" s="7"/>
      <c r="AN152" s="7"/>
      <c r="AO152" s="7"/>
      <c r="AP152" s="7"/>
      <c r="AQ152" s="7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14"/>
    </row>
    <row r="153" spans="39:71" x14ac:dyDescent="0.25">
      <c r="AM153" s="7"/>
      <c r="AN153" s="7"/>
      <c r="AO153" s="7"/>
      <c r="AP153" s="7"/>
      <c r="AQ153" s="7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14"/>
    </row>
    <row r="154" spans="39:71" x14ac:dyDescent="0.25">
      <c r="AM154" s="7"/>
      <c r="AN154" s="7"/>
      <c r="AO154" s="7"/>
      <c r="AP154" s="7"/>
      <c r="AQ154" s="7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14"/>
    </row>
    <row r="155" spans="39:71" x14ac:dyDescent="0.25">
      <c r="AM155" s="7"/>
      <c r="AN155" s="7"/>
      <c r="AO155" s="7"/>
      <c r="AP155" s="7"/>
      <c r="AQ155" s="7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14"/>
    </row>
    <row r="156" spans="39:71" x14ac:dyDescent="0.25">
      <c r="AM156" s="7"/>
      <c r="AN156" s="7"/>
      <c r="AO156" s="7"/>
      <c r="AP156" s="7"/>
      <c r="AQ156" s="7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14"/>
    </row>
    <row r="157" spans="39:71" x14ac:dyDescent="0.25">
      <c r="AM157" s="7"/>
      <c r="AN157" s="7"/>
      <c r="AO157" s="7"/>
      <c r="AP157" s="7"/>
      <c r="AQ157" s="7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14"/>
    </row>
    <row r="158" spans="39:71" x14ac:dyDescent="0.25">
      <c r="AM158" s="7"/>
      <c r="AN158" s="7"/>
      <c r="AO158" s="7"/>
      <c r="AP158" s="7"/>
      <c r="AQ158" s="7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14"/>
    </row>
    <row r="159" spans="39:71" x14ac:dyDescent="0.25">
      <c r="AM159" s="7"/>
      <c r="AN159" s="7"/>
      <c r="AO159" s="7"/>
      <c r="AP159" s="7"/>
      <c r="AQ159" s="7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14"/>
    </row>
    <row r="160" spans="39:71" x14ac:dyDescent="0.25">
      <c r="AM160" s="7"/>
      <c r="AN160" s="7"/>
      <c r="AO160" s="7"/>
      <c r="AP160" s="7"/>
      <c r="AQ160" s="7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14"/>
    </row>
    <row r="161" spans="39:71" x14ac:dyDescent="0.25">
      <c r="AM161" s="7"/>
      <c r="AN161" s="7"/>
      <c r="AO161" s="7"/>
      <c r="AP161" s="7"/>
      <c r="AQ161" s="7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14"/>
    </row>
    <row r="162" spans="39:71" x14ac:dyDescent="0.25">
      <c r="AM162" s="7"/>
      <c r="AN162" s="7"/>
      <c r="AO162" s="7"/>
      <c r="AP162" s="7"/>
      <c r="AQ162" s="7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14"/>
    </row>
    <row r="163" spans="39:71" x14ac:dyDescent="0.25">
      <c r="AM163" s="7"/>
      <c r="AN163" s="7"/>
      <c r="AO163" s="7"/>
      <c r="AP163" s="7"/>
      <c r="AQ163" s="7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14"/>
    </row>
    <row r="164" spans="39:71" x14ac:dyDescent="0.25">
      <c r="AM164" s="7"/>
      <c r="AN164" s="7"/>
      <c r="AO164" s="7"/>
      <c r="AP164" s="7"/>
      <c r="AQ164" s="7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14"/>
    </row>
    <row r="165" spans="39:71" x14ac:dyDescent="0.25">
      <c r="AM165" s="7"/>
      <c r="AN165" s="7"/>
      <c r="AO165" s="7"/>
      <c r="AP165" s="7"/>
      <c r="AQ165" s="7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14"/>
    </row>
    <row r="166" spans="39:71" x14ac:dyDescent="0.25">
      <c r="AM166" s="7"/>
      <c r="AN166" s="7"/>
      <c r="AO166" s="7"/>
      <c r="AP166" s="7"/>
      <c r="AQ166" s="7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14"/>
    </row>
    <row r="167" spans="39:71" x14ac:dyDescent="0.25">
      <c r="AM167" s="7"/>
      <c r="AN167" s="7"/>
      <c r="AO167" s="7"/>
      <c r="AP167" s="7"/>
      <c r="AQ167" s="7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14"/>
    </row>
    <row r="168" spans="39:71" x14ac:dyDescent="0.25">
      <c r="AM168" s="7"/>
      <c r="AN168" s="7"/>
      <c r="AO168" s="7"/>
      <c r="AP168" s="7"/>
      <c r="AQ168" s="7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14"/>
    </row>
    <row r="169" spans="39:71" x14ac:dyDescent="0.25">
      <c r="AM169" s="7"/>
      <c r="AN169" s="7"/>
      <c r="AO169" s="7"/>
      <c r="AP169" s="7"/>
      <c r="AQ169" s="7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14"/>
    </row>
    <row r="170" spans="39:71" x14ac:dyDescent="0.25">
      <c r="AM170" s="7"/>
      <c r="AN170" s="7"/>
      <c r="AO170" s="7"/>
      <c r="AP170" s="7"/>
      <c r="AQ170" s="7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14"/>
    </row>
    <row r="171" spans="39:71" x14ac:dyDescent="0.25">
      <c r="AM171" s="7"/>
      <c r="AN171" s="7"/>
      <c r="AO171" s="7"/>
      <c r="AP171" s="7"/>
      <c r="AQ171" s="7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14"/>
    </row>
    <row r="172" spans="39:71" x14ac:dyDescent="0.25">
      <c r="AM172" s="7"/>
      <c r="AN172" s="7"/>
      <c r="AO172" s="7"/>
      <c r="AP172" s="7"/>
      <c r="AQ172" s="7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14"/>
    </row>
    <row r="173" spans="39:71" x14ac:dyDescent="0.25">
      <c r="AM173" s="7"/>
      <c r="AN173" s="7"/>
      <c r="AO173" s="7"/>
      <c r="AP173" s="7"/>
      <c r="AQ173" s="7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14"/>
    </row>
    <row r="174" spans="39:71" x14ac:dyDescent="0.25">
      <c r="AM174" s="7"/>
      <c r="AN174" s="7"/>
      <c r="AO174" s="7"/>
      <c r="AP174" s="7"/>
      <c r="AQ174" s="7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14"/>
    </row>
    <row r="175" spans="39:71" x14ac:dyDescent="0.25">
      <c r="AM175" s="7"/>
      <c r="AN175" s="7"/>
      <c r="AO175" s="7"/>
      <c r="AP175" s="7"/>
      <c r="AQ175" s="7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14"/>
    </row>
    <row r="176" spans="39:71" x14ac:dyDescent="0.25">
      <c r="AM176" s="7"/>
      <c r="AN176" s="7"/>
      <c r="AO176" s="7"/>
      <c r="AP176" s="7"/>
      <c r="AQ176" s="7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14"/>
    </row>
    <row r="177" spans="39:71" x14ac:dyDescent="0.25">
      <c r="AM177" s="7"/>
      <c r="AN177" s="7"/>
      <c r="AO177" s="7"/>
      <c r="AP177" s="7"/>
      <c r="AQ177" s="7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14"/>
    </row>
    <row r="178" spans="39:71" x14ac:dyDescent="0.25">
      <c r="AM178" s="7"/>
      <c r="AN178" s="7"/>
      <c r="AO178" s="7"/>
      <c r="AP178" s="7"/>
      <c r="AQ178" s="7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14"/>
    </row>
    <row r="179" spans="39:71" x14ac:dyDescent="0.25">
      <c r="AM179" s="7"/>
      <c r="AN179" s="7"/>
      <c r="AO179" s="7"/>
      <c r="AP179" s="7"/>
      <c r="AQ179" s="7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14"/>
    </row>
    <row r="180" spans="39:71" x14ac:dyDescent="0.25">
      <c r="AM180" s="7"/>
      <c r="AN180" s="7"/>
      <c r="AO180" s="7"/>
      <c r="AP180" s="7"/>
      <c r="AQ180" s="7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14"/>
    </row>
    <row r="181" spans="39:71" x14ac:dyDescent="0.25">
      <c r="AM181" s="7"/>
      <c r="AN181" s="7"/>
      <c r="AO181" s="7"/>
      <c r="AP181" s="7"/>
      <c r="AQ181" s="7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14"/>
    </row>
    <row r="182" spans="39:71" x14ac:dyDescent="0.25">
      <c r="AM182" s="7"/>
      <c r="AN182" s="7"/>
      <c r="AO182" s="7"/>
      <c r="AP182" s="7"/>
      <c r="AQ182" s="7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14"/>
    </row>
    <row r="183" spans="39:71" x14ac:dyDescent="0.25">
      <c r="AM183" s="7"/>
      <c r="AN183" s="7"/>
      <c r="AO183" s="7"/>
      <c r="AP183" s="7"/>
      <c r="AQ183" s="7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14"/>
    </row>
    <row r="184" spans="39:71" x14ac:dyDescent="0.25">
      <c r="AM184" s="7"/>
      <c r="AN184" s="7"/>
      <c r="AO184" s="7"/>
      <c r="AP184" s="7"/>
      <c r="AQ184" s="7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14"/>
    </row>
    <row r="185" spans="39:71" x14ac:dyDescent="0.25">
      <c r="AM185" s="7"/>
      <c r="AN185" s="7"/>
      <c r="AO185" s="7"/>
      <c r="AP185" s="7"/>
      <c r="AQ185" s="7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14"/>
    </row>
    <row r="186" spans="39:71" x14ac:dyDescent="0.25">
      <c r="AM186" s="7"/>
      <c r="AN186" s="7"/>
      <c r="AO186" s="7"/>
      <c r="AP186" s="7"/>
      <c r="AQ186" s="7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14"/>
    </row>
    <row r="187" spans="39:71" x14ac:dyDescent="0.25">
      <c r="AM187" s="7"/>
      <c r="AN187" s="7"/>
      <c r="AO187" s="7"/>
      <c r="AP187" s="7"/>
      <c r="AQ187" s="7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14"/>
    </row>
    <row r="188" spans="39:71" x14ac:dyDescent="0.25">
      <c r="AM188" s="7"/>
      <c r="AN188" s="7"/>
      <c r="AO188" s="7"/>
      <c r="AP188" s="7"/>
      <c r="AQ188" s="7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14"/>
    </row>
    <row r="189" spans="39:71" x14ac:dyDescent="0.25">
      <c r="AM189" s="7"/>
      <c r="AN189" s="7"/>
      <c r="AO189" s="7"/>
      <c r="AP189" s="7"/>
      <c r="AQ189" s="7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14"/>
    </row>
    <row r="190" spans="39:71" x14ac:dyDescent="0.25">
      <c r="AM190" s="7"/>
      <c r="AN190" s="7"/>
      <c r="AO190" s="7"/>
      <c r="AP190" s="7"/>
      <c r="AQ190" s="7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14"/>
    </row>
    <row r="191" spans="39:71" x14ac:dyDescent="0.25">
      <c r="AM191" s="7"/>
      <c r="AN191" s="7"/>
      <c r="AO191" s="7"/>
      <c r="AP191" s="7"/>
      <c r="AQ191" s="7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14"/>
    </row>
    <row r="192" spans="39:71" x14ac:dyDescent="0.25">
      <c r="AM192" s="7"/>
      <c r="AN192" s="7"/>
      <c r="AO192" s="7"/>
      <c r="AP192" s="7"/>
      <c r="AQ192" s="7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14"/>
    </row>
    <row r="193" spans="39:71" x14ac:dyDescent="0.25">
      <c r="AM193" s="7"/>
      <c r="AN193" s="7"/>
      <c r="AO193" s="7"/>
      <c r="AP193" s="7"/>
      <c r="AQ193" s="7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14"/>
    </row>
    <row r="194" spans="39:71" x14ac:dyDescent="0.25">
      <c r="AM194" s="7"/>
      <c r="AN194" s="7"/>
      <c r="AO194" s="7"/>
      <c r="AP194" s="7"/>
      <c r="AQ194" s="7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14"/>
    </row>
    <row r="195" spans="39:71" x14ac:dyDescent="0.25">
      <c r="AM195" s="7"/>
      <c r="AN195" s="7"/>
      <c r="AO195" s="7"/>
      <c r="AP195" s="7"/>
      <c r="AQ195" s="7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14"/>
    </row>
    <row r="196" spans="39:71" x14ac:dyDescent="0.25">
      <c r="AM196" s="7"/>
      <c r="AN196" s="7"/>
      <c r="AO196" s="7"/>
      <c r="AP196" s="7"/>
      <c r="AQ196" s="7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14"/>
    </row>
    <row r="197" spans="39:71" x14ac:dyDescent="0.25">
      <c r="AM197" s="7"/>
      <c r="AN197" s="7"/>
      <c r="AO197" s="7"/>
      <c r="AP197" s="7"/>
      <c r="AQ197" s="7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14"/>
    </row>
    <row r="198" spans="39:71" x14ac:dyDescent="0.25">
      <c r="AM198" s="7"/>
      <c r="AN198" s="7"/>
      <c r="AO198" s="7"/>
      <c r="AP198" s="7"/>
      <c r="AQ198" s="7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14"/>
    </row>
    <row r="199" spans="39:71" x14ac:dyDescent="0.25">
      <c r="AM199" s="7"/>
      <c r="AN199" s="7"/>
      <c r="AO199" s="7"/>
      <c r="AP199" s="7"/>
      <c r="AQ199" s="7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14"/>
    </row>
    <row r="200" spans="39:71" x14ac:dyDescent="0.25">
      <c r="AM200" s="7"/>
      <c r="AN200" s="7"/>
      <c r="AO200" s="7"/>
      <c r="AP200" s="7"/>
      <c r="AQ200" s="7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14"/>
    </row>
    <row r="201" spans="39:71" x14ac:dyDescent="0.25">
      <c r="AM201" s="7"/>
      <c r="AN201" s="7"/>
      <c r="AO201" s="7"/>
      <c r="AP201" s="7"/>
      <c r="AQ201" s="7"/>
      <c r="AW201" s="10"/>
      <c r="AX201" s="9"/>
      <c r="AY201" s="9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14"/>
    </row>
    <row r="202" spans="39:71" x14ac:dyDescent="0.25">
      <c r="AM202" s="7"/>
      <c r="AN202" s="7"/>
      <c r="AO202" s="7"/>
      <c r="AP202" s="7"/>
      <c r="AQ202" s="7"/>
      <c r="AW202" s="10"/>
      <c r="AX202" s="9"/>
      <c r="AY202" s="9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14"/>
    </row>
    <row r="203" spans="39:71" x14ac:dyDescent="0.25">
      <c r="AM203" s="7"/>
      <c r="AN203" s="7"/>
      <c r="AO203" s="7"/>
      <c r="AP203" s="7"/>
      <c r="AQ203" s="7"/>
      <c r="AW203" s="10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14"/>
    </row>
    <row r="204" spans="39:71" x14ac:dyDescent="0.25">
      <c r="AM204" s="7"/>
      <c r="AN204" s="7"/>
      <c r="AO204" s="7"/>
      <c r="AP204" s="7"/>
      <c r="AQ204" s="7"/>
      <c r="AW204" s="10"/>
      <c r="AX204" s="9"/>
      <c r="AY204" s="9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14"/>
    </row>
    <row r="205" spans="39:71" x14ac:dyDescent="0.25">
      <c r="AM205" s="7"/>
      <c r="AN205" s="7"/>
      <c r="AO205" s="7"/>
      <c r="AP205" s="7"/>
      <c r="AQ205" s="7"/>
      <c r="AW205" s="10"/>
      <c r="AX205" s="9"/>
      <c r="AY205" s="9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14"/>
    </row>
    <row r="206" spans="39:71" x14ac:dyDescent="0.25">
      <c r="AM206" s="7"/>
      <c r="AN206" s="7"/>
      <c r="AO206" s="7"/>
      <c r="AP206" s="7"/>
      <c r="AQ206" s="7"/>
      <c r="AW206" s="10"/>
      <c r="AX206" s="9"/>
      <c r="AY206" s="9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14"/>
    </row>
    <row r="207" spans="39:71" x14ac:dyDescent="0.25">
      <c r="AM207" s="7"/>
      <c r="AN207" s="7"/>
      <c r="AO207" s="7"/>
      <c r="AP207" s="7"/>
      <c r="AQ207" s="7"/>
      <c r="AW207" s="10"/>
      <c r="AX207" s="9"/>
      <c r="AY207" s="9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14"/>
    </row>
    <row r="208" spans="39:71" x14ac:dyDescent="0.25">
      <c r="AM208" s="7"/>
      <c r="AN208" s="7"/>
      <c r="AO208" s="7"/>
      <c r="AP208" s="7"/>
      <c r="AQ208" s="7"/>
      <c r="AW208" s="10"/>
      <c r="AX208" s="9"/>
      <c r="AY208" s="9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14"/>
    </row>
    <row r="209" spans="39:71" x14ac:dyDescent="0.25">
      <c r="AM209" s="7"/>
      <c r="AN209" s="7"/>
      <c r="AO209" s="7"/>
      <c r="AP209" s="7"/>
      <c r="AQ209" s="7"/>
      <c r="AW209" s="10"/>
      <c r="AX209" s="9"/>
      <c r="AY209" s="9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14"/>
    </row>
    <row r="210" spans="39:71" x14ac:dyDescent="0.25">
      <c r="AM210" s="7"/>
      <c r="AN210" s="7"/>
      <c r="AO210" s="7"/>
      <c r="AP210" s="7"/>
      <c r="AQ210" s="7"/>
      <c r="AW210" s="10"/>
      <c r="AX210" s="9"/>
      <c r="AY210" s="9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14"/>
    </row>
    <row r="211" spans="39:71" x14ac:dyDescent="0.25">
      <c r="AM211" s="7"/>
      <c r="AN211" s="7"/>
      <c r="AO211" s="7"/>
      <c r="AP211" s="7"/>
      <c r="AQ211" s="7"/>
      <c r="AW211" s="10"/>
      <c r="AX211" s="9"/>
      <c r="AY211" s="9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14"/>
    </row>
    <row r="212" spans="39:71" x14ac:dyDescent="0.25">
      <c r="AM212" s="7"/>
      <c r="AN212" s="7"/>
      <c r="AO212" s="7"/>
      <c r="AP212" s="7"/>
      <c r="AQ212" s="7"/>
      <c r="AW212" s="10"/>
      <c r="AX212" s="9"/>
      <c r="AY212" s="9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14"/>
    </row>
    <row r="213" spans="39:71" x14ac:dyDescent="0.25">
      <c r="AM213" s="7"/>
      <c r="AN213" s="7"/>
      <c r="AO213" s="7"/>
      <c r="AP213" s="7"/>
      <c r="AQ213" s="7"/>
      <c r="AW213" s="10"/>
      <c r="AX213" s="9"/>
      <c r="AY213" s="9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14"/>
    </row>
    <row r="214" spans="39:71" x14ac:dyDescent="0.25">
      <c r="AM214" s="7"/>
      <c r="AN214" s="7"/>
      <c r="AO214" s="7"/>
      <c r="AP214" s="7"/>
      <c r="AQ214" s="7"/>
      <c r="AW214" s="10"/>
      <c r="AX214" s="9"/>
      <c r="AY214" s="9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14"/>
    </row>
    <row r="215" spans="39:71" x14ac:dyDescent="0.25">
      <c r="AM215" s="7"/>
      <c r="AN215" s="7"/>
      <c r="AO215" s="7"/>
      <c r="AP215" s="7"/>
      <c r="AQ215" s="7"/>
      <c r="AW215" s="10"/>
      <c r="AX215" s="9"/>
      <c r="AY215" s="9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14"/>
    </row>
    <row r="216" spans="39:71" x14ac:dyDescent="0.25">
      <c r="AM216" s="7"/>
      <c r="AN216" s="7"/>
      <c r="AO216" s="7"/>
      <c r="AP216" s="7"/>
      <c r="AQ216" s="7"/>
      <c r="AW216" s="10"/>
      <c r="AX216" s="9"/>
      <c r="AY216" s="9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14"/>
    </row>
    <row r="217" spans="39:71" x14ac:dyDescent="0.25">
      <c r="AM217" s="7"/>
      <c r="AN217" s="7"/>
      <c r="AO217" s="7"/>
      <c r="AP217" s="7"/>
      <c r="AQ217" s="7"/>
      <c r="AW217" s="10"/>
      <c r="AX217" s="9"/>
      <c r="AY217" s="9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14"/>
    </row>
    <row r="218" spans="39:71" x14ac:dyDescent="0.25">
      <c r="AM218" s="7"/>
      <c r="AN218" s="7"/>
      <c r="AO218" s="7"/>
      <c r="AP218" s="7"/>
      <c r="AQ218" s="7"/>
      <c r="AW218" s="10"/>
      <c r="AX218" s="9"/>
      <c r="AY218" s="9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14"/>
    </row>
    <row r="219" spans="39:71" x14ac:dyDescent="0.25">
      <c r="AM219" s="7"/>
      <c r="AN219" s="7"/>
      <c r="AO219" s="7"/>
      <c r="AP219" s="7"/>
      <c r="AQ219" s="7"/>
      <c r="AW219" s="10"/>
      <c r="AX219" s="9"/>
      <c r="AY219" s="9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14"/>
    </row>
    <row r="220" spans="39:71" x14ac:dyDescent="0.25">
      <c r="AM220" s="7"/>
      <c r="AN220" s="7"/>
      <c r="AO220" s="7"/>
      <c r="AP220" s="7"/>
      <c r="AQ220" s="7"/>
      <c r="AW220" s="10"/>
      <c r="AX220" s="9"/>
      <c r="AY220" s="9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14"/>
    </row>
    <row r="221" spans="39:71" x14ac:dyDescent="0.25">
      <c r="AM221" s="7"/>
      <c r="AN221" s="7"/>
      <c r="AO221" s="7"/>
      <c r="AP221" s="7"/>
      <c r="AQ221" s="7"/>
      <c r="AW221" s="10"/>
      <c r="AX221" s="9"/>
      <c r="AY221" s="9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14"/>
    </row>
    <row r="222" spans="39:71" x14ac:dyDescent="0.25">
      <c r="AM222" s="7"/>
      <c r="AN222" s="7"/>
      <c r="AO222" s="7"/>
      <c r="AP222" s="7"/>
      <c r="AQ222" s="7"/>
      <c r="AW222" s="10"/>
      <c r="AX222" s="9"/>
      <c r="AY222" s="9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14"/>
    </row>
    <row r="223" spans="39:71" x14ac:dyDescent="0.25">
      <c r="AM223" s="7"/>
      <c r="AN223" s="7"/>
      <c r="AO223" s="7"/>
      <c r="AP223" s="7"/>
      <c r="AQ223" s="7"/>
      <c r="AW223" s="10"/>
      <c r="AX223" s="9"/>
      <c r="AY223" s="9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14"/>
    </row>
    <row r="224" spans="39:71" x14ac:dyDescent="0.25">
      <c r="AM224" s="7"/>
      <c r="AN224" s="7"/>
      <c r="AO224" s="7"/>
      <c r="AP224" s="7"/>
      <c r="AQ224" s="7"/>
      <c r="AW224" s="10"/>
      <c r="AX224" s="9"/>
      <c r="AY224" s="9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14"/>
    </row>
    <row r="225" spans="39:71" x14ac:dyDescent="0.25">
      <c r="AM225" s="7"/>
      <c r="AN225" s="7"/>
      <c r="AO225" s="7"/>
      <c r="AP225" s="7"/>
      <c r="AQ225" s="7"/>
      <c r="AW225" s="10"/>
      <c r="AX225" s="9"/>
      <c r="AY225" s="9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14"/>
    </row>
    <row r="226" spans="39:71" x14ac:dyDescent="0.25">
      <c r="AM226" s="7"/>
      <c r="AN226" s="7"/>
      <c r="AO226" s="7"/>
      <c r="AP226" s="7"/>
      <c r="AQ226" s="7"/>
      <c r="AW226" s="10"/>
      <c r="AX226" s="9"/>
      <c r="AY226" s="9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14"/>
    </row>
    <row r="227" spans="39:71" x14ac:dyDescent="0.25">
      <c r="AM227" s="7"/>
      <c r="AN227" s="7"/>
      <c r="AO227" s="7"/>
      <c r="AP227" s="7"/>
      <c r="AQ227" s="7"/>
      <c r="AW227" s="10"/>
      <c r="AX227" s="9"/>
      <c r="AY227" s="9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14"/>
    </row>
    <row r="228" spans="39:71" x14ac:dyDescent="0.25">
      <c r="AM228" s="7"/>
      <c r="AN228" s="7"/>
      <c r="AO228" s="7"/>
      <c r="AP228" s="7"/>
      <c r="AQ228" s="7"/>
      <c r="AW228" s="10"/>
      <c r="AX228" s="9"/>
      <c r="AY228" s="9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14"/>
    </row>
    <row r="229" spans="39:71" x14ac:dyDescent="0.25">
      <c r="AM229" s="7"/>
      <c r="AN229" s="7"/>
      <c r="AO229" s="7"/>
      <c r="AP229" s="7"/>
      <c r="AQ229" s="7"/>
      <c r="AW229" s="10"/>
      <c r="AX229" s="9"/>
      <c r="AY229" s="9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14"/>
    </row>
    <row r="230" spans="39:71" x14ac:dyDescent="0.25">
      <c r="AM230" s="7"/>
      <c r="AN230" s="7"/>
      <c r="AO230" s="7"/>
      <c r="AP230" s="7"/>
      <c r="AQ230" s="7"/>
      <c r="AW230" s="10"/>
      <c r="AX230" s="9"/>
      <c r="AY230" s="9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14"/>
    </row>
    <row r="231" spans="39:71" x14ac:dyDescent="0.25">
      <c r="AM231" s="7"/>
      <c r="AN231" s="7"/>
      <c r="AO231" s="7"/>
      <c r="AP231" s="7"/>
      <c r="AQ231" s="7"/>
      <c r="AW231" s="10"/>
      <c r="AX231" s="9"/>
      <c r="AY231" s="9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14"/>
    </row>
    <row r="232" spans="39:71" x14ac:dyDescent="0.25">
      <c r="AM232" s="7"/>
      <c r="AN232" s="7"/>
      <c r="AO232" s="7"/>
      <c r="AP232" s="7"/>
      <c r="AQ232" s="7"/>
      <c r="AW232" s="10"/>
      <c r="AX232" s="9"/>
      <c r="AY232" s="9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14"/>
    </row>
    <row r="233" spans="39:71" x14ac:dyDescent="0.25">
      <c r="AM233" s="7"/>
      <c r="AN233" s="7"/>
      <c r="AO233" s="7"/>
      <c r="AP233" s="7"/>
      <c r="AQ233" s="7"/>
      <c r="AW233" s="10"/>
      <c r="AX233" s="9"/>
      <c r="AY233" s="9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14"/>
    </row>
    <row r="234" spans="39:71" x14ac:dyDescent="0.25">
      <c r="AM234" s="7"/>
      <c r="AN234" s="7"/>
      <c r="AO234" s="7"/>
      <c r="AP234" s="7"/>
      <c r="AQ234" s="7"/>
      <c r="AW234" s="10"/>
      <c r="AX234" s="9"/>
      <c r="AY234" s="9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14"/>
    </row>
    <row r="235" spans="39:71" x14ac:dyDescent="0.25">
      <c r="AM235" s="7"/>
      <c r="AN235" s="7"/>
      <c r="AO235" s="7"/>
      <c r="AP235" s="7"/>
      <c r="AQ235" s="7"/>
      <c r="AW235" s="10"/>
      <c r="AX235" s="9"/>
      <c r="AY235" s="9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14"/>
    </row>
    <row r="236" spans="39:71" x14ac:dyDescent="0.25">
      <c r="AM236" s="7"/>
      <c r="AN236" s="7"/>
      <c r="AO236" s="7"/>
      <c r="AP236" s="7"/>
      <c r="AQ236" s="7"/>
      <c r="AW236" s="10"/>
      <c r="AX236" s="9"/>
      <c r="AY236" s="9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14"/>
    </row>
    <row r="237" spans="39:71" x14ac:dyDescent="0.25">
      <c r="AM237" s="7"/>
      <c r="AN237" s="7"/>
      <c r="AO237" s="7"/>
      <c r="AP237" s="7"/>
      <c r="AQ237" s="7"/>
      <c r="AW237" s="10"/>
      <c r="AX237" s="9"/>
      <c r="AY237" s="9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14"/>
    </row>
    <row r="238" spans="39:71" x14ac:dyDescent="0.25">
      <c r="AM238" s="7"/>
      <c r="AN238" s="7"/>
      <c r="AO238" s="7"/>
      <c r="AP238" s="7"/>
      <c r="AQ238" s="7"/>
      <c r="AW238" s="10"/>
      <c r="AX238" s="9"/>
      <c r="AY238" s="9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14"/>
    </row>
    <row r="239" spans="39:71" x14ac:dyDescent="0.25">
      <c r="AM239" s="7"/>
      <c r="AN239" s="7"/>
      <c r="AO239" s="7"/>
      <c r="AP239" s="7"/>
      <c r="AQ239" s="7"/>
      <c r="AW239" s="10"/>
      <c r="AX239" s="9"/>
      <c r="AY239" s="9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14"/>
    </row>
    <row r="240" spans="39:71" x14ac:dyDescent="0.25">
      <c r="AM240" s="7"/>
      <c r="AN240" s="7"/>
      <c r="AO240" s="7"/>
      <c r="AP240" s="7"/>
      <c r="AQ240" s="7"/>
      <c r="AW240" s="10"/>
      <c r="AX240" s="9"/>
      <c r="AY240" s="9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14"/>
    </row>
    <row r="241" spans="39:71" x14ac:dyDescent="0.25">
      <c r="AM241" s="7"/>
      <c r="AN241" s="7"/>
      <c r="AO241" s="7"/>
      <c r="AP241" s="7"/>
      <c r="AQ241" s="7"/>
      <c r="AW241" s="10"/>
      <c r="AX241" s="9"/>
      <c r="AY241" s="9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14"/>
    </row>
    <row r="242" spans="39:71" x14ac:dyDescent="0.25">
      <c r="AM242" s="7"/>
      <c r="AN242" s="7"/>
      <c r="AO242" s="7"/>
      <c r="AP242" s="7"/>
      <c r="AQ242" s="7"/>
      <c r="AW242" s="10"/>
      <c r="AX242" s="9"/>
      <c r="AY242" s="9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14"/>
    </row>
    <row r="243" spans="39:71" x14ac:dyDescent="0.25">
      <c r="AM243" s="7"/>
      <c r="AN243" s="7"/>
      <c r="AO243" s="7"/>
      <c r="AP243" s="7"/>
      <c r="AQ243" s="7"/>
      <c r="AW243" s="10"/>
      <c r="AX243" s="9"/>
      <c r="AY243" s="9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14"/>
    </row>
    <row r="244" spans="39:71" x14ac:dyDescent="0.25">
      <c r="AM244" s="7"/>
      <c r="AN244" s="7"/>
      <c r="AO244" s="7"/>
      <c r="AP244" s="7"/>
      <c r="AQ244" s="7"/>
      <c r="AW244" s="10"/>
      <c r="AX244" s="9"/>
      <c r="AY244" s="9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14"/>
    </row>
    <row r="245" spans="39:71" x14ac:dyDescent="0.25">
      <c r="AM245" s="7"/>
      <c r="AN245" s="7"/>
      <c r="AO245" s="7"/>
      <c r="AP245" s="7"/>
      <c r="AQ245" s="7"/>
      <c r="AW245" s="10"/>
      <c r="AX245" s="9"/>
      <c r="AY245" s="9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14"/>
    </row>
    <row r="246" spans="39:71" x14ac:dyDescent="0.25">
      <c r="AM246" s="7"/>
      <c r="AN246" s="7"/>
      <c r="AO246" s="7"/>
      <c r="AP246" s="7"/>
      <c r="AQ246" s="7"/>
      <c r="AW246" s="10"/>
      <c r="AX246" s="9"/>
      <c r="AY246" s="9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14"/>
    </row>
    <row r="247" spans="39:71" x14ac:dyDescent="0.25">
      <c r="AM247" s="7"/>
      <c r="AN247" s="7"/>
      <c r="AO247" s="7"/>
      <c r="AP247" s="7"/>
      <c r="AQ247" s="7"/>
      <c r="AW247" s="10"/>
      <c r="AX247" s="9"/>
      <c r="AY247" s="9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14"/>
    </row>
    <row r="248" spans="39:71" x14ac:dyDescent="0.25">
      <c r="AM248" s="7"/>
      <c r="AN248" s="7"/>
      <c r="AO248" s="7"/>
      <c r="AP248" s="7"/>
      <c r="AQ248" s="7"/>
      <c r="AW248" s="10"/>
      <c r="AX248" s="9"/>
      <c r="AY248" s="9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14"/>
    </row>
    <row r="249" spans="39:71" x14ac:dyDescent="0.25">
      <c r="AM249" s="7"/>
      <c r="AN249" s="7"/>
      <c r="AO249" s="7"/>
      <c r="AP249" s="7"/>
      <c r="AQ249" s="7"/>
      <c r="AW249" s="10"/>
      <c r="AX249" s="9"/>
      <c r="AY249" s="9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14"/>
    </row>
    <row r="250" spans="39:71" x14ac:dyDescent="0.25">
      <c r="AM250" s="7"/>
      <c r="AN250" s="7"/>
      <c r="AO250" s="7"/>
      <c r="AP250" s="7"/>
      <c r="AQ250" s="7"/>
      <c r="AW250" s="10"/>
      <c r="AX250" s="9"/>
      <c r="AY250" s="9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14"/>
    </row>
    <row r="251" spans="39:71" x14ac:dyDescent="0.25">
      <c r="AM251" s="7"/>
      <c r="AN251" s="7"/>
      <c r="AO251" s="7"/>
      <c r="AP251" s="7"/>
      <c r="AQ251" s="7"/>
      <c r="AW251" s="10"/>
      <c r="AX251" s="9"/>
      <c r="AY251" s="9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14"/>
    </row>
    <row r="252" spans="39:71" x14ac:dyDescent="0.25">
      <c r="AM252" s="7"/>
      <c r="AN252" s="7"/>
      <c r="AO252" s="7"/>
      <c r="AP252" s="7"/>
      <c r="AQ252" s="7"/>
      <c r="AW252" s="10"/>
      <c r="AX252" s="9"/>
      <c r="AY252" s="9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14"/>
    </row>
    <row r="253" spans="39:71" x14ac:dyDescent="0.25">
      <c r="AM253" s="7"/>
      <c r="AN253" s="7"/>
      <c r="AO253" s="7"/>
      <c r="AP253" s="7"/>
      <c r="AQ253" s="7"/>
      <c r="AW253" s="10"/>
      <c r="AX253" s="9"/>
      <c r="AY253" s="9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14"/>
    </row>
    <row r="254" spans="39:71" x14ac:dyDescent="0.25">
      <c r="AM254" s="7"/>
      <c r="AN254" s="7"/>
      <c r="AO254" s="7"/>
      <c r="AP254" s="7"/>
      <c r="AQ254" s="7"/>
      <c r="AW254" s="10"/>
      <c r="AX254" s="9"/>
      <c r="AY254" s="9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14"/>
    </row>
    <row r="255" spans="39:71" x14ac:dyDescent="0.25">
      <c r="AM255" s="7"/>
      <c r="AN255" s="7"/>
      <c r="AO255" s="7"/>
      <c r="AP255" s="7"/>
      <c r="AQ255" s="7"/>
      <c r="AW255" s="10"/>
      <c r="AX255" s="9"/>
      <c r="AY255" s="9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14"/>
    </row>
    <row r="256" spans="39:71" x14ac:dyDescent="0.25">
      <c r="AM256" s="7"/>
      <c r="AN256" s="7"/>
      <c r="AO256" s="7"/>
      <c r="AP256" s="7"/>
      <c r="AQ256" s="7"/>
      <c r="AW256" s="10"/>
      <c r="AX256" s="9"/>
      <c r="AY256" s="9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14"/>
    </row>
    <row r="257" spans="39:72" x14ac:dyDescent="0.25">
      <c r="AM257" s="7"/>
      <c r="AN257" s="7"/>
      <c r="AO257" s="7"/>
      <c r="AP257" s="7"/>
      <c r="AQ257" s="7"/>
      <c r="AW257" s="10"/>
      <c r="AX257" s="9"/>
      <c r="AY257" s="9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14"/>
    </row>
    <row r="258" spans="39:72" x14ac:dyDescent="0.25">
      <c r="AM258" s="7"/>
      <c r="AN258" s="7"/>
      <c r="AO258" s="7"/>
      <c r="AP258" s="7"/>
      <c r="AQ258" s="7"/>
      <c r="AW258" s="10"/>
      <c r="AX258" s="9"/>
      <c r="AY258" s="9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14"/>
    </row>
    <row r="259" spans="39:72" x14ac:dyDescent="0.25">
      <c r="AM259" s="7"/>
      <c r="AN259" s="7"/>
      <c r="AO259" s="7"/>
      <c r="AP259" s="7"/>
      <c r="AQ259" s="7"/>
      <c r="AW259" s="10"/>
      <c r="AX259" s="9"/>
      <c r="AY259" s="9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14"/>
      <c r="BT259" s="7"/>
    </row>
    <row r="260" spans="39:72" x14ac:dyDescent="0.25">
      <c r="AM260" s="18"/>
      <c r="AN260" s="7"/>
      <c r="AO260" s="7"/>
      <c r="AP260" s="7"/>
      <c r="AQ260" s="7"/>
      <c r="AW260" s="10"/>
      <c r="AX260" s="9"/>
      <c r="AY260" s="9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</row>
  </sheetData>
  <mergeCells count="15">
    <mergeCell ref="T1:AD1"/>
    <mergeCell ref="AE2:AG2"/>
    <mergeCell ref="N1:S1"/>
    <mergeCell ref="A1:M1"/>
    <mergeCell ref="BC5:BD5"/>
    <mergeCell ref="AE1:AJ1"/>
    <mergeCell ref="AK1:AP1"/>
    <mergeCell ref="AK2:AM2"/>
    <mergeCell ref="AN2:AP2"/>
    <mergeCell ref="A2:B2"/>
    <mergeCell ref="N2:S2"/>
    <mergeCell ref="AH2:AJ2"/>
    <mergeCell ref="D2:H2"/>
    <mergeCell ref="I2:M2"/>
    <mergeCell ref="AC2:AD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'Stiff and Piper'!K89:N89</xm:f>
              <xm:sqref>O89</xm:sqref>
            </x14:sparkline>
            <x14:sparkline>
              <xm:f>'Stiff and Piper'!K90:N90</xm:f>
              <xm:sqref>O90</xm:sqref>
            </x14:sparkline>
            <x14:sparkline>
              <xm:f>'Stiff and Piper'!K91:N91</xm:f>
              <xm:sqref>O91</xm:sqref>
            </x14:sparkline>
            <x14:sparkline>
              <xm:f>'Stiff and Piper'!K92:N92</xm:f>
              <xm:sqref>O92</xm:sqref>
            </x14:sparkline>
            <x14:sparkline>
              <xm:f>'Stiff and Piper'!K93:N93</xm:f>
              <xm:sqref>O93</xm:sqref>
            </x14:sparkline>
            <x14:sparkline>
              <xm:f>'Stiff and Piper'!K94:N94</xm:f>
              <xm:sqref>O94</xm:sqref>
            </x14:sparkline>
            <x14:sparkline>
              <xm:f>'Stiff and Piper'!K95:N95</xm:f>
              <xm:sqref>O95</xm:sqref>
            </x14:sparkline>
            <x14:sparkline>
              <xm:f>'Stiff and Piper'!K96:N96</xm:f>
              <xm:sqref>O96</xm:sqref>
            </x14:sparkline>
            <x14:sparkline>
              <xm:f>'Stiff and Piper'!K97:N97</xm:f>
              <xm:sqref>O97</xm:sqref>
            </x14:sparkline>
            <x14:sparkline>
              <xm:f>'Stiff and Piper'!K98:N98</xm:f>
              <xm:sqref>O98</xm:sqref>
            </x14:sparkline>
            <x14:sparkline>
              <xm:f>'Stiff and Piper'!K99:N99</xm:f>
              <xm:sqref>O99</xm:sqref>
            </x14:sparkline>
            <x14:sparkline>
              <xm:f>'Stiff and Piper'!K100:N100</xm:f>
              <xm:sqref>O100</xm:sqref>
            </x14:sparkline>
            <x14:sparkline>
              <xm:f>'Stiff and Piper'!K101:N101</xm:f>
              <xm:sqref>O101</xm:sqref>
            </x14:sparkline>
            <x14:sparkline>
              <xm:f>'Stiff and Piper'!K102:N102</xm:f>
              <xm:sqref>O102</xm:sqref>
            </x14:sparkline>
            <x14:sparkline>
              <xm:f>'Stiff and Piper'!K103:N103</xm:f>
              <xm:sqref>O103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03"/>
  <sheetViews>
    <sheetView topLeftCell="A7" zoomScale="130" zoomScaleNormal="130" workbookViewId="0">
      <selection activeCell="F3" sqref="F3"/>
    </sheetView>
  </sheetViews>
  <sheetFormatPr defaultRowHeight="15" x14ac:dyDescent="0.25"/>
  <cols>
    <col min="1" max="1" width="14.5703125" bestFit="1" customWidth="1"/>
    <col min="2" max="2" width="5.42578125" bestFit="1" customWidth="1"/>
    <col min="3" max="3" width="13.140625" bestFit="1" customWidth="1"/>
    <col min="4" max="4" width="15" bestFit="1" customWidth="1"/>
    <col min="5" max="5" width="13.140625" bestFit="1" customWidth="1"/>
    <col min="6" max="6" width="15" bestFit="1" customWidth="1"/>
    <col min="7" max="7" width="12.5703125" bestFit="1" customWidth="1"/>
    <col min="8" max="8" width="15" bestFit="1" customWidth="1"/>
    <col min="9" max="9" width="19.5703125" bestFit="1" customWidth="1"/>
    <col min="10" max="10" width="15" bestFit="1" customWidth="1"/>
    <col min="11" max="12" width="15" customWidth="1"/>
    <col min="13" max="14" width="6.7109375" bestFit="1" customWidth="1"/>
    <col min="15" max="20" width="13.42578125" bestFit="1" customWidth="1"/>
    <col min="21" max="21" width="15.85546875" bestFit="1" customWidth="1"/>
    <col min="22" max="22" width="13.42578125" bestFit="1" customWidth="1"/>
    <col min="23" max="23" width="14.5703125" bestFit="1" customWidth="1"/>
    <col min="24" max="24" width="13.42578125" bestFit="1" customWidth="1"/>
  </cols>
  <sheetData>
    <row r="1" spans="1:16384" s="111" customFormat="1" ht="15.75" thickBot="1" x14ac:dyDescent="0.3">
      <c r="A1" s="309" t="s">
        <v>260</v>
      </c>
      <c r="B1" s="313"/>
      <c r="C1" s="318" t="s">
        <v>261</v>
      </c>
      <c r="D1" s="319"/>
      <c r="E1" s="319"/>
      <c r="F1" s="319"/>
      <c r="G1" s="319"/>
      <c r="H1" s="320"/>
      <c r="I1" s="321" t="s">
        <v>205</v>
      </c>
      <c r="J1" s="322"/>
      <c r="K1" s="322"/>
      <c r="L1" s="323"/>
      <c r="M1" s="309" t="s">
        <v>262</v>
      </c>
      <c r="N1" s="310"/>
      <c r="O1" s="310"/>
      <c r="P1" s="311"/>
      <c r="Q1" s="312" t="s">
        <v>263</v>
      </c>
      <c r="R1" s="310"/>
      <c r="S1" s="310"/>
      <c r="T1" s="313"/>
      <c r="U1" s="107" t="s">
        <v>219</v>
      </c>
      <c r="V1" s="108" t="s">
        <v>217</v>
      </c>
      <c r="W1" s="109" t="s">
        <v>218</v>
      </c>
      <c r="X1" s="110" t="s">
        <v>264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111" customFormat="1" ht="15.75" thickBot="1" x14ac:dyDescent="0.3">
      <c r="A2" s="112" t="s">
        <v>214</v>
      </c>
      <c r="B2" s="113" t="s">
        <v>215</v>
      </c>
      <c r="C2" s="314" t="s">
        <v>217</v>
      </c>
      <c r="D2" s="315"/>
      <c r="E2" s="316" t="s">
        <v>218</v>
      </c>
      <c r="F2" s="317"/>
      <c r="G2" s="315" t="s">
        <v>265</v>
      </c>
      <c r="H2" s="315"/>
      <c r="I2" s="114" t="str">
        <f>IF($J$2&lt;&gt;"",CONCATENATE(J2*100,"% [HA]"), "")</f>
        <v>1% [HA]</v>
      </c>
      <c r="J2" s="115">
        <v>0.01</v>
      </c>
      <c r="K2" s="316" t="s">
        <v>266</v>
      </c>
      <c r="L2" s="317"/>
      <c r="M2" s="112" t="s">
        <v>2</v>
      </c>
      <c r="N2" s="116" t="s">
        <v>207</v>
      </c>
      <c r="O2" s="116" t="s">
        <v>210</v>
      </c>
      <c r="P2" s="117" t="s">
        <v>212</v>
      </c>
      <c r="Q2" s="118" t="s">
        <v>208</v>
      </c>
      <c r="R2" s="116" t="s">
        <v>209</v>
      </c>
      <c r="S2" s="116" t="s">
        <v>211</v>
      </c>
      <c r="T2" s="113" t="s">
        <v>213</v>
      </c>
      <c r="U2" s="119" t="s">
        <v>216</v>
      </c>
      <c r="V2" s="118" t="s">
        <v>267</v>
      </c>
      <c r="W2" s="116" t="s">
        <v>220</v>
      </c>
      <c r="X2" s="117" t="s">
        <v>268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.75" thickBot="1" x14ac:dyDescent="0.3">
      <c r="A3" s="120">
        <v>5.4</v>
      </c>
      <c r="B3" s="121">
        <v>4</v>
      </c>
      <c r="C3" s="122" t="s">
        <v>2</v>
      </c>
      <c r="D3" s="123">
        <f>INDEX(M:M,MATCH(MIN($V$3:$V$1403),$V$3:$V$1403,0)+2)</f>
        <v>4.74</v>
      </c>
      <c r="E3" s="122" t="s">
        <v>2</v>
      </c>
      <c r="F3" s="124">
        <f>INDEX(M:M,MATCH(MIN($W$3:$W$1403),$W$3:$W$1403,0)+2)</f>
        <v>7.7</v>
      </c>
      <c r="G3" s="122" t="s">
        <v>269</v>
      </c>
      <c r="H3" s="123">
        <f>$A$3</f>
        <v>5.4</v>
      </c>
      <c r="I3" s="122" t="s">
        <v>2</v>
      </c>
      <c r="J3" s="125">
        <f>IF($J$2&lt;&gt;"",INDEX(M:M,MATCH(MIN($X$3:$X$1403),$X$3:$X$1403,0)+2),"")</f>
        <v>7.4</v>
      </c>
      <c r="K3" s="122" t="s">
        <v>2</v>
      </c>
      <c r="L3" s="115">
        <v>4.5999999999999996</v>
      </c>
      <c r="M3" s="126">
        <v>0</v>
      </c>
      <c r="N3" s="86">
        <f t="shared" ref="N3:N66" si="0">14-M3</f>
        <v>14</v>
      </c>
      <c r="O3" s="86">
        <f t="shared" ref="O3:O66" si="1">-LOG(10^-$B$3/(1+10^(M3-$A$3)))</f>
        <v>4.0000017289540324</v>
      </c>
      <c r="P3" s="98">
        <f t="shared" ref="P3:P66" si="2">-LOG(10^-$B$3/(1+10^($A$3-M3)))</f>
        <v>9.4000017289540327</v>
      </c>
      <c r="Q3" s="127">
        <f>10^-O3</f>
        <v>9.9999601894414263E-5</v>
      </c>
      <c r="R3" s="86">
        <f>10^-P3</f>
        <v>3.9810558566661344E-10</v>
      </c>
      <c r="S3" s="86">
        <f>10^-M3</f>
        <v>1</v>
      </c>
      <c r="T3" s="128">
        <f>10^-N3</f>
        <v>1E-14</v>
      </c>
      <c r="U3" s="129">
        <f>Q3/(Q3+R3)</f>
        <v>0.99999601894414336</v>
      </c>
      <c r="V3" s="85">
        <f t="shared" ref="V3:V66" si="3">ABS(P3-M3)</f>
        <v>9.4000017289540327</v>
      </c>
      <c r="W3" s="86">
        <f>ABS(O3-N3)</f>
        <v>9.9999982710459676</v>
      </c>
      <c r="X3" s="87">
        <f t="shared" ref="X3:X66" si="4">ABS($J$2-U3)</f>
        <v>0.98999601894414335</v>
      </c>
    </row>
    <row r="4" spans="1:16384" x14ac:dyDescent="0.25">
      <c r="A4" s="130"/>
      <c r="B4" s="131"/>
      <c r="C4" s="111" t="s">
        <v>207</v>
      </c>
      <c r="D4" s="132">
        <f>INDEX(N:N,MATCH(MIN($V$3:$V$1403),$V$3:$V$1403,0)+2)</f>
        <v>9.26</v>
      </c>
      <c r="E4" s="111" t="s">
        <v>207</v>
      </c>
      <c r="F4" s="133">
        <f>INDEX(N:N,MATCH(MIN($W$3:$W$1403),$W$3:$W$1403,0)+2)</f>
        <v>6.3</v>
      </c>
      <c r="G4" s="111" t="s">
        <v>207</v>
      </c>
      <c r="H4" s="132">
        <f>14-$H$3</f>
        <v>8.6</v>
      </c>
      <c r="I4" s="111" t="s">
        <v>207</v>
      </c>
      <c r="J4" s="134">
        <f>IF($J$2&lt;&gt;"",INDEX(N:N,MATCH(MIN($X$3:$X$1403),$X$3:$X$1403,0)+2),"Input HA%")</f>
        <v>6.6</v>
      </c>
      <c r="K4" s="111" t="s">
        <v>207</v>
      </c>
      <c r="L4" s="134">
        <f>IF($L$3&lt;&gt;"",14-$L$3,"")</f>
        <v>9.4</v>
      </c>
      <c r="M4" s="91">
        <v>0.01</v>
      </c>
      <c r="N4" s="89">
        <f t="shared" si="0"/>
        <v>13.99</v>
      </c>
      <c r="O4" s="89">
        <f t="shared" si="1"/>
        <v>4.0000017692264631</v>
      </c>
      <c r="P4" s="97">
        <f t="shared" si="2"/>
        <v>9.3900017692264637</v>
      </c>
      <c r="Q4" s="135">
        <f t="shared" ref="Q4:R67" si="5">10^-O4</f>
        <v>9.9999592621381658E-5</v>
      </c>
      <c r="R4" s="89">
        <f t="shared" si="5"/>
        <v>4.0737861822396418E-10</v>
      </c>
      <c r="S4" s="89">
        <f t="shared" ref="S4:T67" si="6">10^-M4</f>
        <v>0.97723722095581067</v>
      </c>
      <c r="T4" s="136">
        <f t="shared" si="6"/>
        <v>1.0232929922807526E-14</v>
      </c>
      <c r="U4" s="137">
        <f t="shared" ref="U4:U67" si="7">Q4/(Q4+R4)</f>
        <v>0.99999592621381772</v>
      </c>
      <c r="V4" s="88">
        <f t="shared" si="3"/>
        <v>9.3800017692264639</v>
      </c>
      <c r="W4" s="86">
        <f t="shared" ref="W4:W67" si="8">ABS(O4-N4)</f>
        <v>9.9899982307735371</v>
      </c>
      <c r="X4" s="90">
        <f t="shared" si="4"/>
        <v>0.98999592621381771</v>
      </c>
    </row>
    <row r="5" spans="1:16384" x14ac:dyDescent="0.25">
      <c r="A5" s="91"/>
      <c r="B5" s="90"/>
      <c r="C5" s="111" t="s">
        <v>210</v>
      </c>
      <c r="D5" s="132">
        <f>INDEX(O:O,MATCH(MIN($V$3:$V$1403),$V$3:$V$1403,0)+2)</f>
        <v>4.0859239514239762</v>
      </c>
      <c r="E5" s="111" t="s">
        <v>210</v>
      </c>
      <c r="F5" s="133">
        <f>INDEX(O:O,MATCH(MIN($W$3:$W$1403),$W$3:$W$1403,0)+2)</f>
        <v>6.3021711921641455</v>
      </c>
      <c r="G5" s="111" t="s">
        <v>210</v>
      </c>
      <c r="H5" s="132">
        <f>INDEX(O:O,MATCH($H$3,$M$3:$M$1403,0)+2)</f>
        <v>4.3010299956639813</v>
      </c>
      <c r="I5" s="111" t="s">
        <v>210</v>
      </c>
      <c r="J5" s="134">
        <f>IF($J$2&lt;&gt;"",INDEX(O:O,MATCH(MIN($X$3:$X$1403),$X$3:$X$1403,0)+2),"of TA above.")</f>
        <v>6.0043213737826422</v>
      </c>
      <c r="K5" s="111" t="s">
        <v>210</v>
      </c>
      <c r="L5" s="134">
        <f>IF($L$3&lt;&gt;"",INDEX(O:O,MATCH($L$3,$M$3:$M$1403,0)+2),"")</f>
        <v>4.0638920341433797</v>
      </c>
      <c r="M5" s="91">
        <v>0.02</v>
      </c>
      <c r="N5" s="89">
        <f t="shared" si="0"/>
        <v>13.98</v>
      </c>
      <c r="O5" s="89">
        <f t="shared" si="1"/>
        <v>4.0000018104369559</v>
      </c>
      <c r="P5" s="97">
        <f t="shared" si="2"/>
        <v>9.3800018104369567</v>
      </c>
      <c r="Q5" s="135">
        <f t="shared" si="5"/>
        <v>9.9999583132354174E-5</v>
      </c>
      <c r="R5" s="89">
        <f t="shared" si="5"/>
        <v>4.168676456767488E-10</v>
      </c>
      <c r="S5" s="89">
        <f t="shared" si="6"/>
        <v>0.95499258602143589</v>
      </c>
      <c r="T5" s="136">
        <f t="shared" si="6"/>
        <v>1.047128548050898E-14</v>
      </c>
      <c r="U5" s="137">
        <f t="shared" si="7"/>
        <v>0.99999583132354319</v>
      </c>
      <c r="V5" s="88">
        <f t="shared" si="3"/>
        <v>9.3600018104369571</v>
      </c>
      <c r="W5" s="86">
        <f t="shared" si="8"/>
        <v>9.9799981895630445</v>
      </c>
      <c r="X5" s="90">
        <f t="shared" si="4"/>
        <v>0.98999583132354319</v>
      </c>
    </row>
    <row r="6" spans="1:16384" x14ac:dyDescent="0.25">
      <c r="A6" s="91"/>
      <c r="B6" s="90"/>
      <c r="C6" s="111" t="s">
        <v>212</v>
      </c>
      <c r="D6" s="132">
        <f>INDEX(P:P,MATCH(MIN($V$3:$V$1403),$V$3:$V$1403,0)+2)</f>
        <v>4.7459239514239764</v>
      </c>
      <c r="E6" s="111" t="s">
        <v>212</v>
      </c>
      <c r="F6" s="133">
        <f>INDEX(P:P,MATCH(MIN($W$3:$W$1403),$W$3:$W$1403,0)+2)</f>
        <v>4.0021711921641447</v>
      </c>
      <c r="G6" s="111" t="s">
        <v>212</v>
      </c>
      <c r="H6" s="132">
        <f>INDEX(R:R,MATCH($H$3,$M$3:$M$1403,0)+2)</f>
        <v>4.9999999999999955E-5</v>
      </c>
      <c r="I6" s="111" t="s">
        <v>212</v>
      </c>
      <c r="J6" s="134">
        <f>IF($J$2&lt;&gt;"",INDEX(P:P,MATCH(MIN($X$3:$X$1403),$X$3:$X$1403,0)+2),"Ex: if 10% HA:")</f>
        <v>4.0043213737826422</v>
      </c>
      <c r="K6" s="111" t="s">
        <v>212</v>
      </c>
      <c r="L6" s="134">
        <f>IF($L$3&lt;&gt;"",INDEX(P:P,MATCH($L$3,$M$3:$M$1403,0)+2),"")</f>
        <v>4.8638920341433804</v>
      </c>
      <c r="M6" s="91">
        <v>0.03</v>
      </c>
      <c r="N6" s="89">
        <f t="shared" si="0"/>
        <v>13.97</v>
      </c>
      <c r="O6" s="89">
        <f t="shared" si="1"/>
        <v>4.00000185260736</v>
      </c>
      <c r="P6" s="97">
        <f t="shared" si="2"/>
        <v>9.370001852607361</v>
      </c>
      <c r="Q6" s="135">
        <f t="shared" si="5"/>
        <v>9.9999573422300707E-5</v>
      </c>
      <c r="R6" s="89">
        <f t="shared" si="5"/>
        <v>4.2657769910849408E-10</v>
      </c>
      <c r="S6" s="89">
        <f t="shared" si="6"/>
        <v>0.93325430079699101</v>
      </c>
      <c r="T6" s="136">
        <f t="shared" si="6"/>
        <v>1.0715193052376047E-14</v>
      </c>
      <c r="U6" s="137">
        <f t="shared" si="7"/>
        <v>0.99999573422300891</v>
      </c>
      <c r="V6" s="88">
        <f t="shared" si="3"/>
        <v>9.3400018526073616</v>
      </c>
      <c r="W6" s="86">
        <f t="shared" si="8"/>
        <v>9.9699981473926407</v>
      </c>
      <c r="X6" s="90">
        <f t="shared" si="4"/>
        <v>0.98999573422300891</v>
      </c>
    </row>
    <row r="7" spans="1:16384" x14ac:dyDescent="0.25">
      <c r="A7" s="91"/>
      <c r="B7" s="90"/>
      <c r="C7" s="111" t="s">
        <v>208</v>
      </c>
      <c r="D7" s="132">
        <f>10^-D5</f>
        <v>8.2049520728642267E-5</v>
      </c>
      <c r="E7" s="111" t="s">
        <v>208</v>
      </c>
      <c r="F7" s="133">
        <f>10^-F5</f>
        <v>4.9868787366879587E-7</v>
      </c>
      <c r="G7" s="111" t="s">
        <v>208</v>
      </c>
      <c r="H7" s="132">
        <f>10^-H5</f>
        <v>4.9999999999999955E-5</v>
      </c>
      <c r="I7" s="111" t="s">
        <v>208</v>
      </c>
      <c r="J7" s="134">
        <f>IF($J$2&lt;&gt;"",10^-J5,"input 0.1")</f>
        <v>9.9009900990098996E-7</v>
      </c>
      <c r="K7" s="111" t="s">
        <v>208</v>
      </c>
      <c r="L7" s="134">
        <f>IF($L$3&lt;&gt;"",INDEX(Q:Q,MATCH($L$3,$M$3:$M$1403,0)+2),"")</f>
        <v>8.6319311139678961E-5</v>
      </c>
      <c r="M7" s="91">
        <v>0.04</v>
      </c>
      <c r="N7" s="89">
        <f t="shared" si="0"/>
        <v>13.96</v>
      </c>
      <c r="O7" s="89">
        <f t="shared" si="1"/>
        <v>4.0000018957600343</v>
      </c>
      <c r="P7" s="97">
        <f t="shared" si="2"/>
        <v>9.3600018957600355</v>
      </c>
      <c r="Q7" s="135">
        <f t="shared" si="5"/>
        <v>9.9999563486073099E-5</v>
      </c>
      <c r="R7" s="89">
        <f t="shared" si="5"/>
        <v>4.3651392678776347E-10</v>
      </c>
      <c r="S7" s="89">
        <f t="shared" si="6"/>
        <v>0.91201083935590965</v>
      </c>
      <c r="T7" s="136">
        <f t="shared" si="6"/>
        <v>1.0964781961431832E-14</v>
      </c>
      <c r="U7" s="137">
        <f t="shared" si="7"/>
        <v>0.99999563486073217</v>
      </c>
      <c r="V7" s="88">
        <f t="shared" si="3"/>
        <v>9.3200018957600363</v>
      </c>
      <c r="W7" s="86">
        <f t="shared" si="8"/>
        <v>9.9599981042399666</v>
      </c>
      <c r="X7" s="90">
        <f t="shared" si="4"/>
        <v>0.98999563486073217</v>
      </c>
    </row>
    <row r="8" spans="1:16384" x14ac:dyDescent="0.25">
      <c r="A8" s="91"/>
      <c r="B8" s="90"/>
      <c r="C8" s="111" t="s">
        <v>209</v>
      </c>
      <c r="D8" s="132">
        <f>10^-D6</f>
        <v>1.795047927135767E-5</v>
      </c>
      <c r="E8" s="111" t="s">
        <v>209</v>
      </c>
      <c r="F8" s="133">
        <f>10^-F6</f>
        <v>9.9501312126331273E-5</v>
      </c>
      <c r="G8" s="111" t="s">
        <v>209</v>
      </c>
      <c r="H8" s="132">
        <f>10^-H6</f>
        <v>0.99988487737246867</v>
      </c>
      <c r="I8" s="111" t="s">
        <v>209</v>
      </c>
      <c r="J8" s="134">
        <f>IF($J$2&lt;&gt;"",10^-J6,"")</f>
        <v>9.900990099009903E-5</v>
      </c>
      <c r="K8" s="111" t="s">
        <v>209</v>
      </c>
      <c r="L8" s="134">
        <f>IF($L$3&lt;&gt;"",INDEX(R:R,MATCH($L$3,$M$3:$M$1403,0)+2),"")</f>
        <v>1.3680688860320951E-5</v>
      </c>
      <c r="M8" s="91">
        <v>0.05</v>
      </c>
      <c r="N8" s="89">
        <f t="shared" si="0"/>
        <v>13.95</v>
      </c>
      <c r="O8" s="89">
        <f t="shared" si="1"/>
        <v>4.0000019399178592</v>
      </c>
      <c r="P8" s="97">
        <f t="shared" si="2"/>
        <v>9.3500019399178598</v>
      </c>
      <c r="Q8" s="135">
        <f t="shared" si="5"/>
        <v>9.999955331840317E-5</v>
      </c>
      <c r="R8" s="89">
        <f t="shared" si="5"/>
        <v>4.4668159689755917E-10</v>
      </c>
      <c r="S8" s="89">
        <f t="shared" si="6"/>
        <v>0.89125093813374545</v>
      </c>
      <c r="T8" s="136">
        <f t="shared" si="6"/>
        <v>1.1220184543019616E-14</v>
      </c>
      <c r="U8" s="137">
        <f t="shared" si="7"/>
        <v>0.999995533184031</v>
      </c>
      <c r="V8" s="88">
        <f t="shared" si="3"/>
        <v>9.3000019399178591</v>
      </c>
      <c r="W8" s="86">
        <f t="shared" si="8"/>
        <v>9.9499980600821409</v>
      </c>
      <c r="X8" s="90">
        <f t="shared" si="4"/>
        <v>0.989995533184031</v>
      </c>
    </row>
    <row r="9" spans="1:16384" x14ac:dyDescent="0.25">
      <c r="A9" s="91"/>
      <c r="B9" s="90"/>
      <c r="C9" s="111" t="s">
        <v>211</v>
      </c>
      <c r="D9" s="132">
        <f>10^-D3</f>
        <v>1.8197008586099817E-5</v>
      </c>
      <c r="E9" s="111" t="s">
        <v>211</v>
      </c>
      <c r="F9" s="133">
        <f>10^-F3</f>
        <v>1.9952623149688773E-8</v>
      </c>
      <c r="G9" s="111" t="s">
        <v>211</v>
      </c>
      <c r="H9" s="132">
        <f>10^-H3</f>
        <v>3.9810717055349657E-6</v>
      </c>
      <c r="I9" s="111" t="s">
        <v>211</v>
      </c>
      <c r="J9" s="134">
        <f>IF($J$2&lt;&gt;"",10^-J3,"Values: 0-1")</f>
        <v>3.981071705534957E-8</v>
      </c>
      <c r="K9" s="111" t="s">
        <v>211</v>
      </c>
      <c r="L9" s="132">
        <f>IF(L3&lt;&gt;"",10^-L3,"")</f>
        <v>2.5118864315095791E-5</v>
      </c>
      <c r="M9" s="91">
        <v>0.06</v>
      </c>
      <c r="N9" s="89">
        <f t="shared" si="0"/>
        <v>13.94</v>
      </c>
      <c r="O9" s="89">
        <f t="shared" si="1"/>
        <v>4.0000019851042481</v>
      </c>
      <c r="P9" s="97">
        <f t="shared" si="2"/>
        <v>9.3400019851042497</v>
      </c>
      <c r="Q9" s="135">
        <f t="shared" si="5"/>
        <v>9.9999542913899522E-5</v>
      </c>
      <c r="R9" s="89">
        <f t="shared" si="5"/>
        <v>4.5708610032829079E-10</v>
      </c>
      <c r="S9" s="89">
        <f t="shared" si="6"/>
        <v>0.87096358995608059</v>
      </c>
      <c r="T9" s="136">
        <f t="shared" si="6"/>
        <v>1.1481536214968808E-14</v>
      </c>
      <c r="U9" s="137">
        <f t="shared" si="7"/>
        <v>0.99999542913899664</v>
      </c>
      <c r="V9" s="88">
        <f t="shared" si="3"/>
        <v>9.2800019851042492</v>
      </c>
      <c r="W9" s="86">
        <f t="shared" si="8"/>
        <v>9.9399980148957514</v>
      </c>
      <c r="X9" s="90">
        <f t="shared" si="4"/>
        <v>0.98999542913899663</v>
      </c>
    </row>
    <row r="10" spans="1:16384" ht="15.75" thickBot="1" x14ac:dyDescent="0.3">
      <c r="A10" s="138"/>
      <c r="B10" s="139"/>
      <c r="C10" s="116" t="s">
        <v>213</v>
      </c>
      <c r="D10" s="140">
        <f>10^-D4</f>
        <v>5.495408738576243E-10</v>
      </c>
      <c r="E10" s="116" t="s">
        <v>213</v>
      </c>
      <c r="F10" s="141">
        <f>10^-F4</f>
        <v>5.0118723362727218E-7</v>
      </c>
      <c r="G10" s="116" t="s">
        <v>213</v>
      </c>
      <c r="H10" s="140">
        <f>10^-H4</f>
        <v>2.5118864315095812E-9</v>
      </c>
      <c r="I10" s="116" t="s">
        <v>213</v>
      </c>
      <c r="J10" s="142">
        <f>IF($J$2&lt;&gt;"",10^-J4,"")</f>
        <v>2.511886431509578E-7</v>
      </c>
      <c r="K10" s="116" t="s">
        <v>213</v>
      </c>
      <c r="L10" s="140">
        <f>IF(L4&lt;&gt;"",10^-L4,"")</f>
        <v>3.9810717055349621E-10</v>
      </c>
      <c r="M10" s="91">
        <v>7.0000000000000007E-2</v>
      </c>
      <c r="N10" s="89">
        <f t="shared" si="0"/>
        <v>13.93</v>
      </c>
      <c r="O10" s="89">
        <f t="shared" si="1"/>
        <v>4.0000020313431577</v>
      </c>
      <c r="P10" s="97">
        <f t="shared" si="2"/>
        <v>9.3300020313431578</v>
      </c>
      <c r="Q10" s="135">
        <f t="shared" si="5"/>
        <v>9.9999532267046372E-5</v>
      </c>
      <c r="R10" s="89">
        <f t="shared" si="5"/>
        <v>4.6773295353580566E-10</v>
      </c>
      <c r="S10" s="89">
        <f t="shared" si="6"/>
        <v>0.85113803820237643</v>
      </c>
      <c r="T10" s="136">
        <f t="shared" si="6"/>
        <v>1.1748975549395272E-14</v>
      </c>
      <c r="U10" s="137">
        <f t="shared" si="7"/>
        <v>0.99999532267046465</v>
      </c>
      <c r="V10" s="88">
        <f t="shared" si="3"/>
        <v>9.2600020313431575</v>
      </c>
      <c r="W10" s="86">
        <f t="shared" si="8"/>
        <v>9.929997968656842</v>
      </c>
      <c r="X10" s="90">
        <f t="shared" si="4"/>
        <v>0.98999532267046464</v>
      </c>
    </row>
    <row r="11" spans="1:16384" x14ac:dyDescent="0.25">
      <c r="M11" s="91">
        <v>0.08</v>
      </c>
      <c r="N11" s="89">
        <f t="shared" si="0"/>
        <v>13.92</v>
      </c>
      <c r="O11" s="89">
        <f t="shared" si="1"/>
        <v>4.0000020786591053</v>
      </c>
      <c r="P11" s="97">
        <f t="shared" si="2"/>
        <v>9.3200020786591065</v>
      </c>
      <c r="Q11" s="135">
        <f t="shared" si="5"/>
        <v>9.9999521372198387E-5</v>
      </c>
      <c r="R11" s="89">
        <f t="shared" si="5"/>
        <v>4.7862780146594835E-10</v>
      </c>
      <c r="S11" s="89">
        <f t="shared" si="6"/>
        <v>0.83176377110267097</v>
      </c>
      <c r="T11" s="136">
        <f t="shared" si="6"/>
        <v>1.2022644346174106E-14</v>
      </c>
      <c r="U11" s="137">
        <f t="shared" si="7"/>
        <v>0.9999952137219853</v>
      </c>
      <c r="V11" s="88">
        <f t="shared" si="3"/>
        <v>9.2400020786591064</v>
      </c>
      <c r="W11" s="86">
        <f t="shared" si="8"/>
        <v>9.9199979213408938</v>
      </c>
      <c r="X11" s="90">
        <f t="shared" si="4"/>
        <v>0.98999521372198529</v>
      </c>
    </row>
    <row r="12" spans="1:16384" x14ac:dyDescent="0.25">
      <c r="M12" s="91">
        <v>0.09</v>
      </c>
      <c r="N12" s="89">
        <f t="shared" si="0"/>
        <v>13.91</v>
      </c>
      <c r="O12" s="89">
        <f t="shared" si="1"/>
        <v>4.0000021270771775</v>
      </c>
      <c r="P12" s="97">
        <f t="shared" si="2"/>
        <v>9.310002127077178</v>
      </c>
      <c r="Q12" s="135">
        <f t="shared" si="5"/>
        <v>9.9999510223579264E-5</v>
      </c>
      <c r="R12" s="89">
        <f t="shared" si="5"/>
        <v>4.8977642054727388E-10</v>
      </c>
      <c r="S12" s="89">
        <f t="shared" si="6"/>
        <v>0.81283051616409918</v>
      </c>
      <c r="T12" s="136">
        <f t="shared" si="6"/>
        <v>1.230268770812379E-14</v>
      </c>
      <c r="U12" s="137">
        <f t="shared" si="7"/>
        <v>0.99999510223579446</v>
      </c>
      <c r="V12" s="88">
        <f t="shared" si="3"/>
        <v>9.2200021270771781</v>
      </c>
      <c r="W12" s="86">
        <f t="shared" si="8"/>
        <v>9.9099978729228226</v>
      </c>
      <c r="X12" s="90">
        <f t="shared" si="4"/>
        <v>0.98999510223579446</v>
      </c>
    </row>
    <row r="13" spans="1:16384" x14ac:dyDescent="0.25">
      <c r="I13" s="84" t="s">
        <v>270</v>
      </c>
      <c r="J13" s="124">
        <f>IF($J$2&lt;&gt;"",0,"")</f>
        <v>0</v>
      </c>
      <c r="K13" s="125"/>
      <c r="L13" s="125"/>
      <c r="M13" s="91">
        <v>0.1</v>
      </c>
      <c r="N13" s="89">
        <f t="shared" si="0"/>
        <v>13.9</v>
      </c>
      <c r="O13" s="89">
        <f t="shared" si="1"/>
        <v>4.0000021766230454</v>
      </c>
      <c r="P13" s="97">
        <f t="shared" si="2"/>
        <v>9.3000021766230461</v>
      </c>
      <c r="Q13" s="135">
        <f t="shared" si="5"/>
        <v>9.9999498815278148E-5</v>
      </c>
      <c r="R13" s="89">
        <f t="shared" si="5"/>
        <v>5.0118472175342815E-10</v>
      </c>
      <c r="S13" s="89">
        <f t="shared" si="6"/>
        <v>0.79432823472428149</v>
      </c>
      <c r="T13" s="136">
        <f t="shared" si="6"/>
        <v>1.2589254117941644E-14</v>
      </c>
      <c r="U13" s="137">
        <f t="shared" si="7"/>
        <v>0.99999498815278254</v>
      </c>
      <c r="V13" s="88">
        <f t="shared" si="3"/>
        <v>9.2000021766230464</v>
      </c>
      <c r="W13" s="86">
        <f t="shared" si="8"/>
        <v>9.899997823376955</v>
      </c>
      <c r="X13" s="90">
        <f t="shared" si="4"/>
        <v>0.98999498815278253</v>
      </c>
    </row>
    <row r="14" spans="1:16384" x14ac:dyDescent="0.25">
      <c r="J14" s="124">
        <f>IF($J$2&lt;&gt;"",14,"")</f>
        <v>14</v>
      </c>
      <c r="K14" s="125"/>
      <c r="L14" s="125"/>
      <c r="M14" s="91">
        <v>0.11</v>
      </c>
      <c r="N14" s="89">
        <f t="shared" si="0"/>
        <v>13.89</v>
      </c>
      <c r="O14" s="89">
        <f t="shared" si="1"/>
        <v>4.0000022273229785</v>
      </c>
      <c r="P14" s="97">
        <f t="shared" si="2"/>
        <v>9.2900022273229794</v>
      </c>
      <c r="Q14" s="135">
        <f t="shared" si="5"/>
        <v>9.9999487141246316E-5</v>
      </c>
      <c r="R14" s="89">
        <f t="shared" si="5"/>
        <v>5.1285875373686135E-10</v>
      </c>
      <c r="S14" s="89">
        <f t="shared" si="6"/>
        <v>0.77624711662869172</v>
      </c>
      <c r="T14" s="136">
        <f t="shared" si="6"/>
        <v>1.2882495516931265E-14</v>
      </c>
      <c r="U14" s="137">
        <f t="shared" si="7"/>
        <v>0.99999487141246257</v>
      </c>
      <c r="V14" s="88">
        <f t="shared" si="3"/>
        <v>9.18000222732298</v>
      </c>
      <c r="W14" s="86">
        <f t="shared" si="8"/>
        <v>9.8899977726770221</v>
      </c>
      <c r="X14" s="90">
        <f t="shared" si="4"/>
        <v>0.98999487141246256</v>
      </c>
    </row>
    <row r="15" spans="1:16384" x14ac:dyDescent="0.25">
      <c r="M15" s="91">
        <v>0.12</v>
      </c>
      <c r="N15" s="89">
        <f t="shared" si="0"/>
        <v>13.88</v>
      </c>
      <c r="O15" s="89">
        <f t="shared" si="1"/>
        <v>4.0000022792038594</v>
      </c>
      <c r="P15" s="97">
        <f t="shared" si="2"/>
        <v>9.2800022792038597</v>
      </c>
      <c r="Q15" s="135">
        <f t="shared" si="5"/>
        <v>9.9999475195293992E-5</v>
      </c>
      <c r="R15" s="89">
        <f t="shared" si="5"/>
        <v>5.2480470603552214E-10</v>
      </c>
      <c r="S15" s="89">
        <f t="shared" si="6"/>
        <v>0.75857757502918366</v>
      </c>
      <c r="T15" s="136">
        <f t="shared" si="6"/>
        <v>1.3182567385563993E-14</v>
      </c>
      <c r="U15" s="137">
        <f t="shared" si="7"/>
        <v>0.99999475195293963</v>
      </c>
      <c r="V15" s="88">
        <f t="shared" si="3"/>
        <v>9.1600022792038605</v>
      </c>
      <c r="W15" s="86">
        <f t="shared" si="8"/>
        <v>9.8799977207961405</v>
      </c>
      <c r="X15" s="90">
        <f t="shared" si="4"/>
        <v>0.98999475195293962</v>
      </c>
    </row>
    <row r="16" spans="1:16384" x14ac:dyDescent="0.25">
      <c r="M16" s="91">
        <v>0.13</v>
      </c>
      <c r="N16" s="89">
        <f t="shared" si="0"/>
        <v>13.87</v>
      </c>
      <c r="O16" s="89">
        <f t="shared" si="1"/>
        <v>4.000002332293195</v>
      </c>
      <c r="P16" s="97">
        <f t="shared" si="2"/>
        <v>9.2700023322931955</v>
      </c>
      <c r="Q16" s="135">
        <f t="shared" si="5"/>
        <v>9.9999462971087509E-5</v>
      </c>
      <c r="R16" s="89">
        <f t="shared" si="5"/>
        <v>5.3702891235423539E-10</v>
      </c>
      <c r="S16" s="89">
        <f t="shared" si="6"/>
        <v>0.74131024130091738</v>
      </c>
      <c r="T16" s="136">
        <f t="shared" si="6"/>
        <v>1.3489628825916503E-14</v>
      </c>
      <c r="U16" s="137">
        <f t="shared" si="7"/>
        <v>0.99999462971087638</v>
      </c>
      <c r="V16" s="88">
        <f t="shared" si="3"/>
        <v>9.1400023322931947</v>
      </c>
      <c r="W16" s="86">
        <f t="shared" si="8"/>
        <v>9.8699976677068051</v>
      </c>
      <c r="X16" s="90">
        <f t="shared" si="4"/>
        <v>0.98999462971087637</v>
      </c>
    </row>
    <row r="17" spans="13:24" x14ac:dyDescent="0.25">
      <c r="M17" s="91">
        <v>0.14000000000000001</v>
      </c>
      <c r="N17" s="89">
        <f t="shared" si="0"/>
        <v>13.86</v>
      </c>
      <c r="O17" s="89">
        <f t="shared" si="1"/>
        <v>4.0000023866191334</v>
      </c>
      <c r="P17" s="97">
        <f t="shared" si="2"/>
        <v>9.260002386619135</v>
      </c>
      <c r="Q17" s="135">
        <f t="shared" si="5"/>
        <v>9.9999450462145994E-5</v>
      </c>
      <c r="R17" s="89">
        <f t="shared" si="5"/>
        <v>5.4953785392249686E-10</v>
      </c>
      <c r="S17" s="89">
        <f t="shared" si="6"/>
        <v>0.72443596007499</v>
      </c>
      <c r="T17" s="136">
        <f t="shared" si="6"/>
        <v>1.3803842646028814E-14</v>
      </c>
      <c r="U17" s="137">
        <f t="shared" si="7"/>
        <v>0.99999450462146089</v>
      </c>
      <c r="V17" s="88">
        <f t="shared" si="3"/>
        <v>9.1200023866191344</v>
      </c>
      <c r="W17" s="86">
        <f t="shared" si="8"/>
        <v>9.859997613380866</v>
      </c>
      <c r="X17" s="90">
        <f t="shared" si="4"/>
        <v>0.98999450462146088</v>
      </c>
    </row>
    <row r="18" spans="13:24" x14ac:dyDescent="0.25">
      <c r="M18" s="91">
        <v>0.15</v>
      </c>
      <c r="N18" s="89">
        <f t="shared" si="0"/>
        <v>13.85</v>
      </c>
      <c r="O18" s="89">
        <f t="shared" si="1"/>
        <v>4.0000024422104783</v>
      </c>
      <c r="P18" s="97">
        <f t="shared" si="2"/>
        <v>9.2500024422104783</v>
      </c>
      <c r="Q18" s="135">
        <f t="shared" si="5"/>
        <v>9.9999437661836855E-5</v>
      </c>
      <c r="R18" s="89">
        <f t="shared" si="5"/>
        <v>5.6233816293047056E-10</v>
      </c>
      <c r="S18" s="89">
        <f t="shared" si="6"/>
        <v>0.70794578438413791</v>
      </c>
      <c r="T18" s="136">
        <f t="shared" si="6"/>
        <v>1.4125375446227505E-14</v>
      </c>
      <c r="U18" s="137">
        <f t="shared" si="7"/>
        <v>0.99999437661837065</v>
      </c>
      <c r="V18" s="88">
        <f t="shared" si="3"/>
        <v>9.1000024422104779</v>
      </c>
      <c r="W18" s="86">
        <f t="shared" si="8"/>
        <v>9.8499975577895214</v>
      </c>
      <c r="X18" s="90">
        <f t="shared" si="4"/>
        <v>0.98999437661837064</v>
      </c>
    </row>
    <row r="19" spans="13:24" x14ac:dyDescent="0.25">
      <c r="M19" s="91">
        <v>0.16</v>
      </c>
      <c r="N19" s="89">
        <f t="shared" si="0"/>
        <v>13.84</v>
      </c>
      <c r="O19" s="89">
        <f t="shared" si="1"/>
        <v>4.0000024990967038</v>
      </c>
      <c r="P19" s="97">
        <f t="shared" si="2"/>
        <v>9.240002499096704</v>
      </c>
      <c r="Q19" s="135">
        <f t="shared" si="5"/>
        <v>9.9999424563374003E-5</v>
      </c>
      <c r="R19" s="89">
        <f t="shared" si="5"/>
        <v>5.7543662604499494E-10</v>
      </c>
      <c r="S19" s="89">
        <f t="shared" si="6"/>
        <v>0.69183097091893653</v>
      </c>
      <c r="T19" s="136">
        <f t="shared" si="6"/>
        <v>1.4454397707459233E-14</v>
      </c>
      <c r="U19" s="137">
        <f t="shared" si="7"/>
        <v>0.99999424563373962</v>
      </c>
      <c r="V19" s="88">
        <f t="shared" si="3"/>
        <v>9.0800024990967039</v>
      </c>
      <c r="W19" s="86">
        <f t="shared" si="8"/>
        <v>9.8399975009032961</v>
      </c>
      <c r="X19" s="90">
        <f t="shared" si="4"/>
        <v>0.98999424563373961</v>
      </c>
    </row>
    <row r="20" spans="13:24" x14ac:dyDescent="0.25">
      <c r="M20" s="91">
        <v>0.17</v>
      </c>
      <c r="N20" s="89">
        <f t="shared" si="0"/>
        <v>13.83</v>
      </c>
      <c r="O20" s="89">
        <f t="shared" si="1"/>
        <v>4.0000025573079725</v>
      </c>
      <c r="P20" s="97">
        <f t="shared" si="2"/>
        <v>9.2300025573079729</v>
      </c>
      <c r="Q20" s="135">
        <f t="shared" si="5"/>
        <v>9.9999411159812051E-5</v>
      </c>
      <c r="R20" s="89">
        <f t="shared" si="5"/>
        <v>5.8884018800750112E-10</v>
      </c>
      <c r="S20" s="89">
        <f t="shared" si="6"/>
        <v>0.67608297539198181</v>
      </c>
      <c r="T20" s="136">
        <f t="shared" si="6"/>
        <v>1.4791083881682031E-14</v>
      </c>
      <c r="U20" s="137">
        <f t="shared" si="7"/>
        <v>0.99999411159811991</v>
      </c>
      <c r="V20" s="88">
        <f t="shared" si="3"/>
        <v>9.060002557307973</v>
      </c>
      <c r="W20" s="86">
        <f t="shared" si="8"/>
        <v>9.8299974426920276</v>
      </c>
      <c r="X20" s="90">
        <f t="shared" si="4"/>
        <v>0.9899941115981199</v>
      </c>
    </row>
    <row r="21" spans="13:24" x14ac:dyDescent="0.25">
      <c r="M21" s="91">
        <v>0.18</v>
      </c>
      <c r="N21" s="89">
        <f t="shared" si="0"/>
        <v>13.82</v>
      </c>
      <c r="O21" s="89">
        <f t="shared" si="1"/>
        <v>4.0000026168751486</v>
      </c>
      <c r="P21" s="97">
        <f t="shared" si="2"/>
        <v>9.2200026168751492</v>
      </c>
      <c r="Q21" s="135">
        <f t="shared" si="5"/>
        <v>9.9999397444044502E-5</v>
      </c>
      <c r="R21" s="89">
        <f t="shared" si="5"/>
        <v>6.0255595531568439E-10</v>
      </c>
      <c r="S21" s="89">
        <f t="shared" si="6"/>
        <v>0.660693448007596</v>
      </c>
      <c r="T21" s="136">
        <f t="shared" si="6"/>
        <v>1.5135612484362038E-14</v>
      </c>
      <c r="U21" s="137">
        <f t="shared" si="7"/>
        <v>0.99999397444044691</v>
      </c>
      <c r="V21" s="88">
        <f t="shared" si="3"/>
        <v>9.0400026168751495</v>
      </c>
      <c r="W21" s="86">
        <f t="shared" si="8"/>
        <v>9.8199973831248517</v>
      </c>
      <c r="X21" s="90">
        <f t="shared" si="4"/>
        <v>0.9899939744404469</v>
      </c>
    </row>
    <row r="22" spans="13:24" x14ac:dyDescent="0.25">
      <c r="M22" s="91">
        <v>0.19</v>
      </c>
      <c r="N22" s="89">
        <f t="shared" si="0"/>
        <v>13.81</v>
      </c>
      <c r="O22" s="89">
        <f t="shared" si="1"/>
        <v>4.000002677829813</v>
      </c>
      <c r="P22" s="97">
        <f t="shared" si="2"/>
        <v>9.210002677829813</v>
      </c>
      <c r="Q22" s="135">
        <f t="shared" si="5"/>
        <v>9.9999383408800005E-5</v>
      </c>
      <c r="R22" s="89">
        <f t="shared" si="5"/>
        <v>6.165911999909611E-10</v>
      </c>
      <c r="S22" s="89">
        <f t="shared" si="6"/>
        <v>0.64565422903465541</v>
      </c>
      <c r="T22" s="136">
        <f t="shared" si="6"/>
        <v>1.5488166189124764E-14</v>
      </c>
      <c r="U22" s="137">
        <f t="shared" si="7"/>
        <v>0.99999383408800013</v>
      </c>
      <c r="V22" s="88">
        <f t="shared" si="3"/>
        <v>9.0200026778298135</v>
      </c>
      <c r="W22" s="86">
        <f t="shared" si="8"/>
        <v>9.8099973221701866</v>
      </c>
      <c r="X22" s="90">
        <f t="shared" si="4"/>
        <v>0.98999383408800012</v>
      </c>
    </row>
    <row r="23" spans="13:24" x14ac:dyDescent="0.25">
      <c r="M23" s="91">
        <v>0.2</v>
      </c>
      <c r="N23" s="89">
        <f t="shared" si="0"/>
        <v>13.8</v>
      </c>
      <c r="O23" s="89">
        <f t="shared" si="1"/>
        <v>4.0000027402042857</v>
      </c>
      <c r="P23" s="97">
        <f t="shared" si="2"/>
        <v>9.2000027402042868</v>
      </c>
      <c r="Q23" s="135">
        <f t="shared" si="5"/>
        <v>9.9999369046636515E-5</v>
      </c>
      <c r="R23" s="89">
        <f t="shared" si="5"/>
        <v>6.3095336343360269E-10</v>
      </c>
      <c r="S23" s="89">
        <f t="shared" si="6"/>
        <v>0.63095734448019325</v>
      </c>
      <c r="T23" s="136">
        <f t="shared" si="6"/>
        <v>1.5848931924611084E-14</v>
      </c>
      <c r="U23" s="137">
        <f t="shared" si="7"/>
        <v>0.99999369046636566</v>
      </c>
      <c r="V23" s="88">
        <f t="shared" si="3"/>
        <v>9.0000027402042875</v>
      </c>
      <c r="W23" s="86">
        <f t="shared" si="8"/>
        <v>9.799997259795715</v>
      </c>
      <c r="X23" s="90">
        <f t="shared" si="4"/>
        <v>0.98999369046636565</v>
      </c>
    </row>
    <row r="24" spans="13:24" x14ac:dyDescent="0.25">
      <c r="M24" s="91">
        <v>0.21</v>
      </c>
      <c r="N24" s="89">
        <f t="shared" si="0"/>
        <v>13.79</v>
      </c>
      <c r="O24" s="89">
        <f t="shared" si="1"/>
        <v>4.0000028040316371</v>
      </c>
      <c r="P24" s="97">
        <f t="shared" si="2"/>
        <v>9.1900028040316375</v>
      </c>
      <c r="Q24" s="135">
        <f t="shared" si="5"/>
        <v>9.9999354349939517E-5</v>
      </c>
      <c r="R24" s="89">
        <f t="shared" si="5"/>
        <v>6.4565006036773286E-10</v>
      </c>
      <c r="S24" s="89">
        <f t="shared" si="6"/>
        <v>0.61659500186148219</v>
      </c>
      <c r="T24" s="136">
        <f t="shared" si="6"/>
        <v>1.6218100973589306E-14</v>
      </c>
      <c r="U24" s="137">
        <f t="shared" si="7"/>
        <v>0.99999354349939629</v>
      </c>
      <c r="V24" s="88">
        <f t="shared" si="3"/>
        <v>8.9800028040316366</v>
      </c>
      <c r="W24" s="86">
        <f t="shared" si="8"/>
        <v>9.7899971959683612</v>
      </c>
      <c r="X24" s="90">
        <f t="shared" si="4"/>
        <v>0.98999354349939628</v>
      </c>
    </row>
    <row r="25" spans="13:24" x14ac:dyDescent="0.25">
      <c r="M25" s="91">
        <v>0.22</v>
      </c>
      <c r="N25" s="89">
        <f t="shared" si="0"/>
        <v>13.78</v>
      </c>
      <c r="O25" s="89">
        <f t="shared" si="1"/>
        <v>4.0000028693457086</v>
      </c>
      <c r="P25" s="97">
        <f t="shared" si="2"/>
        <v>9.1800028693457083</v>
      </c>
      <c r="Q25" s="135">
        <f t="shared" si="5"/>
        <v>9.9999339310916864E-5</v>
      </c>
      <c r="R25" s="89">
        <f t="shared" si="5"/>
        <v>6.6068908287811182E-10</v>
      </c>
      <c r="S25" s="89">
        <f t="shared" si="6"/>
        <v>0.60255958607435778</v>
      </c>
      <c r="T25" s="136">
        <f t="shared" si="6"/>
        <v>1.659586907437561E-14</v>
      </c>
      <c r="U25" s="137">
        <f t="shared" si="7"/>
        <v>0.99999339310917112</v>
      </c>
      <c r="V25" s="88">
        <f t="shared" si="3"/>
        <v>8.9600028693457077</v>
      </c>
      <c r="W25" s="86">
        <f t="shared" si="8"/>
        <v>9.7799971306542908</v>
      </c>
      <c r="X25" s="90">
        <f t="shared" si="4"/>
        <v>0.98999339310917112</v>
      </c>
    </row>
    <row r="26" spans="13:24" x14ac:dyDescent="0.25">
      <c r="M26" s="91">
        <v>0.23</v>
      </c>
      <c r="N26" s="89">
        <f t="shared" si="0"/>
        <v>13.77</v>
      </c>
      <c r="O26" s="89">
        <f t="shared" si="1"/>
        <v>4.0000029361811293</v>
      </c>
      <c r="P26" s="97">
        <f t="shared" si="2"/>
        <v>9.1700029361811293</v>
      </c>
      <c r="Q26" s="135">
        <f t="shared" si="5"/>
        <v>9.9999323921595414E-5</v>
      </c>
      <c r="R26" s="89">
        <f t="shared" si="5"/>
        <v>6.7607840454098666E-10</v>
      </c>
      <c r="S26" s="89">
        <f t="shared" si="6"/>
        <v>0.58884365535558891</v>
      </c>
      <c r="T26" s="136">
        <f t="shared" si="6"/>
        <v>1.6982436524617383E-14</v>
      </c>
      <c r="U26" s="137">
        <f t="shared" si="7"/>
        <v>0.99999323921595462</v>
      </c>
      <c r="V26" s="88">
        <f t="shared" si="3"/>
        <v>8.9400029361811288</v>
      </c>
      <c r="W26" s="86">
        <f t="shared" si="8"/>
        <v>9.7699970638188702</v>
      </c>
      <c r="X26" s="90">
        <f t="shared" si="4"/>
        <v>0.98999323921595461</v>
      </c>
    </row>
    <row r="27" spans="13:24" x14ac:dyDescent="0.25">
      <c r="M27" s="91">
        <v>0.24</v>
      </c>
      <c r="N27" s="89">
        <f t="shared" si="0"/>
        <v>13.76</v>
      </c>
      <c r="O27" s="89">
        <f t="shared" si="1"/>
        <v>4.0000030045733377</v>
      </c>
      <c r="P27" s="97">
        <f t="shared" si="2"/>
        <v>9.1600030045733387</v>
      </c>
      <c r="Q27" s="135">
        <f t="shared" si="5"/>
        <v>9.999930817381515E-5</v>
      </c>
      <c r="R27" s="89">
        <f t="shared" si="5"/>
        <v>6.9182618465112328E-10</v>
      </c>
      <c r="S27" s="89">
        <f t="shared" si="6"/>
        <v>0.57543993733715693</v>
      </c>
      <c r="T27" s="136">
        <f t="shared" si="6"/>
        <v>1.7378008287493692E-14</v>
      </c>
      <c r="U27" s="137">
        <f t="shared" si="7"/>
        <v>0.99999308173815349</v>
      </c>
      <c r="V27" s="88">
        <f t="shared" si="3"/>
        <v>8.9200030045733385</v>
      </c>
      <c r="W27" s="86">
        <f t="shared" si="8"/>
        <v>9.7599969954266612</v>
      </c>
      <c r="X27" s="90">
        <f t="shared" si="4"/>
        <v>0.98999308173815348</v>
      </c>
    </row>
    <row r="28" spans="13:24" x14ac:dyDescent="0.25">
      <c r="M28" s="91">
        <v>0.25</v>
      </c>
      <c r="N28" s="89">
        <f t="shared" si="0"/>
        <v>13.75</v>
      </c>
      <c r="O28" s="89">
        <f t="shared" si="1"/>
        <v>4.0000030745585935</v>
      </c>
      <c r="P28" s="97">
        <f t="shared" si="2"/>
        <v>9.1500030745585939</v>
      </c>
      <c r="Q28" s="135">
        <f t="shared" si="5"/>
        <v>9.9999292059227242E-5</v>
      </c>
      <c r="R28" s="89">
        <f t="shared" si="5"/>
        <v>7.0794077254727959E-10</v>
      </c>
      <c r="S28" s="89">
        <f t="shared" si="6"/>
        <v>0.56234132519034907</v>
      </c>
      <c r="T28" s="136">
        <f t="shared" si="6"/>
        <v>1.7782794100389161E-14</v>
      </c>
      <c r="U28" s="137">
        <f t="shared" si="7"/>
        <v>0.99999292059227451</v>
      </c>
      <c r="V28" s="88">
        <f t="shared" si="3"/>
        <v>8.9000030745585939</v>
      </c>
      <c r="W28" s="86">
        <f t="shared" si="8"/>
        <v>9.7499969254414065</v>
      </c>
      <c r="X28" s="90">
        <f t="shared" si="4"/>
        <v>0.98999292059227451</v>
      </c>
    </row>
    <row r="29" spans="13:24" x14ac:dyDescent="0.25">
      <c r="M29" s="91">
        <v>0.26</v>
      </c>
      <c r="N29" s="89">
        <f t="shared" si="0"/>
        <v>13.74</v>
      </c>
      <c r="O29" s="89">
        <f t="shared" si="1"/>
        <v>4.0000031461740031</v>
      </c>
      <c r="P29" s="97">
        <f t="shared" si="2"/>
        <v>9.1400031461740046</v>
      </c>
      <c r="Q29" s="135">
        <f t="shared" si="5"/>
        <v>9.999927556928804E-5</v>
      </c>
      <c r="R29" s="89">
        <f t="shared" si="5"/>
        <v>7.2443071203840237E-10</v>
      </c>
      <c r="S29" s="89">
        <f t="shared" si="6"/>
        <v>0.54954087385762451</v>
      </c>
      <c r="T29" s="136">
        <f t="shared" si="6"/>
        <v>1.8197008586099766E-14</v>
      </c>
      <c r="U29" s="137">
        <f t="shared" si="7"/>
        <v>0.99999275569287971</v>
      </c>
      <c r="V29" s="88">
        <f t="shared" si="3"/>
        <v>8.8800031461740048</v>
      </c>
      <c r="W29" s="86">
        <f t="shared" si="8"/>
        <v>9.7399968538259962</v>
      </c>
      <c r="X29" s="90">
        <f t="shared" si="4"/>
        <v>0.9899927556928797</v>
      </c>
    </row>
    <row r="30" spans="13:24" x14ac:dyDescent="0.25">
      <c r="M30" s="91">
        <v>0.27</v>
      </c>
      <c r="N30" s="89">
        <f t="shared" si="0"/>
        <v>13.73</v>
      </c>
      <c r="O30" s="89">
        <f t="shared" si="1"/>
        <v>4.0000032194575388</v>
      </c>
      <c r="P30" s="97">
        <f t="shared" si="2"/>
        <v>9.1300032194575405</v>
      </c>
      <c r="Q30" s="135">
        <f t="shared" si="5"/>
        <v>9.9999258695253982E-5</v>
      </c>
      <c r="R30" s="89">
        <f t="shared" si="5"/>
        <v>7.4130474593291286E-10</v>
      </c>
      <c r="S30" s="89">
        <f t="shared" si="6"/>
        <v>0.53703179637025267</v>
      </c>
      <c r="T30" s="136">
        <f t="shared" si="6"/>
        <v>1.8620871366628604E-14</v>
      </c>
      <c r="U30" s="137">
        <f t="shared" si="7"/>
        <v>0.99999258695254067</v>
      </c>
      <c r="V30" s="88">
        <f t="shared" si="3"/>
        <v>8.8600032194575409</v>
      </c>
      <c r="W30" s="86">
        <f t="shared" si="8"/>
        <v>9.7299967805424608</v>
      </c>
      <c r="X30" s="90">
        <f t="shared" si="4"/>
        <v>0.98999258695254067</v>
      </c>
    </row>
    <row r="31" spans="13:24" x14ac:dyDescent="0.25">
      <c r="M31" s="91">
        <v>0.28000000000000003</v>
      </c>
      <c r="N31" s="89">
        <f t="shared" si="0"/>
        <v>13.72</v>
      </c>
      <c r="O31" s="89">
        <f t="shared" si="1"/>
        <v>4.0000032944480539</v>
      </c>
      <c r="P31" s="97">
        <f t="shared" si="2"/>
        <v>9.120003294448054</v>
      </c>
      <c r="Q31" s="135">
        <f t="shared" si="5"/>
        <v>9.9999241428179263E-5</v>
      </c>
      <c r="R31" s="89">
        <f t="shared" si="5"/>
        <v>7.5857182067346061E-10</v>
      </c>
      <c r="S31" s="89">
        <f t="shared" si="6"/>
        <v>0.52480746024977254</v>
      </c>
      <c r="T31" s="136">
        <f t="shared" si="6"/>
        <v>1.9054607179632396E-14</v>
      </c>
      <c r="U31" s="137">
        <f t="shared" si="7"/>
        <v>0.99999241428179331</v>
      </c>
      <c r="V31" s="88">
        <f t="shared" si="3"/>
        <v>8.8400032944480547</v>
      </c>
      <c r="W31" s="86">
        <f t="shared" si="8"/>
        <v>9.7199967055519458</v>
      </c>
      <c r="X31" s="90">
        <f t="shared" si="4"/>
        <v>0.9899924142817933</v>
      </c>
    </row>
    <row r="32" spans="13:24" x14ac:dyDescent="0.25">
      <c r="M32" s="91">
        <v>0.28999999999999998</v>
      </c>
      <c r="N32" s="89">
        <f t="shared" si="0"/>
        <v>13.71</v>
      </c>
      <c r="O32" s="89">
        <f t="shared" si="1"/>
        <v>4.0000033711853087</v>
      </c>
      <c r="P32" s="97">
        <f t="shared" si="2"/>
        <v>9.1100033711853108</v>
      </c>
      <c r="Q32" s="135">
        <f t="shared" si="5"/>
        <v>9.9999223758909014E-5</v>
      </c>
      <c r="R32" s="89">
        <f t="shared" si="5"/>
        <v>7.762410910795986E-10</v>
      </c>
      <c r="S32" s="89">
        <f t="shared" si="6"/>
        <v>0.51286138399136483</v>
      </c>
      <c r="T32" s="136">
        <f t="shared" si="6"/>
        <v>1.9498445997580372E-14</v>
      </c>
      <c r="U32" s="137">
        <f t="shared" si="7"/>
        <v>0.99999223758908917</v>
      </c>
      <c r="V32" s="88">
        <f t="shared" si="3"/>
        <v>8.8200033711853116</v>
      </c>
      <c r="W32" s="86">
        <f t="shared" si="8"/>
        <v>9.7099966288146931</v>
      </c>
      <c r="X32" s="90">
        <f t="shared" si="4"/>
        <v>0.98999223758908916</v>
      </c>
    </row>
    <row r="33" spans="13:24" x14ac:dyDescent="0.25">
      <c r="M33" s="91">
        <v>0.3</v>
      </c>
      <c r="N33" s="89">
        <f t="shared" si="0"/>
        <v>13.7</v>
      </c>
      <c r="O33" s="89">
        <f t="shared" si="1"/>
        <v>4.0000034497099906</v>
      </c>
      <c r="P33" s="97">
        <f t="shared" si="2"/>
        <v>9.1000034497099911</v>
      </c>
      <c r="Q33" s="135">
        <f t="shared" si="5"/>
        <v>9.9999205678074645E-5</v>
      </c>
      <c r="R33" s="89">
        <f t="shared" si="5"/>
        <v>7.9432192520095298E-10</v>
      </c>
      <c r="S33" s="89">
        <f t="shared" si="6"/>
        <v>0.50118723362727224</v>
      </c>
      <c r="T33" s="136">
        <f t="shared" si="6"/>
        <v>1.9952623149688784E-14</v>
      </c>
      <c r="U33" s="137">
        <f t="shared" si="7"/>
        <v>0.99999205678074798</v>
      </c>
      <c r="V33" s="88">
        <f t="shared" si="3"/>
        <v>8.8000034497099904</v>
      </c>
      <c r="W33" s="86">
        <f t="shared" si="8"/>
        <v>9.6999965502900096</v>
      </c>
      <c r="X33" s="90">
        <f t="shared" si="4"/>
        <v>0.98999205678074798</v>
      </c>
    </row>
    <row r="34" spans="13:24" x14ac:dyDescent="0.25">
      <c r="M34" s="91">
        <v>0.31</v>
      </c>
      <c r="N34" s="89">
        <f t="shared" si="0"/>
        <v>13.69</v>
      </c>
      <c r="O34" s="89">
        <f t="shared" si="1"/>
        <v>4.000003530063732</v>
      </c>
      <c r="P34" s="97">
        <f t="shared" si="2"/>
        <v>9.0900035300637327</v>
      </c>
      <c r="Q34" s="135">
        <f t="shared" si="5"/>
        <v>9.9999187176090697E-5</v>
      </c>
      <c r="R34" s="89">
        <f t="shared" si="5"/>
        <v>8.1282390928331938E-10</v>
      </c>
      <c r="S34" s="89">
        <f t="shared" si="6"/>
        <v>0.48977881936844614</v>
      </c>
      <c r="T34" s="136">
        <f t="shared" si="6"/>
        <v>2.0417379446695278E-14</v>
      </c>
      <c r="U34" s="137">
        <f t="shared" si="7"/>
        <v>0.9999918717609072</v>
      </c>
      <c r="V34" s="88">
        <f t="shared" si="3"/>
        <v>8.7800035300637322</v>
      </c>
      <c r="W34" s="86">
        <f t="shared" si="8"/>
        <v>9.6899964699362684</v>
      </c>
      <c r="X34" s="90">
        <f t="shared" si="4"/>
        <v>0.98999187176090719</v>
      </c>
    </row>
    <row r="35" spans="13:24" x14ac:dyDescent="0.25">
      <c r="M35" s="91">
        <v>0.32</v>
      </c>
      <c r="N35" s="89">
        <f t="shared" si="0"/>
        <v>13.68</v>
      </c>
      <c r="O35" s="89">
        <f t="shared" si="1"/>
        <v>4.0000036122891371</v>
      </c>
      <c r="P35" s="97">
        <f t="shared" si="2"/>
        <v>9.0800036122891381</v>
      </c>
      <c r="Q35" s="135">
        <f t="shared" si="5"/>
        <v>9.99991682431472E-5</v>
      </c>
      <c r="R35" s="89">
        <f t="shared" si="5"/>
        <v>8.3175685285050178E-10</v>
      </c>
      <c r="S35" s="89">
        <f t="shared" si="6"/>
        <v>0.47863009232263831</v>
      </c>
      <c r="T35" s="136">
        <f t="shared" si="6"/>
        <v>2.0892961308540382E-14</v>
      </c>
      <c r="U35" s="137">
        <f t="shared" si="7"/>
        <v>0.99999168243147152</v>
      </c>
      <c r="V35" s="88">
        <f t="shared" si="3"/>
        <v>8.7600036122891378</v>
      </c>
      <c r="W35" s="86">
        <f t="shared" si="8"/>
        <v>9.6799963877108617</v>
      </c>
      <c r="X35" s="90">
        <f t="shared" si="4"/>
        <v>0.98999168243147151</v>
      </c>
    </row>
    <row r="36" spans="13:24" x14ac:dyDescent="0.25">
      <c r="M36" s="91">
        <v>0.33</v>
      </c>
      <c r="N36" s="89">
        <f t="shared" si="0"/>
        <v>13.67</v>
      </c>
      <c r="O36" s="89">
        <f t="shared" si="1"/>
        <v>4.0000036964298022</v>
      </c>
      <c r="P36" s="97">
        <f t="shared" si="2"/>
        <v>9.0700036964298025</v>
      </c>
      <c r="Q36" s="135">
        <f t="shared" si="5"/>
        <v>9.9999148869206122E-5</v>
      </c>
      <c r="R36" s="89">
        <f t="shared" si="5"/>
        <v>8.5113079390443388E-10</v>
      </c>
      <c r="S36" s="89">
        <f t="shared" si="6"/>
        <v>0.46773514128719818</v>
      </c>
      <c r="T36" s="136">
        <f t="shared" si="6"/>
        <v>2.1379620895022229E-14</v>
      </c>
      <c r="U36" s="137">
        <f t="shared" si="7"/>
        <v>0.99999148869206089</v>
      </c>
      <c r="V36" s="88">
        <f t="shared" si="3"/>
        <v>8.7400036964298025</v>
      </c>
      <c r="W36" s="86">
        <f t="shared" si="8"/>
        <v>9.6699963035701977</v>
      </c>
      <c r="X36" s="90">
        <f t="shared" si="4"/>
        <v>0.98999148869206088</v>
      </c>
    </row>
    <row r="37" spans="13:24" x14ac:dyDescent="0.25">
      <c r="M37" s="91">
        <v>0.34</v>
      </c>
      <c r="N37" s="89">
        <f t="shared" si="0"/>
        <v>13.66</v>
      </c>
      <c r="O37" s="89">
        <f t="shared" si="1"/>
        <v>4.0000037825303387</v>
      </c>
      <c r="P37" s="97">
        <f t="shared" si="2"/>
        <v>9.0600037825303392</v>
      </c>
      <c r="Q37" s="135">
        <f t="shared" si="5"/>
        <v>9.9999129043995503E-5</v>
      </c>
      <c r="R37" s="89">
        <f t="shared" si="5"/>
        <v>8.7095600424639715E-10</v>
      </c>
      <c r="S37" s="89">
        <f t="shared" si="6"/>
        <v>0.45708818961487502</v>
      </c>
      <c r="T37" s="136">
        <f t="shared" si="6"/>
        <v>2.1877616239495426E-14</v>
      </c>
      <c r="U37" s="137">
        <f t="shared" si="7"/>
        <v>0.9999912904399576</v>
      </c>
      <c r="V37" s="88">
        <f t="shared" si="3"/>
        <v>8.7200037825303394</v>
      </c>
      <c r="W37" s="86">
        <f t="shared" si="8"/>
        <v>9.6599962174696614</v>
      </c>
      <c r="X37" s="90">
        <f t="shared" si="4"/>
        <v>0.98999129043995759</v>
      </c>
    </row>
    <row r="38" spans="13:24" x14ac:dyDescent="0.25">
      <c r="M38" s="91">
        <v>0.35</v>
      </c>
      <c r="N38" s="89">
        <f t="shared" si="0"/>
        <v>13.65</v>
      </c>
      <c r="O38" s="89">
        <f t="shared" si="1"/>
        <v>4.0000038706363954</v>
      </c>
      <c r="P38" s="97">
        <f t="shared" si="2"/>
        <v>9.050003870636397</v>
      </c>
      <c r="Q38" s="135">
        <f t="shared" si="5"/>
        <v>9.9999108757005154E-5</v>
      </c>
      <c r="R38" s="89">
        <f t="shared" si="5"/>
        <v>8.9124299492218838E-10</v>
      </c>
      <c r="S38" s="89">
        <f t="shared" si="6"/>
        <v>0.44668359215096315</v>
      </c>
      <c r="T38" s="136">
        <f t="shared" si="6"/>
        <v>2.2387211385683295E-14</v>
      </c>
      <c r="U38" s="137">
        <f t="shared" si="7"/>
        <v>0.99999108757005084</v>
      </c>
      <c r="V38" s="88">
        <f t="shared" si="3"/>
        <v>8.7000038706363974</v>
      </c>
      <c r="W38" s="86">
        <f t="shared" si="8"/>
        <v>9.6499961293636041</v>
      </c>
      <c r="X38" s="90">
        <f t="shared" si="4"/>
        <v>0.98999108757005083</v>
      </c>
    </row>
    <row r="39" spans="13:24" x14ac:dyDescent="0.25">
      <c r="M39" s="91">
        <v>0.36</v>
      </c>
      <c r="N39" s="89">
        <f t="shared" si="0"/>
        <v>13.64</v>
      </c>
      <c r="O39" s="89">
        <f t="shared" si="1"/>
        <v>4.0000039607946887</v>
      </c>
      <c r="P39" s="97">
        <f t="shared" si="2"/>
        <v>9.0400039607946887</v>
      </c>
      <c r="Q39" s="135">
        <f t="shared" si="5"/>
        <v>9.9999087997478014E-5</v>
      </c>
      <c r="R39" s="89">
        <f t="shared" si="5"/>
        <v>9.1200252179405271E-10</v>
      </c>
      <c r="S39" s="89">
        <f t="shared" si="6"/>
        <v>0.43651583224016594</v>
      </c>
      <c r="T39" s="136">
        <f t="shared" si="6"/>
        <v>2.2908676527677622E-14</v>
      </c>
      <c r="U39" s="137">
        <f t="shared" si="7"/>
        <v>0.99999087997478209</v>
      </c>
      <c r="V39" s="88">
        <f t="shared" si="3"/>
        <v>8.6800039607946893</v>
      </c>
      <c r="W39" s="86">
        <f t="shared" si="8"/>
        <v>9.639996039205311</v>
      </c>
      <c r="X39" s="90">
        <f t="shared" si="4"/>
        <v>0.98999087997478208</v>
      </c>
    </row>
    <row r="40" spans="13:24" x14ac:dyDescent="0.25">
      <c r="M40" s="91">
        <v>0.37</v>
      </c>
      <c r="N40" s="89">
        <f t="shared" si="0"/>
        <v>13.63</v>
      </c>
      <c r="O40" s="89">
        <f t="shared" si="1"/>
        <v>4.0000040530530176</v>
      </c>
      <c r="P40" s="97">
        <f t="shared" si="2"/>
        <v>9.0300040530530179</v>
      </c>
      <c r="Q40" s="135">
        <f t="shared" si="5"/>
        <v>9.9999066754408739E-5</v>
      </c>
      <c r="R40" s="89">
        <f t="shared" si="5"/>
        <v>9.3324559124237199E-10</v>
      </c>
      <c r="S40" s="89">
        <f t="shared" si="6"/>
        <v>0.42657951880159267</v>
      </c>
      <c r="T40" s="136">
        <f t="shared" si="6"/>
        <v>2.3442288153199111E-14</v>
      </c>
      <c r="U40" s="137">
        <f t="shared" si="7"/>
        <v>0.99999066754408761</v>
      </c>
      <c r="V40" s="88">
        <f t="shared" si="3"/>
        <v>8.6600040530530187</v>
      </c>
      <c r="W40" s="86">
        <f t="shared" si="8"/>
        <v>9.629995946946984</v>
      </c>
      <c r="X40" s="90">
        <f t="shared" si="4"/>
        <v>0.9899906675440876</v>
      </c>
    </row>
    <row r="41" spans="13:24" x14ac:dyDescent="0.25">
      <c r="M41" s="91">
        <v>0.38</v>
      </c>
      <c r="N41" s="89">
        <f t="shared" si="0"/>
        <v>13.62</v>
      </c>
      <c r="O41" s="89">
        <f t="shared" si="1"/>
        <v>4.0000041474602996</v>
      </c>
      <c r="P41" s="97">
        <f t="shared" si="2"/>
        <v>9.0200041474603001</v>
      </c>
      <c r="Q41" s="135">
        <f t="shared" si="5"/>
        <v>9.9999045016534014E-5</v>
      </c>
      <c r="R41" s="89">
        <f t="shared" si="5"/>
        <v>9.5498346600013454E-10</v>
      </c>
      <c r="S41" s="89">
        <f t="shared" si="6"/>
        <v>0.41686938347033536</v>
      </c>
      <c r="T41" s="136">
        <f t="shared" si="6"/>
        <v>2.3988329190194874E-14</v>
      </c>
      <c r="U41" s="137">
        <f t="shared" si="7"/>
        <v>0.99999045016533994</v>
      </c>
      <c r="V41" s="88">
        <f t="shared" si="3"/>
        <v>8.6400041474602993</v>
      </c>
      <c r="W41" s="86">
        <f t="shared" si="8"/>
        <v>9.6199958525396987</v>
      </c>
      <c r="X41" s="90">
        <f t="shared" si="4"/>
        <v>0.98999045016533993</v>
      </c>
    </row>
    <row r="42" spans="13:24" x14ac:dyDescent="0.25">
      <c r="M42" s="91">
        <v>0.39</v>
      </c>
      <c r="N42" s="89">
        <f t="shared" si="0"/>
        <v>13.61</v>
      </c>
      <c r="O42" s="89">
        <f t="shared" si="1"/>
        <v>4.0000042440665879</v>
      </c>
      <c r="P42" s="97">
        <f t="shared" si="2"/>
        <v>9.0100042440665895</v>
      </c>
      <c r="Q42" s="135">
        <f t="shared" si="5"/>
        <v>9.9999022772328906E-5</v>
      </c>
      <c r="R42" s="89">
        <f t="shared" si="5"/>
        <v>9.7722767112327188E-10</v>
      </c>
      <c r="S42" s="89">
        <f t="shared" si="6"/>
        <v>0.40738027780411268</v>
      </c>
      <c r="T42" s="136">
        <f t="shared" si="6"/>
        <v>2.4547089156850271E-14</v>
      </c>
      <c r="U42" s="137">
        <f t="shared" si="7"/>
        <v>0.99999022772328872</v>
      </c>
      <c r="V42" s="88">
        <f t="shared" si="3"/>
        <v>8.6200042440665889</v>
      </c>
      <c r="W42" s="86">
        <f t="shared" si="8"/>
        <v>9.6099957559334115</v>
      </c>
      <c r="X42" s="90">
        <f t="shared" si="4"/>
        <v>0.98999022772328871</v>
      </c>
    </row>
    <row r="43" spans="13:24" x14ac:dyDescent="0.25">
      <c r="M43" s="91">
        <v>0.4</v>
      </c>
      <c r="N43" s="89">
        <f t="shared" si="0"/>
        <v>13.6</v>
      </c>
      <c r="O43" s="89">
        <f t="shared" si="1"/>
        <v>4.0000043429231047</v>
      </c>
      <c r="P43" s="97">
        <f t="shared" si="2"/>
        <v>9.0000043429231038</v>
      </c>
      <c r="Q43" s="135">
        <f t="shared" si="5"/>
        <v>9.9999000009999789E-5</v>
      </c>
      <c r="R43" s="89">
        <f t="shared" si="5"/>
        <v>9.9999000009999784E-10</v>
      </c>
      <c r="S43" s="89">
        <f t="shared" si="6"/>
        <v>0.3981071705534972</v>
      </c>
      <c r="T43" s="136">
        <f t="shared" si="6"/>
        <v>2.511886431509576E-14</v>
      </c>
      <c r="U43" s="137">
        <f t="shared" si="7"/>
        <v>0.99999000009999905</v>
      </c>
      <c r="V43" s="88">
        <f t="shared" si="3"/>
        <v>8.6000043429231035</v>
      </c>
      <c r="W43" s="86">
        <f t="shared" si="8"/>
        <v>9.5999956570768958</v>
      </c>
      <c r="X43" s="90">
        <f t="shared" si="4"/>
        <v>0.98999000009999905</v>
      </c>
    </row>
    <row r="44" spans="13:24" x14ac:dyDescent="0.25">
      <c r="M44" s="91">
        <v>0.41</v>
      </c>
      <c r="N44" s="89">
        <f t="shared" si="0"/>
        <v>13.59</v>
      </c>
      <c r="O44" s="89">
        <f t="shared" si="1"/>
        <v>4.0000044440822613</v>
      </c>
      <c r="P44" s="97">
        <f t="shared" si="2"/>
        <v>8.9900044440822615</v>
      </c>
      <c r="Q44" s="135">
        <f t="shared" si="5"/>
        <v>9.9998976717478733E-5</v>
      </c>
      <c r="R44" s="89">
        <f t="shared" si="5"/>
        <v>1.0232825211024207E-9</v>
      </c>
      <c r="S44" s="89">
        <f t="shared" si="6"/>
        <v>0.38904514499428056</v>
      </c>
      <c r="T44" s="136">
        <f t="shared" si="6"/>
        <v>2.5703957827688596E-14</v>
      </c>
      <c r="U44" s="137">
        <f t="shared" si="7"/>
        <v>0.99998976717478893</v>
      </c>
      <c r="V44" s="88">
        <f t="shared" si="3"/>
        <v>8.5800044440822614</v>
      </c>
      <c r="W44" s="86">
        <f t="shared" si="8"/>
        <v>9.5899955559177386</v>
      </c>
      <c r="X44" s="90">
        <f t="shared" si="4"/>
        <v>0.98998976717478893</v>
      </c>
    </row>
    <row r="45" spans="13:24" x14ac:dyDescent="0.25">
      <c r="M45" s="91">
        <v>0.42</v>
      </c>
      <c r="N45" s="89">
        <f t="shared" si="0"/>
        <v>13.58</v>
      </c>
      <c r="O45" s="89">
        <f t="shared" si="1"/>
        <v>4.0000045475976931</v>
      </c>
      <c r="P45" s="97">
        <f t="shared" si="2"/>
        <v>8.9800045475976944</v>
      </c>
      <c r="Q45" s="135">
        <f t="shared" si="5"/>
        <v>9.9998952882416473E-5</v>
      </c>
      <c r="R45" s="89">
        <f t="shared" si="5"/>
        <v>1.0471175833837465E-9</v>
      </c>
      <c r="S45" s="89">
        <f t="shared" si="6"/>
        <v>0.38018939632056115</v>
      </c>
      <c r="T45" s="136">
        <f t="shared" si="6"/>
        <v>2.6302679918953771E-14</v>
      </c>
      <c r="U45" s="137">
        <f t="shared" si="7"/>
        <v>0.99998952882416614</v>
      </c>
      <c r="V45" s="88">
        <f t="shared" si="3"/>
        <v>8.5600045475976945</v>
      </c>
      <c r="W45" s="86">
        <f t="shared" si="8"/>
        <v>9.5799954524023079</v>
      </c>
      <c r="X45" s="90">
        <f t="shared" si="4"/>
        <v>0.98998952882416613</v>
      </c>
    </row>
    <row r="46" spans="13:24" x14ac:dyDescent="0.25">
      <c r="M46" s="91">
        <v>0.43</v>
      </c>
      <c r="N46" s="89">
        <f t="shared" si="0"/>
        <v>13.57</v>
      </c>
      <c r="O46" s="89">
        <f t="shared" si="1"/>
        <v>4.0000046535242832</v>
      </c>
      <c r="P46" s="97">
        <f t="shared" si="2"/>
        <v>8.9700046535242848</v>
      </c>
      <c r="Q46" s="135">
        <f t="shared" si="5"/>
        <v>9.9998928492176157E-5</v>
      </c>
      <c r="R46" s="89">
        <f t="shared" si="5"/>
        <v>1.0715078238244106E-9</v>
      </c>
      <c r="S46" s="89">
        <f t="shared" si="6"/>
        <v>0.37153522909717251</v>
      </c>
      <c r="T46" s="136">
        <f t="shared" si="6"/>
        <v>2.6915348039269012E-14</v>
      </c>
      <c r="U46" s="137">
        <f t="shared" si="7"/>
        <v>0.99998928492176176</v>
      </c>
      <c r="V46" s="88">
        <f t="shared" si="3"/>
        <v>8.5400046535242851</v>
      </c>
      <c r="W46" s="86">
        <f t="shared" si="8"/>
        <v>9.5699953464757179</v>
      </c>
      <c r="X46" s="90">
        <f t="shared" si="4"/>
        <v>0.98998928492176175</v>
      </c>
    </row>
    <row r="47" spans="13:24" x14ac:dyDescent="0.25">
      <c r="M47" s="91">
        <v>0.44</v>
      </c>
      <c r="N47" s="89">
        <f t="shared" si="0"/>
        <v>13.56</v>
      </c>
      <c r="O47" s="89">
        <f t="shared" si="1"/>
        <v>4.0000047619181949</v>
      </c>
      <c r="P47" s="97">
        <f t="shared" si="2"/>
        <v>8.9600047619181939</v>
      </c>
      <c r="Q47" s="135">
        <f t="shared" si="5"/>
        <v>9.9998903533826276E-5</v>
      </c>
      <c r="R47" s="89">
        <f t="shared" si="5"/>
        <v>1.0964661736306634E-9</v>
      </c>
      <c r="S47" s="89">
        <f t="shared" si="6"/>
        <v>0.36307805477010135</v>
      </c>
      <c r="T47" s="136">
        <f t="shared" si="6"/>
        <v>2.7542287033381511E-14</v>
      </c>
      <c r="U47" s="137">
        <f t="shared" si="7"/>
        <v>0.99998903533826367</v>
      </c>
      <c r="V47" s="88">
        <f t="shared" si="3"/>
        <v>8.5200047619181944</v>
      </c>
      <c r="W47" s="86">
        <f t="shared" si="8"/>
        <v>9.5599952380818056</v>
      </c>
      <c r="X47" s="90">
        <f t="shared" si="4"/>
        <v>0.98998903533826366</v>
      </c>
    </row>
    <row r="48" spans="13:24" x14ac:dyDescent="0.25">
      <c r="M48" s="91">
        <v>0.45</v>
      </c>
      <c r="N48" s="89">
        <f t="shared" si="0"/>
        <v>13.55</v>
      </c>
      <c r="O48" s="89">
        <f t="shared" si="1"/>
        <v>4.0000048728368958</v>
      </c>
      <c r="P48" s="97">
        <f t="shared" si="2"/>
        <v>8.9500048728368959</v>
      </c>
      <c r="Q48" s="135">
        <f t="shared" si="5"/>
        <v>9.9998877994134821E-5</v>
      </c>
      <c r="R48" s="89">
        <f t="shared" si="5"/>
        <v>1.122005865189095E-9</v>
      </c>
      <c r="S48" s="89">
        <f t="shared" si="6"/>
        <v>0.35481338923357542</v>
      </c>
      <c r="T48" s="136">
        <f t="shared" si="6"/>
        <v>2.8183829312644381E-14</v>
      </c>
      <c r="U48" s="137">
        <f t="shared" si="7"/>
        <v>0.99998877994134816</v>
      </c>
      <c r="V48" s="88">
        <f t="shared" si="3"/>
        <v>8.5000048728368967</v>
      </c>
      <c r="W48" s="86">
        <f t="shared" si="8"/>
        <v>9.5499951271631041</v>
      </c>
      <c r="X48" s="90">
        <f t="shared" si="4"/>
        <v>0.98998877994134815</v>
      </c>
    </row>
    <row r="49" spans="13:24" x14ac:dyDescent="0.25">
      <c r="M49" s="91">
        <v>0.46</v>
      </c>
      <c r="N49" s="89">
        <f t="shared" si="0"/>
        <v>13.54</v>
      </c>
      <c r="O49" s="89">
        <f t="shared" si="1"/>
        <v>4.0000049863391967</v>
      </c>
      <c r="P49" s="97">
        <f t="shared" si="2"/>
        <v>8.940004986339197</v>
      </c>
      <c r="Q49" s="135">
        <f t="shared" si="5"/>
        <v>9.9998851859560851E-5</v>
      </c>
      <c r="R49" s="89">
        <f t="shared" si="5"/>
        <v>1.1481404390808477E-9</v>
      </c>
      <c r="S49" s="89">
        <f t="shared" si="6"/>
        <v>0.34673685045253166</v>
      </c>
      <c r="T49" s="136">
        <f t="shared" si="6"/>
        <v>2.8840315031265997E-14</v>
      </c>
      <c r="U49" s="137">
        <f t="shared" si="7"/>
        <v>0.99998851859560911</v>
      </c>
      <c r="V49" s="88">
        <f t="shared" si="3"/>
        <v>8.4800049863391962</v>
      </c>
      <c r="W49" s="86">
        <f t="shared" si="8"/>
        <v>9.5399950136608034</v>
      </c>
      <c r="X49" s="90">
        <f t="shared" si="4"/>
        <v>0.9899885185956091</v>
      </c>
    </row>
    <row r="50" spans="13:24" x14ac:dyDescent="0.25">
      <c r="M50" s="91">
        <v>0.47</v>
      </c>
      <c r="N50" s="89">
        <f t="shared" si="0"/>
        <v>13.53</v>
      </c>
      <c r="O50" s="89">
        <f t="shared" si="1"/>
        <v>4.0000051024852743</v>
      </c>
      <c r="P50" s="97">
        <f t="shared" si="2"/>
        <v>8.9300051024852767</v>
      </c>
      <c r="Q50" s="135">
        <f t="shared" si="5"/>
        <v>9.9998825116248683E-5</v>
      </c>
      <c r="R50" s="89">
        <f t="shared" si="5"/>
        <v>1.1748837512590549E-9</v>
      </c>
      <c r="S50" s="89">
        <f t="shared" si="6"/>
        <v>0.33884415613920255</v>
      </c>
      <c r="T50" s="136">
        <f t="shared" si="6"/>
        <v>2.9512092266663796E-14</v>
      </c>
      <c r="U50" s="137">
        <f t="shared" si="7"/>
        <v>0.99998825116248746</v>
      </c>
      <c r="V50" s="88">
        <f t="shared" si="3"/>
        <v>8.460005102485276</v>
      </c>
      <c r="W50" s="86">
        <f t="shared" si="8"/>
        <v>9.5299948975147259</v>
      </c>
      <c r="X50" s="90">
        <f t="shared" si="4"/>
        <v>0.98998825116248745</v>
      </c>
    </row>
    <row r="51" spans="13:24" x14ac:dyDescent="0.25">
      <c r="M51" s="91">
        <v>0.48</v>
      </c>
      <c r="N51" s="89">
        <f t="shared" si="0"/>
        <v>13.52</v>
      </c>
      <c r="O51" s="89">
        <f t="shared" si="1"/>
        <v>4.0000052213367105</v>
      </c>
      <c r="P51" s="97">
        <f t="shared" si="2"/>
        <v>8.9200052213367105</v>
      </c>
      <c r="Q51" s="135">
        <f t="shared" si="5"/>
        <v>9.9998797750019432E-5</v>
      </c>
      <c r="R51" s="89">
        <f t="shared" si="5"/>
        <v>1.2022499803934823E-9</v>
      </c>
      <c r="S51" s="89">
        <f t="shared" si="6"/>
        <v>0.33113112148259105</v>
      </c>
      <c r="T51" s="136">
        <f t="shared" si="6"/>
        <v>3.0199517204020097E-14</v>
      </c>
      <c r="U51" s="137">
        <f t="shared" si="7"/>
        <v>0.99998797750019608</v>
      </c>
      <c r="V51" s="88">
        <f t="shared" si="3"/>
        <v>8.4400052213367101</v>
      </c>
      <c r="W51" s="86">
        <f t="shared" si="8"/>
        <v>9.519994778663289</v>
      </c>
      <c r="X51" s="90">
        <f t="shared" si="4"/>
        <v>0.98998797750019607</v>
      </c>
    </row>
    <row r="52" spans="13:24" x14ac:dyDescent="0.25">
      <c r="M52" s="91">
        <v>0.49</v>
      </c>
      <c r="N52" s="89">
        <f t="shared" si="0"/>
        <v>13.51</v>
      </c>
      <c r="O52" s="89">
        <f t="shared" si="1"/>
        <v>4.0000053429565181</v>
      </c>
      <c r="P52" s="97">
        <f t="shared" si="2"/>
        <v>8.9100053429565182</v>
      </c>
      <c r="Q52" s="135">
        <f t="shared" si="5"/>
        <v>9.9998769746364468E-5</v>
      </c>
      <c r="R52" s="89">
        <f t="shared" si="5"/>
        <v>1.2302536353860983E-9</v>
      </c>
      <c r="S52" s="89">
        <f t="shared" si="6"/>
        <v>0.32359365692962827</v>
      </c>
      <c r="T52" s="136">
        <f t="shared" si="6"/>
        <v>3.0902954325135829E-14</v>
      </c>
      <c r="U52" s="137">
        <f t="shared" si="7"/>
        <v>0.99998769746364613</v>
      </c>
      <c r="V52" s="88">
        <f t="shared" si="3"/>
        <v>8.420005342956518</v>
      </c>
      <c r="W52" s="86">
        <f t="shared" si="8"/>
        <v>9.5099946570434817</v>
      </c>
      <c r="X52" s="90">
        <f t="shared" si="4"/>
        <v>0.98998769746364612</v>
      </c>
    </row>
    <row r="53" spans="13:24" x14ac:dyDescent="0.25">
      <c r="M53" s="91">
        <v>0.5</v>
      </c>
      <c r="N53" s="89">
        <f t="shared" si="0"/>
        <v>13.5</v>
      </c>
      <c r="O53" s="89">
        <f t="shared" si="1"/>
        <v>4.0000054674091796</v>
      </c>
      <c r="P53" s="97">
        <f t="shared" si="2"/>
        <v>8.90000546740918</v>
      </c>
      <c r="Q53" s="135">
        <f t="shared" si="5"/>
        <v>9.9998741090436834E-5</v>
      </c>
      <c r="R53" s="89">
        <f t="shared" si="5"/>
        <v>1.2589095630617636E-9</v>
      </c>
      <c r="S53" s="89">
        <f t="shared" si="6"/>
        <v>0.31622776601683794</v>
      </c>
      <c r="T53" s="136">
        <f t="shared" si="6"/>
        <v>3.1622776601683714E-14</v>
      </c>
      <c r="U53" s="137">
        <f t="shared" si="7"/>
        <v>0.99998741090436938</v>
      </c>
      <c r="V53" s="88">
        <f t="shared" si="3"/>
        <v>8.40000546740918</v>
      </c>
      <c r="W53" s="86">
        <f t="shared" si="8"/>
        <v>9.4999945325908204</v>
      </c>
      <c r="X53" s="90">
        <f t="shared" si="4"/>
        <v>0.98998741090436937</v>
      </c>
    </row>
    <row r="54" spans="13:24" x14ac:dyDescent="0.25">
      <c r="M54" s="91">
        <v>0.51</v>
      </c>
      <c r="N54" s="89">
        <f t="shared" si="0"/>
        <v>13.49</v>
      </c>
      <c r="O54" s="89">
        <f t="shared" si="1"/>
        <v>4.0000055947606787</v>
      </c>
      <c r="P54" s="97">
        <f t="shared" si="2"/>
        <v>8.8900055947606802</v>
      </c>
      <c r="Q54" s="135">
        <f t="shared" si="5"/>
        <v>9.9998711767043945E-5</v>
      </c>
      <c r="R54" s="89">
        <f t="shared" si="5"/>
        <v>1.2882329560378491E-9</v>
      </c>
      <c r="S54" s="89">
        <f t="shared" si="6"/>
        <v>0.30902954325135895</v>
      </c>
      <c r="T54" s="136">
        <f t="shared" si="6"/>
        <v>3.2359365692962746E-14</v>
      </c>
      <c r="U54" s="137">
        <f t="shared" si="7"/>
        <v>0.99998711767043968</v>
      </c>
      <c r="V54" s="88">
        <f t="shared" si="3"/>
        <v>8.3800055947606804</v>
      </c>
      <c r="W54" s="86">
        <f t="shared" si="8"/>
        <v>9.4899944052393224</v>
      </c>
      <c r="X54" s="90">
        <f t="shared" si="4"/>
        <v>0.98998711767043968</v>
      </c>
    </row>
    <row r="55" spans="13:24" x14ac:dyDescent="0.25">
      <c r="M55" s="91">
        <v>0.52</v>
      </c>
      <c r="N55" s="89">
        <f t="shared" si="0"/>
        <v>13.48</v>
      </c>
      <c r="O55" s="89">
        <f t="shared" si="1"/>
        <v>4.0000057250785375</v>
      </c>
      <c r="P55" s="97">
        <f t="shared" si="2"/>
        <v>8.8800057250785382</v>
      </c>
      <c r="Q55" s="135">
        <f t="shared" si="5"/>
        <v>9.9998681760639019E-5</v>
      </c>
      <c r="R55" s="89">
        <f t="shared" si="5"/>
        <v>1.3182393607771966E-9</v>
      </c>
      <c r="S55" s="89">
        <f t="shared" si="6"/>
        <v>0.30199517204020154</v>
      </c>
      <c r="T55" s="136">
        <f t="shared" si="6"/>
        <v>3.3113112148259022E-14</v>
      </c>
      <c r="U55" s="137">
        <f t="shared" si="7"/>
        <v>0.99998681760639219</v>
      </c>
      <c r="V55" s="88">
        <f t="shared" si="3"/>
        <v>8.3600057250785387</v>
      </c>
      <c r="W55" s="86">
        <f t="shared" si="8"/>
        <v>9.479994274921463</v>
      </c>
      <c r="X55" s="90">
        <f t="shared" si="4"/>
        <v>0.98998681760639218</v>
      </c>
    </row>
    <row r="56" spans="13:24" x14ac:dyDescent="0.25">
      <c r="M56" s="91">
        <v>0.53</v>
      </c>
      <c r="N56" s="89">
        <f t="shared" si="0"/>
        <v>13.47</v>
      </c>
      <c r="O56" s="89">
        <f t="shared" si="1"/>
        <v>4.0000058584318481</v>
      </c>
      <c r="P56" s="97">
        <f t="shared" si="2"/>
        <v>8.8700058584318491</v>
      </c>
      <c r="Q56" s="135">
        <f t="shared" si="5"/>
        <v>9.9998651055314017E-5</v>
      </c>
      <c r="R56" s="89">
        <f t="shared" si="5"/>
        <v>1.3489446858285289E-9</v>
      </c>
      <c r="S56" s="89">
        <f t="shared" si="6"/>
        <v>0.29512092266663847</v>
      </c>
      <c r="T56" s="136">
        <f t="shared" si="6"/>
        <v>3.3884415613920161E-14</v>
      </c>
      <c r="U56" s="137">
        <f t="shared" si="7"/>
        <v>0.99998651055314181</v>
      </c>
      <c r="V56" s="88">
        <f t="shared" si="3"/>
        <v>8.3400058584318497</v>
      </c>
      <c r="W56" s="86">
        <f t="shared" si="8"/>
        <v>9.4699941415681526</v>
      </c>
      <c r="X56" s="90">
        <f t="shared" si="4"/>
        <v>0.9899865105531418</v>
      </c>
    </row>
    <row r="57" spans="13:24" x14ac:dyDescent="0.25">
      <c r="M57" s="91">
        <v>0.54</v>
      </c>
      <c r="N57" s="89">
        <f t="shared" si="0"/>
        <v>13.46</v>
      </c>
      <c r="O57" s="89">
        <f t="shared" si="1"/>
        <v>4.000005994891314</v>
      </c>
      <c r="P57" s="97">
        <f t="shared" si="2"/>
        <v>8.8600059948913152</v>
      </c>
      <c r="Q57" s="135">
        <f t="shared" si="5"/>
        <v>9.9998619634789673E-5</v>
      </c>
      <c r="R57" s="89">
        <f t="shared" si="5"/>
        <v>1.3803652102587204E-9</v>
      </c>
      <c r="S57" s="89">
        <f t="shared" si="6"/>
        <v>0.28840315031266056</v>
      </c>
      <c r="T57" s="136">
        <f t="shared" si="6"/>
        <v>3.4673685045252941E-14</v>
      </c>
      <c r="U57" s="137">
        <f t="shared" si="7"/>
        <v>0.99998619634789732</v>
      </c>
      <c r="V57" s="88">
        <f t="shared" si="3"/>
        <v>8.3200059948913143</v>
      </c>
      <c r="W57" s="86">
        <f t="shared" si="8"/>
        <v>9.4599940051086868</v>
      </c>
      <c r="X57" s="90">
        <f t="shared" si="4"/>
        <v>0.98998619634789731</v>
      </c>
    </row>
    <row r="58" spans="13:24" x14ac:dyDescent="0.25">
      <c r="M58" s="91">
        <v>0.55000000000000004</v>
      </c>
      <c r="N58" s="89">
        <f t="shared" si="0"/>
        <v>13.45</v>
      </c>
      <c r="O58" s="89">
        <f t="shared" si="1"/>
        <v>4.0000061345292846</v>
      </c>
      <c r="P58" s="97">
        <f t="shared" si="2"/>
        <v>8.850006134529286</v>
      </c>
      <c r="Q58" s="135">
        <f t="shared" si="5"/>
        <v>9.9998587482407706E-5</v>
      </c>
      <c r="R58" s="89">
        <f t="shared" si="5"/>
        <v>1.4125175922814338E-9</v>
      </c>
      <c r="S58" s="89">
        <f t="shared" si="6"/>
        <v>0.28183829312644532</v>
      </c>
      <c r="T58" s="136">
        <f t="shared" si="6"/>
        <v>3.5481338923357439E-14</v>
      </c>
      <c r="U58" s="137">
        <f t="shared" si="7"/>
        <v>0.99998587482407719</v>
      </c>
      <c r="V58" s="88">
        <f t="shared" si="3"/>
        <v>8.3000061345292853</v>
      </c>
      <c r="W58" s="86">
        <f t="shared" si="8"/>
        <v>9.4499938654707147</v>
      </c>
      <c r="X58" s="90">
        <f t="shared" si="4"/>
        <v>0.98998587482407718</v>
      </c>
    </row>
    <row r="59" spans="13:24" x14ac:dyDescent="0.25">
      <c r="M59" s="91">
        <v>0.56000000000000005</v>
      </c>
      <c r="N59" s="89">
        <f t="shared" si="0"/>
        <v>13.44</v>
      </c>
      <c r="O59" s="89">
        <f t="shared" si="1"/>
        <v>4.0000062774197955</v>
      </c>
      <c r="P59" s="97">
        <f t="shared" si="2"/>
        <v>8.8400062774197963</v>
      </c>
      <c r="Q59" s="135">
        <f t="shared" si="5"/>
        <v>9.9998554581121857E-5</v>
      </c>
      <c r="R59" s="89">
        <f t="shared" si="5"/>
        <v>1.445418878086604E-9</v>
      </c>
      <c r="S59" s="89">
        <f t="shared" si="6"/>
        <v>0.27542287033381663</v>
      </c>
      <c r="T59" s="136">
        <f t="shared" si="6"/>
        <v>3.6307805477010024E-14</v>
      </c>
      <c r="U59" s="137">
        <f t="shared" si="7"/>
        <v>0.99998554581121923</v>
      </c>
      <c r="V59" s="88">
        <f t="shared" si="3"/>
        <v>8.2800062774197958</v>
      </c>
      <c r="W59" s="86">
        <f t="shared" si="8"/>
        <v>9.4399937225802049</v>
      </c>
      <c r="X59" s="90">
        <f t="shared" si="4"/>
        <v>0.98998554581121923</v>
      </c>
    </row>
    <row r="60" spans="13:24" x14ac:dyDescent="0.25">
      <c r="M60" s="91">
        <v>0.56999999999999995</v>
      </c>
      <c r="N60" s="89">
        <f t="shared" si="0"/>
        <v>13.43</v>
      </c>
      <c r="O60" s="89">
        <f t="shared" si="1"/>
        <v>4.000006423638605</v>
      </c>
      <c r="P60" s="97">
        <f t="shared" si="2"/>
        <v>8.830006423638606</v>
      </c>
      <c r="Q60" s="135">
        <f t="shared" si="5"/>
        <v>9.9998520913489007E-5</v>
      </c>
      <c r="R60" s="89">
        <f t="shared" si="5"/>
        <v>1.4790865108755526E-9</v>
      </c>
      <c r="S60" s="89">
        <f t="shared" si="6"/>
        <v>0.26915348039269155</v>
      </c>
      <c r="T60" s="136">
        <f t="shared" si="6"/>
        <v>3.7153522909717136E-14</v>
      </c>
      <c r="U60" s="137">
        <f t="shared" si="7"/>
        <v>0.9999852091348912</v>
      </c>
      <c r="V60" s="88">
        <f t="shared" si="3"/>
        <v>8.2600064236386057</v>
      </c>
      <c r="W60" s="86">
        <f t="shared" si="8"/>
        <v>9.4299935763613938</v>
      </c>
      <c r="X60" s="90">
        <f t="shared" si="4"/>
        <v>0.98998520913489119</v>
      </c>
    </row>
    <row r="61" spans="13:24" x14ac:dyDescent="0.25">
      <c r="M61" s="91">
        <v>0.57999999999999996</v>
      </c>
      <c r="N61" s="89">
        <f t="shared" si="0"/>
        <v>13.42</v>
      </c>
      <c r="O61" s="89">
        <f t="shared" si="1"/>
        <v>4.0000065732632368</v>
      </c>
      <c r="P61" s="97">
        <f t="shared" si="2"/>
        <v>8.8200065732632371</v>
      </c>
      <c r="Q61" s="135">
        <f t="shared" si="5"/>
        <v>9.9998486461659895E-5</v>
      </c>
      <c r="R61" s="89">
        <f t="shared" si="5"/>
        <v>1.5135383401064093E-9</v>
      </c>
      <c r="S61" s="89">
        <f t="shared" si="6"/>
        <v>0.2630267991895382</v>
      </c>
      <c r="T61" s="136">
        <f t="shared" si="6"/>
        <v>3.8018939632055994E-14</v>
      </c>
      <c r="U61" s="137">
        <f t="shared" si="7"/>
        <v>0.99998486461659886</v>
      </c>
      <c r="V61" s="88">
        <f t="shared" si="3"/>
        <v>8.240006573263237</v>
      </c>
      <c r="W61" s="86">
        <f t="shared" si="8"/>
        <v>9.4199934267367631</v>
      </c>
      <c r="X61" s="90">
        <f t="shared" si="4"/>
        <v>0.98998486461659885</v>
      </c>
    </row>
    <row r="62" spans="13:24" x14ac:dyDescent="0.25">
      <c r="M62" s="91">
        <v>0.59</v>
      </c>
      <c r="N62" s="89">
        <f t="shared" si="0"/>
        <v>13.41</v>
      </c>
      <c r="O62" s="89">
        <f t="shared" si="1"/>
        <v>4.0000067263730212</v>
      </c>
      <c r="P62" s="97">
        <f t="shared" si="2"/>
        <v>8.8100067263730217</v>
      </c>
      <c r="Q62" s="135">
        <f t="shared" si="5"/>
        <v>9.9998451207369021E-5</v>
      </c>
      <c r="R62" s="89">
        <f t="shared" si="5"/>
        <v>1.5487926309548143E-9</v>
      </c>
      <c r="S62" s="89">
        <f t="shared" si="6"/>
        <v>0.25703957827688634</v>
      </c>
      <c r="T62" s="136">
        <f t="shared" si="6"/>
        <v>3.8904514499427932E-14</v>
      </c>
      <c r="U62" s="137">
        <f t="shared" si="7"/>
        <v>0.99998451207369043</v>
      </c>
      <c r="V62" s="88">
        <f t="shared" si="3"/>
        <v>8.2200067263730219</v>
      </c>
      <c r="W62" s="86">
        <f t="shared" si="8"/>
        <v>9.4099932736269789</v>
      </c>
      <c r="X62" s="90">
        <f t="shared" si="4"/>
        <v>0.98998451207369043</v>
      </c>
    </row>
    <row r="63" spans="13:24" x14ac:dyDescent="0.25">
      <c r="M63" s="91">
        <v>0.6</v>
      </c>
      <c r="N63" s="89">
        <f t="shared" si="0"/>
        <v>13.4</v>
      </c>
      <c r="O63" s="89">
        <f t="shared" si="1"/>
        <v>4.0000068830491342</v>
      </c>
      <c r="P63" s="97">
        <f t="shared" si="2"/>
        <v>8.8000068830491358</v>
      </c>
      <c r="Q63" s="135">
        <f t="shared" si="5"/>
        <v>9.9998415131925946E-5</v>
      </c>
      <c r="R63" s="89">
        <f t="shared" si="5"/>
        <v>1.5848680739948919E-9</v>
      </c>
      <c r="S63" s="89">
        <f t="shared" si="6"/>
        <v>0.25118864315095801</v>
      </c>
      <c r="T63" s="136">
        <f t="shared" si="6"/>
        <v>3.9810717055349592E-14</v>
      </c>
      <c r="U63" s="137">
        <f t="shared" si="7"/>
        <v>0.99998415131926011</v>
      </c>
      <c r="V63" s="88">
        <f t="shared" si="3"/>
        <v>8.2000068830491362</v>
      </c>
      <c r="W63" s="86">
        <f t="shared" si="8"/>
        <v>9.399993116950867</v>
      </c>
      <c r="X63" s="90">
        <f t="shared" si="4"/>
        <v>0.9899841513192601</v>
      </c>
    </row>
    <row r="64" spans="13:24" x14ac:dyDescent="0.25">
      <c r="M64" s="91">
        <v>0.61</v>
      </c>
      <c r="N64" s="89">
        <f t="shared" si="0"/>
        <v>13.39</v>
      </c>
      <c r="O64" s="89">
        <f t="shared" si="1"/>
        <v>4.0000070433746444</v>
      </c>
      <c r="P64" s="97">
        <f t="shared" si="2"/>
        <v>8.7900070433746453</v>
      </c>
      <c r="Q64" s="135">
        <f t="shared" si="5"/>
        <v>9.9998378216204978E-5</v>
      </c>
      <c r="R64" s="89">
        <f t="shared" si="5"/>
        <v>1.6217837951055787E-9</v>
      </c>
      <c r="S64" s="89">
        <f t="shared" si="6"/>
        <v>0.24547089156850299</v>
      </c>
      <c r="T64" s="136">
        <f t="shared" si="6"/>
        <v>4.0738027780411126E-14</v>
      </c>
      <c r="U64" s="137">
        <f t="shared" si="7"/>
        <v>0.99998378216204897</v>
      </c>
      <c r="V64" s="88">
        <f t="shared" si="3"/>
        <v>8.1800070433746459</v>
      </c>
      <c r="W64" s="86">
        <f t="shared" si="8"/>
        <v>9.3899929566253562</v>
      </c>
      <c r="X64" s="90">
        <f t="shared" si="4"/>
        <v>0.98998378216204896</v>
      </c>
    </row>
    <row r="65" spans="13:24" x14ac:dyDescent="0.25">
      <c r="M65" s="91">
        <v>0.62</v>
      </c>
      <c r="N65" s="89">
        <f t="shared" si="0"/>
        <v>13.38</v>
      </c>
      <c r="O65" s="89">
        <f t="shared" si="1"/>
        <v>4.000007207434555</v>
      </c>
      <c r="P65" s="97">
        <f t="shared" si="2"/>
        <v>8.7800072074345561</v>
      </c>
      <c r="Q65" s="135">
        <f t="shared" si="5"/>
        <v>9.9998340440634234E-5</v>
      </c>
      <c r="R65" s="89">
        <f t="shared" si="5"/>
        <v>1.6595593656076016E-9</v>
      </c>
      <c r="S65" s="89">
        <f t="shared" si="6"/>
        <v>0.23988329190194901</v>
      </c>
      <c r="T65" s="136">
        <f t="shared" si="6"/>
        <v>4.1686938347033385E-14</v>
      </c>
      <c r="U65" s="137">
        <f t="shared" si="7"/>
        <v>0.99998340440634392</v>
      </c>
      <c r="V65" s="88">
        <f t="shared" si="3"/>
        <v>8.1600072074345569</v>
      </c>
      <c r="W65" s="86">
        <f t="shared" si="8"/>
        <v>9.3799927925654458</v>
      </c>
      <c r="X65" s="90">
        <f t="shared" si="4"/>
        <v>0.98998340440634391</v>
      </c>
    </row>
    <row r="66" spans="13:24" x14ac:dyDescent="0.25">
      <c r="M66" s="91">
        <v>0.63</v>
      </c>
      <c r="N66" s="89">
        <f t="shared" si="0"/>
        <v>13.37</v>
      </c>
      <c r="O66" s="89">
        <f t="shared" si="1"/>
        <v>4.0000073753158469</v>
      </c>
      <c r="P66" s="97">
        <f t="shared" si="2"/>
        <v>8.7700073753158474</v>
      </c>
      <c r="Q66" s="135">
        <f t="shared" si="5"/>
        <v>9.9998301785187132E-5</v>
      </c>
      <c r="R66" s="89">
        <f t="shared" si="5"/>
        <v>1.6982148126364786E-9</v>
      </c>
      <c r="S66" s="89">
        <f t="shared" si="6"/>
        <v>0.23442288153199217</v>
      </c>
      <c r="T66" s="136">
        <f t="shared" si="6"/>
        <v>4.2657951880159256E-14</v>
      </c>
      <c r="U66" s="137">
        <f t="shared" si="7"/>
        <v>0.9999830178518736</v>
      </c>
      <c r="V66" s="88">
        <f t="shared" si="3"/>
        <v>8.1400073753158466</v>
      </c>
      <c r="W66" s="86">
        <f t="shared" si="8"/>
        <v>9.3699926246841514</v>
      </c>
      <c r="X66" s="90">
        <f t="shared" si="4"/>
        <v>0.98998301785187359</v>
      </c>
    </row>
    <row r="67" spans="13:24" x14ac:dyDescent="0.25">
      <c r="M67" s="91">
        <v>0.64</v>
      </c>
      <c r="N67" s="89">
        <f t="shared" ref="N67:N130" si="9">14-M67</f>
        <v>13.36</v>
      </c>
      <c r="O67" s="89">
        <f t="shared" ref="O67:O130" si="10">-LOG(10^-$B$3/(1+10^(M67-$A$3)))</f>
        <v>4.0000075471075291</v>
      </c>
      <c r="P67" s="97">
        <f t="shared" ref="P67:P130" si="11">-LOG(10^-$B$3/(1+10^($A$3-M67)))</f>
        <v>8.7600075471075307</v>
      </c>
      <c r="Q67" s="135">
        <f t="shared" si="5"/>
        <v>9.9998262229370136E-5</v>
      </c>
      <c r="R67" s="89">
        <f t="shared" si="5"/>
        <v>1.7377706297569574E-9</v>
      </c>
      <c r="S67" s="89">
        <f t="shared" si="6"/>
        <v>0.22908676527677729</v>
      </c>
      <c r="T67" s="136">
        <f t="shared" si="6"/>
        <v>4.3651583224016581E-14</v>
      </c>
      <c r="U67" s="137">
        <f t="shared" si="7"/>
        <v>0.99998262229370238</v>
      </c>
      <c r="V67" s="88">
        <f t="shared" ref="V67:V130" si="12">ABS(P67-M67)</f>
        <v>8.1200075471075301</v>
      </c>
      <c r="W67" s="86">
        <f t="shared" si="8"/>
        <v>9.3599924528924703</v>
      </c>
      <c r="X67" s="90">
        <f t="shared" ref="X67:X130" si="13">ABS($J$2-U67)</f>
        <v>0.98998262229370237</v>
      </c>
    </row>
    <row r="68" spans="13:24" x14ac:dyDescent="0.25">
      <c r="M68" s="91">
        <v>0.65</v>
      </c>
      <c r="N68" s="89">
        <f t="shared" si="9"/>
        <v>13.35</v>
      </c>
      <c r="O68" s="89">
        <f t="shared" si="10"/>
        <v>4.0000077229006834</v>
      </c>
      <c r="P68" s="97">
        <f t="shared" si="11"/>
        <v>8.7500077229006834</v>
      </c>
      <c r="Q68" s="135">
        <f t="shared" ref="Q68:R131" si="14">10^-O68</f>
        <v>9.9998221752212147E-5</v>
      </c>
      <c r="R68" s="89">
        <f t="shared" si="14"/>
        <v>1.7782477878246476E-9</v>
      </c>
      <c r="S68" s="89">
        <f t="shared" ref="S68:T131" si="15">10^-M68</f>
        <v>0.22387211385683392</v>
      </c>
      <c r="T68" s="136">
        <f t="shared" si="15"/>
        <v>4.4668359215096292E-14</v>
      </c>
      <c r="U68" s="137">
        <f t="shared" ref="U68:U131" si="16">Q68/(Q68+R68)</f>
        <v>0.99998221752212169</v>
      </c>
      <c r="V68" s="88">
        <f t="shared" si="12"/>
        <v>8.100007722900683</v>
      </c>
      <c r="W68" s="86">
        <f t="shared" ref="W68:W131" si="17">ABS(O68-N68)</f>
        <v>9.3499922770993162</v>
      </c>
      <c r="X68" s="90">
        <f t="shared" si="13"/>
        <v>0.98998221752212168</v>
      </c>
    </row>
    <row r="69" spans="13:24" x14ac:dyDescent="0.25">
      <c r="M69" s="91">
        <v>0.66</v>
      </c>
      <c r="N69" s="89">
        <f t="shared" si="9"/>
        <v>13.34</v>
      </c>
      <c r="O69" s="89">
        <f t="shared" si="10"/>
        <v>4.0000079027885125</v>
      </c>
      <c r="P69" s="97">
        <f t="shared" si="11"/>
        <v>8.7400079027885127</v>
      </c>
      <c r="Q69" s="135">
        <f t="shared" si="14"/>
        <v>9.9998180332253809E-5</v>
      </c>
      <c r="R69" s="89">
        <f t="shared" si="14"/>
        <v>1.8196677461003803E-9</v>
      </c>
      <c r="S69" s="89">
        <f t="shared" si="15"/>
        <v>0.21877616239495523</v>
      </c>
      <c r="T69" s="136">
        <f t="shared" si="15"/>
        <v>4.5708818961487318E-14</v>
      </c>
      <c r="U69" s="137">
        <f t="shared" si="16"/>
        <v>0.99998180332253894</v>
      </c>
      <c r="V69" s="88">
        <f t="shared" si="12"/>
        <v>8.0800079027885126</v>
      </c>
      <c r="W69" s="86">
        <f t="shared" si="17"/>
        <v>9.3399920972114874</v>
      </c>
      <c r="X69" s="90">
        <f t="shared" si="13"/>
        <v>0.98998180332253893</v>
      </c>
    </row>
    <row r="70" spans="13:24" x14ac:dyDescent="0.25">
      <c r="M70" s="91">
        <v>0.67</v>
      </c>
      <c r="N70" s="89">
        <f t="shared" si="9"/>
        <v>13.33</v>
      </c>
      <c r="O70" s="89">
        <f t="shared" si="10"/>
        <v>4.0000080868663908</v>
      </c>
      <c r="P70" s="97">
        <f t="shared" si="11"/>
        <v>8.7300080868663912</v>
      </c>
      <c r="Q70" s="135">
        <f t="shared" si="14"/>
        <v>9.9998137947536275E-5</v>
      </c>
      <c r="R70" s="89">
        <f t="shared" si="14"/>
        <v>1.8620524636234607E-9</v>
      </c>
      <c r="S70" s="89">
        <f t="shared" si="15"/>
        <v>0.21379620895022314</v>
      </c>
      <c r="T70" s="136">
        <f t="shared" si="15"/>
        <v>4.6773514128719624E-14</v>
      </c>
      <c r="U70" s="137">
        <f t="shared" si="16"/>
        <v>0.99998137947536381</v>
      </c>
      <c r="V70" s="88">
        <f t="shared" si="12"/>
        <v>8.0600080868663913</v>
      </c>
      <c r="W70" s="86">
        <f t="shared" si="17"/>
        <v>9.3299919131336093</v>
      </c>
      <c r="X70" s="90">
        <f t="shared" si="13"/>
        <v>0.9899813794753638</v>
      </c>
    </row>
    <row r="71" spans="13:24" x14ac:dyDescent="0.25">
      <c r="M71" s="91">
        <v>0.68</v>
      </c>
      <c r="N71" s="89">
        <f t="shared" si="9"/>
        <v>13.32</v>
      </c>
      <c r="O71" s="89">
        <f t="shared" si="10"/>
        <v>4.0000082752319122</v>
      </c>
      <c r="P71" s="97">
        <f t="shared" si="11"/>
        <v>8.7200082752319137</v>
      </c>
      <c r="Q71" s="135">
        <f t="shared" si="14"/>
        <v>9.9998094575589087E-5</v>
      </c>
      <c r="R71" s="89">
        <f t="shared" si="14"/>
        <v>1.905424410849578E-9</v>
      </c>
      <c r="S71" s="89">
        <f t="shared" si="15"/>
        <v>0.20892961308540392</v>
      </c>
      <c r="T71" s="136">
        <f t="shared" si="15"/>
        <v>4.7863009232263627E-14</v>
      </c>
      <c r="U71" s="137">
        <f t="shared" si="16"/>
        <v>0.99998094575589147</v>
      </c>
      <c r="V71" s="88">
        <f t="shared" si="12"/>
        <v>8.040008275231914</v>
      </c>
      <c r="W71" s="86">
        <f t="shared" si="17"/>
        <v>9.3199917247680872</v>
      </c>
      <c r="X71" s="90">
        <f t="shared" si="13"/>
        <v>0.98998094575589146</v>
      </c>
    </row>
    <row r="72" spans="13:24" x14ac:dyDescent="0.25">
      <c r="M72" s="91">
        <v>0.69</v>
      </c>
      <c r="N72" s="89">
        <f t="shared" si="9"/>
        <v>13.31</v>
      </c>
      <c r="O72" s="89">
        <f t="shared" si="10"/>
        <v>4.0000084679849461</v>
      </c>
      <c r="P72" s="97">
        <f t="shared" si="11"/>
        <v>8.710008467984947</v>
      </c>
      <c r="Q72" s="135">
        <f t="shared" si="14"/>
        <v>9.9998050193418487E-5</v>
      </c>
      <c r="R72" s="89">
        <f t="shared" si="14"/>
        <v>1.949806581559704E-9</v>
      </c>
      <c r="S72" s="89">
        <f t="shared" si="15"/>
        <v>0.20417379446695291</v>
      </c>
      <c r="T72" s="136">
        <f t="shared" si="15"/>
        <v>4.8977881936844408E-14</v>
      </c>
      <c r="U72" s="137">
        <f t="shared" si="16"/>
        <v>0.99998050193418442</v>
      </c>
      <c r="V72" s="88">
        <f t="shared" si="12"/>
        <v>8.0200084679849475</v>
      </c>
      <c r="W72" s="86">
        <f t="shared" si="17"/>
        <v>9.3099915320150544</v>
      </c>
      <c r="X72" s="90">
        <f t="shared" si="13"/>
        <v>0.98998050193418441</v>
      </c>
    </row>
    <row r="73" spans="13:24" x14ac:dyDescent="0.25">
      <c r="M73" s="91">
        <v>0.7</v>
      </c>
      <c r="N73" s="89">
        <f t="shared" si="9"/>
        <v>13.3</v>
      </c>
      <c r="O73" s="89">
        <f t="shared" si="10"/>
        <v>4.0000086652276865</v>
      </c>
      <c r="P73" s="97">
        <f t="shared" si="11"/>
        <v>8.7000086652276867</v>
      </c>
      <c r="Q73" s="135">
        <f t="shared" si="14"/>
        <v>9.9998004777494874E-5</v>
      </c>
      <c r="R73" s="89">
        <f t="shared" si="14"/>
        <v>1.995222505046136E-9</v>
      </c>
      <c r="S73" s="89">
        <f t="shared" si="15"/>
        <v>0.19952623149688795</v>
      </c>
      <c r="T73" s="136">
        <f t="shared" si="15"/>
        <v>5.0118723362727011E-14</v>
      </c>
      <c r="U73" s="137">
        <f t="shared" si="16"/>
        <v>0.99998004777494953</v>
      </c>
      <c r="V73" s="88">
        <f t="shared" si="12"/>
        <v>8.0000086652276874</v>
      </c>
      <c r="W73" s="86">
        <f t="shared" si="17"/>
        <v>9.2999913347723151</v>
      </c>
      <c r="X73" s="90">
        <f t="shared" si="13"/>
        <v>0.98998004777494952</v>
      </c>
    </row>
    <row r="74" spans="13:24" x14ac:dyDescent="0.25">
      <c r="M74" s="91">
        <v>0.71</v>
      </c>
      <c r="N74" s="89">
        <f t="shared" si="9"/>
        <v>13.29</v>
      </c>
      <c r="O74" s="89">
        <f t="shared" si="10"/>
        <v>4.0000088670647074</v>
      </c>
      <c r="P74" s="97">
        <f t="shared" si="11"/>
        <v>8.6900088670647087</v>
      </c>
      <c r="Q74" s="135">
        <f t="shared" si="14"/>
        <v>9.9997958303741467E-5</v>
      </c>
      <c r="R74" s="89">
        <f t="shared" si="14"/>
        <v>2.0416962585822976E-9</v>
      </c>
      <c r="S74" s="89">
        <f t="shared" si="15"/>
        <v>0.19498445997580449</v>
      </c>
      <c r="T74" s="136">
        <f t="shared" si="15"/>
        <v>5.1286138399136433E-14</v>
      </c>
      <c r="U74" s="137">
        <f t="shared" si="16"/>
        <v>0.99997958303741419</v>
      </c>
      <c r="V74" s="88">
        <f t="shared" si="12"/>
        <v>7.9800088670647087</v>
      </c>
      <c r="W74" s="86">
        <f t="shared" si="17"/>
        <v>9.2899911329352918</v>
      </c>
      <c r="X74" s="90">
        <f t="shared" si="13"/>
        <v>0.98997958303741418</v>
      </c>
    </row>
    <row r="75" spans="13:24" x14ac:dyDescent="0.25">
      <c r="M75" s="91">
        <v>0.72</v>
      </c>
      <c r="N75" s="89">
        <f t="shared" si="9"/>
        <v>13.28</v>
      </c>
      <c r="O75" s="89">
        <f t="shared" si="10"/>
        <v>4.00000907360302</v>
      </c>
      <c r="P75" s="97">
        <f t="shared" si="11"/>
        <v>8.6800090736030207</v>
      </c>
      <c r="Q75" s="135">
        <f t="shared" si="14"/>
        <v>9.9997910747519716E-5</v>
      </c>
      <c r="R75" s="89">
        <f t="shared" si="14"/>
        <v>2.0892524801827981E-9</v>
      </c>
      <c r="S75" s="89">
        <f t="shared" si="15"/>
        <v>0.19054607179632471</v>
      </c>
      <c r="T75" s="136">
        <f t="shared" si="15"/>
        <v>5.2480746024977203E-14</v>
      </c>
      <c r="U75" s="137">
        <f t="shared" si="16"/>
        <v>0.99997910747519825</v>
      </c>
      <c r="V75" s="88">
        <f t="shared" si="12"/>
        <v>7.9600090736030209</v>
      </c>
      <c r="W75" s="86">
        <f t="shared" si="17"/>
        <v>9.2799909263969802</v>
      </c>
      <c r="X75" s="90">
        <f t="shared" si="13"/>
        <v>0.98997910747519824</v>
      </c>
    </row>
    <row r="76" spans="13:24" x14ac:dyDescent="0.25">
      <c r="M76" s="91">
        <v>0.73</v>
      </c>
      <c r="N76" s="89">
        <f t="shared" si="9"/>
        <v>13.27</v>
      </c>
      <c r="O76" s="89">
        <f t="shared" si="10"/>
        <v>4.0000092849521263</v>
      </c>
      <c r="P76" s="97">
        <f t="shared" si="11"/>
        <v>8.6700092849521262</v>
      </c>
      <c r="Q76" s="135">
        <f t="shared" si="14"/>
        <v>9.9997862083618235E-5</v>
      </c>
      <c r="R76" s="89">
        <f t="shared" si="14"/>
        <v>2.1379163816604815E-9</v>
      </c>
      <c r="S76" s="89">
        <f t="shared" si="15"/>
        <v>0.18620871366628672</v>
      </c>
      <c r="T76" s="136">
        <f t="shared" si="15"/>
        <v>5.3703179637025215E-14</v>
      </c>
      <c r="U76" s="137">
        <f t="shared" si="16"/>
        <v>0.99997862083618339</v>
      </c>
      <c r="V76" s="88">
        <f t="shared" si="12"/>
        <v>7.9400092849521258</v>
      </c>
      <c r="W76" s="86">
        <f t="shared" si="17"/>
        <v>9.2699907150478733</v>
      </c>
      <c r="X76" s="90">
        <f t="shared" si="13"/>
        <v>0.98997862083618338</v>
      </c>
    </row>
    <row r="77" spans="13:24" x14ac:dyDescent="0.25">
      <c r="M77" s="91">
        <v>0.74</v>
      </c>
      <c r="N77" s="89">
        <f t="shared" si="9"/>
        <v>13.26</v>
      </c>
      <c r="O77" s="89">
        <f t="shared" si="10"/>
        <v>4.0000095012240786</v>
      </c>
      <c r="P77" s="97">
        <f t="shared" si="11"/>
        <v>8.6600095012240796</v>
      </c>
      <c r="Q77" s="135">
        <f t="shared" si="14"/>
        <v>9.999781228623785E-5</v>
      </c>
      <c r="R77" s="89">
        <f t="shared" si="14"/>
        <v>2.187713761987415E-9</v>
      </c>
      <c r="S77" s="89">
        <f t="shared" si="15"/>
        <v>0.18197008586099833</v>
      </c>
      <c r="T77" s="136">
        <f t="shared" si="15"/>
        <v>5.495408738576239E-14</v>
      </c>
      <c r="U77" s="137">
        <f t="shared" si="16"/>
        <v>0.99997812286238008</v>
      </c>
      <c r="V77" s="88">
        <f t="shared" si="12"/>
        <v>7.9200095012240794</v>
      </c>
      <c r="W77" s="86">
        <f t="shared" si="17"/>
        <v>9.2599904987759203</v>
      </c>
      <c r="X77" s="90">
        <f t="shared" si="13"/>
        <v>0.98997812286238007</v>
      </c>
    </row>
    <row r="78" spans="13:24" x14ac:dyDescent="0.25">
      <c r="M78" s="91">
        <v>0.75</v>
      </c>
      <c r="N78" s="89">
        <f t="shared" si="9"/>
        <v>13.25</v>
      </c>
      <c r="O78" s="89">
        <f t="shared" si="10"/>
        <v>4.00000972253354</v>
      </c>
      <c r="P78" s="97">
        <f t="shared" si="11"/>
        <v>8.6500097225335413</v>
      </c>
      <c r="Q78" s="135">
        <f t="shared" si="14"/>
        <v>9.9997761328978984E-5</v>
      </c>
      <c r="R78" s="89">
        <f t="shared" si="14"/>
        <v>2.2386710209669614E-9</v>
      </c>
      <c r="S78" s="89">
        <f t="shared" si="15"/>
        <v>0.17782794100389224</v>
      </c>
      <c r="T78" s="136">
        <f t="shared" si="15"/>
        <v>5.6234132519034836E-14</v>
      </c>
      <c r="U78" s="137">
        <f t="shared" si="16"/>
        <v>0.99997761328979029</v>
      </c>
      <c r="V78" s="88">
        <f t="shared" si="12"/>
        <v>7.9000097225335413</v>
      </c>
      <c r="W78" s="86">
        <f t="shared" si="17"/>
        <v>9.2499902774664591</v>
      </c>
      <c r="X78" s="90">
        <f t="shared" si="13"/>
        <v>0.98997761328979028</v>
      </c>
    </row>
    <row r="79" spans="13:24" x14ac:dyDescent="0.25">
      <c r="M79" s="91">
        <v>0.76</v>
      </c>
      <c r="N79" s="89">
        <f t="shared" si="9"/>
        <v>13.24</v>
      </c>
      <c r="O79" s="89">
        <f t="shared" si="10"/>
        <v>4.0000099489978451</v>
      </c>
      <c r="P79" s="97">
        <f t="shared" si="11"/>
        <v>8.6400099489978466</v>
      </c>
      <c r="Q79" s="135">
        <f t="shared" si="14"/>
        <v>9.9997709184826571E-5</v>
      </c>
      <c r="R79" s="89">
        <f t="shared" si="14"/>
        <v>2.2908151732239715E-9</v>
      </c>
      <c r="S79" s="89">
        <f t="shared" si="15"/>
        <v>0.17378008287493749</v>
      </c>
      <c r="T79" s="136">
        <f t="shared" si="15"/>
        <v>5.7543993733715408E-14</v>
      </c>
      <c r="U79" s="137">
        <f t="shared" si="16"/>
        <v>0.99997709184826766</v>
      </c>
      <c r="V79" s="88">
        <f t="shared" si="12"/>
        <v>7.8800099489978468</v>
      </c>
      <c r="W79" s="86">
        <f t="shared" si="17"/>
        <v>9.239990051002156</v>
      </c>
      <c r="X79" s="90">
        <f t="shared" si="13"/>
        <v>0.98997709184826765</v>
      </c>
    </row>
    <row r="80" spans="13:24" x14ac:dyDescent="0.25">
      <c r="M80" s="91">
        <v>0.77</v>
      </c>
      <c r="N80" s="89">
        <f t="shared" si="9"/>
        <v>13.23</v>
      </c>
      <c r="O80" s="89">
        <f t="shared" si="10"/>
        <v>4.0000101807370587</v>
      </c>
      <c r="P80" s="97">
        <f t="shared" si="11"/>
        <v>8.6300101807370595</v>
      </c>
      <c r="Q80" s="135">
        <f t="shared" si="14"/>
        <v>9.9997655826137454E-5</v>
      </c>
      <c r="R80" s="89">
        <f t="shared" si="14"/>
        <v>2.3441738625207506E-9</v>
      </c>
      <c r="S80" s="89">
        <f t="shared" si="15"/>
        <v>0.16982436524617442</v>
      </c>
      <c r="T80" s="136">
        <f t="shared" si="15"/>
        <v>5.8884365535558603E-14</v>
      </c>
      <c r="U80" s="137">
        <f t="shared" si="16"/>
        <v>0.99997655826137477</v>
      </c>
      <c r="V80" s="88">
        <f t="shared" si="12"/>
        <v>7.8600101807370599</v>
      </c>
      <c r="W80" s="86">
        <f t="shared" si="17"/>
        <v>9.2299898192629417</v>
      </c>
      <c r="X80" s="90">
        <f t="shared" si="13"/>
        <v>0.98997655826137476</v>
      </c>
    </row>
    <row r="81" spans="13:24" x14ac:dyDescent="0.25">
      <c r="M81" s="91">
        <v>0.78</v>
      </c>
      <c r="N81" s="89">
        <f t="shared" si="9"/>
        <v>13.22</v>
      </c>
      <c r="O81" s="89">
        <f t="shared" si="10"/>
        <v>4.0000104178740443</v>
      </c>
      <c r="P81" s="97">
        <f t="shared" si="11"/>
        <v>8.6200104178740453</v>
      </c>
      <c r="Q81" s="135">
        <f t="shared" si="14"/>
        <v>9.9997601224623497E-5</v>
      </c>
      <c r="R81" s="89">
        <f t="shared" si="14"/>
        <v>2.3987753764060967E-9</v>
      </c>
      <c r="S81" s="89">
        <f t="shared" si="15"/>
        <v>0.16595869074375599</v>
      </c>
      <c r="T81" s="136">
        <f t="shared" si="15"/>
        <v>6.0255958607435464E-14</v>
      </c>
      <c r="U81" s="137">
        <f t="shared" si="16"/>
        <v>0.99997601224623589</v>
      </c>
      <c r="V81" s="88">
        <f t="shared" si="12"/>
        <v>7.8400104178740451</v>
      </c>
      <c r="W81" s="86">
        <f t="shared" si="17"/>
        <v>9.2199895821259563</v>
      </c>
      <c r="X81" s="90">
        <f t="shared" si="13"/>
        <v>0.98997601224623588</v>
      </c>
    </row>
    <row r="82" spans="13:24" x14ac:dyDescent="0.25">
      <c r="M82" s="91">
        <v>0.79</v>
      </c>
      <c r="N82" s="89">
        <f t="shared" si="9"/>
        <v>13.21</v>
      </c>
      <c r="O82" s="89">
        <f t="shared" si="10"/>
        <v>4.0000106605345254</v>
      </c>
      <c r="P82" s="97">
        <f t="shared" si="11"/>
        <v>8.6100106605345257</v>
      </c>
      <c r="Q82" s="135">
        <f t="shared" si="14"/>
        <v>9.9997545351338671E-5</v>
      </c>
      <c r="R82" s="89">
        <f t="shared" si="14"/>
        <v>2.4546486612054911E-9</v>
      </c>
      <c r="S82" s="89">
        <f t="shared" si="15"/>
        <v>0.16218100973589297</v>
      </c>
      <c r="T82" s="136">
        <f t="shared" si="15"/>
        <v>6.1659500186147887E-14</v>
      </c>
      <c r="U82" s="137">
        <f t="shared" si="16"/>
        <v>0.9999754535133879</v>
      </c>
      <c r="V82" s="88">
        <f t="shared" si="12"/>
        <v>7.8200106605345256</v>
      </c>
      <c r="W82" s="86">
        <f t="shared" si="17"/>
        <v>9.2099893394654764</v>
      </c>
      <c r="X82" s="90">
        <f t="shared" si="13"/>
        <v>0.98997545351338789</v>
      </c>
    </row>
    <row r="83" spans="13:24" x14ac:dyDescent="0.25">
      <c r="M83" s="91">
        <v>0.8</v>
      </c>
      <c r="N83" s="89">
        <f t="shared" si="9"/>
        <v>13.2</v>
      </c>
      <c r="O83" s="89">
        <f t="shared" si="10"/>
        <v>4.0000109088471554</v>
      </c>
      <c r="P83" s="97">
        <f t="shared" si="11"/>
        <v>8.6000109088471568</v>
      </c>
      <c r="Q83" s="135">
        <f t="shared" si="14"/>
        <v>9.9997488176662639E-5</v>
      </c>
      <c r="R83" s="89">
        <f t="shared" si="14"/>
        <v>2.5118233373599709E-9</v>
      </c>
      <c r="S83" s="89">
        <f t="shared" si="15"/>
        <v>0.15848931924611132</v>
      </c>
      <c r="T83" s="136">
        <f t="shared" si="15"/>
        <v>6.3095734448019215E-14</v>
      </c>
      <c r="U83" s="137">
        <f t="shared" si="16"/>
        <v>0.9999748817666263</v>
      </c>
      <c r="V83" s="88">
        <f t="shared" si="12"/>
        <v>7.800010908847157</v>
      </c>
      <c r="W83" s="86">
        <f t="shared" si="17"/>
        <v>9.1999890911528439</v>
      </c>
      <c r="X83" s="90">
        <f t="shared" si="13"/>
        <v>0.98997488176662629</v>
      </c>
    </row>
    <row r="84" spans="13:24" x14ac:dyDescent="0.25">
      <c r="M84" s="91">
        <v>0.81</v>
      </c>
      <c r="N84" s="89">
        <f t="shared" si="9"/>
        <v>13.19</v>
      </c>
      <c r="O84" s="89">
        <f t="shared" si="10"/>
        <v>4.0000111629435819</v>
      </c>
      <c r="P84" s="97">
        <f t="shared" si="11"/>
        <v>8.5900111629435827</v>
      </c>
      <c r="Q84" s="135">
        <f t="shared" si="14"/>
        <v>9.9997429670284864E-5</v>
      </c>
      <c r="R84" s="89">
        <f t="shared" si="14"/>
        <v>2.5703297151222567E-9</v>
      </c>
      <c r="S84" s="89">
        <f t="shared" si="15"/>
        <v>0.15488166189124808</v>
      </c>
      <c r="T84" s="136">
        <f t="shared" si="15"/>
        <v>6.4565422903465431E-14</v>
      </c>
      <c r="U84" s="137">
        <f t="shared" si="16"/>
        <v>0.99997429670284876</v>
      </c>
      <c r="V84" s="88">
        <f t="shared" si="12"/>
        <v>7.7800111629435822</v>
      </c>
      <c r="W84" s="86">
        <f t="shared" si="17"/>
        <v>9.1899888370564184</v>
      </c>
      <c r="X84" s="90">
        <f t="shared" si="13"/>
        <v>0.98997429670284876</v>
      </c>
    </row>
    <row r="85" spans="13:24" x14ac:dyDescent="0.25">
      <c r="M85" s="91">
        <v>0.82</v>
      </c>
      <c r="N85" s="89">
        <f t="shared" si="9"/>
        <v>13.18</v>
      </c>
      <c r="O85" s="89">
        <f t="shared" si="10"/>
        <v>4.0000114229585213</v>
      </c>
      <c r="P85" s="97">
        <f t="shared" si="11"/>
        <v>8.5800114229585223</v>
      </c>
      <c r="Q85" s="135">
        <f t="shared" si="14"/>
        <v>9.9997369801189397E-5</v>
      </c>
      <c r="R85" s="89">
        <f t="shared" si="14"/>
        <v>2.6301988106179322E-9</v>
      </c>
      <c r="S85" s="89">
        <f t="shared" si="15"/>
        <v>0.15135612484362079</v>
      </c>
      <c r="T85" s="136">
        <f t="shared" si="15"/>
        <v>6.6069344800759472E-14</v>
      </c>
      <c r="U85" s="137">
        <f t="shared" si="16"/>
        <v>0.99997369801189384</v>
      </c>
      <c r="V85" s="88">
        <f t="shared" si="12"/>
        <v>7.760011422958522</v>
      </c>
      <c r="W85" s="86">
        <f t="shared" si="17"/>
        <v>9.1799885770414775</v>
      </c>
      <c r="X85" s="90">
        <f t="shared" si="13"/>
        <v>0.98997369801189383</v>
      </c>
    </row>
    <row r="86" spans="13:24" x14ac:dyDescent="0.25">
      <c r="M86" s="91">
        <v>0.83</v>
      </c>
      <c r="N86" s="89">
        <f t="shared" si="9"/>
        <v>13.17</v>
      </c>
      <c r="O86" s="89">
        <f t="shared" si="10"/>
        <v>4.0000116890298258</v>
      </c>
      <c r="P86" s="97">
        <f t="shared" si="11"/>
        <v>8.5700116890298261</v>
      </c>
      <c r="Q86" s="135">
        <f t="shared" si="14"/>
        <v>9.9997308537637467E-5</v>
      </c>
      <c r="R86" s="89">
        <f t="shared" si="14"/>
        <v>2.6914623622806915E-9</v>
      </c>
      <c r="S86" s="89">
        <f t="shared" si="15"/>
        <v>0.14791083881682074</v>
      </c>
      <c r="T86" s="136">
        <f t="shared" si="15"/>
        <v>6.760829753919804E-14</v>
      </c>
      <c r="U86" s="137">
        <f t="shared" si="16"/>
        <v>0.99997308537637719</v>
      </c>
      <c r="V86" s="88">
        <f t="shared" si="12"/>
        <v>7.7400116890298261</v>
      </c>
      <c r="W86" s="86">
        <f t="shared" si="17"/>
        <v>9.1699883109701741</v>
      </c>
      <c r="X86" s="90">
        <f t="shared" si="13"/>
        <v>0.98997308537637718</v>
      </c>
    </row>
    <row r="87" spans="13:24" x14ac:dyDescent="0.25">
      <c r="M87" s="91">
        <v>0.84</v>
      </c>
      <c r="N87" s="89">
        <f t="shared" si="9"/>
        <v>13.16</v>
      </c>
      <c r="O87" s="89">
        <f t="shared" si="10"/>
        <v>4.0000119612985578</v>
      </c>
      <c r="P87" s="97">
        <f t="shared" si="11"/>
        <v>8.5600119612985583</v>
      </c>
      <c r="Q87" s="135">
        <f t="shared" si="14"/>
        <v>9.9997245847152218E-5</v>
      </c>
      <c r="R87" s="89">
        <f t="shared" si="14"/>
        <v>2.7541528476698919E-9</v>
      </c>
      <c r="S87" s="89">
        <f t="shared" si="15"/>
        <v>0.14454397707459271</v>
      </c>
      <c r="T87" s="136">
        <f t="shared" si="15"/>
        <v>6.9183097091893504E-14</v>
      </c>
      <c r="U87" s="137">
        <f t="shared" si="16"/>
        <v>0.99997245847152338</v>
      </c>
      <c r="V87" s="88">
        <f t="shared" si="12"/>
        <v>7.7200119612985585</v>
      </c>
      <c r="W87" s="86">
        <f t="shared" si="17"/>
        <v>9.1599880387014423</v>
      </c>
      <c r="X87" s="90">
        <f t="shared" si="13"/>
        <v>0.98997245847152338</v>
      </c>
    </row>
    <row r="88" spans="13:24" x14ac:dyDescent="0.25">
      <c r="M88" s="91">
        <v>0.85</v>
      </c>
      <c r="N88" s="89">
        <f t="shared" si="9"/>
        <v>13.15</v>
      </c>
      <c r="O88" s="89">
        <f t="shared" si="10"/>
        <v>4.0000122399090667</v>
      </c>
      <c r="P88" s="97">
        <f t="shared" si="11"/>
        <v>8.5500122399090674</v>
      </c>
      <c r="Q88" s="135">
        <f t="shared" si="14"/>
        <v>9.9997181696499126E-5</v>
      </c>
      <c r="R88" s="89">
        <f t="shared" si="14"/>
        <v>2.8183035006796264E-9</v>
      </c>
      <c r="S88" s="89">
        <f t="shared" si="15"/>
        <v>0.14125375446227542</v>
      </c>
      <c r="T88" s="136">
        <f t="shared" si="15"/>
        <v>7.0794578438413629E-14</v>
      </c>
      <c r="U88" s="137">
        <f t="shared" si="16"/>
        <v>0.99997181696499327</v>
      </c>
      <c r="V88" s="88">
        <f t="shared" si="12"/>
        <v>7.7000122399090678</v>
      </c>
      <c r="W88" s="86">
        <f t="shared" si="17"/>
        <v>9.1499877600909336</v>
      </c>
      <c r="X88" s="90">
        <f t="shared" si="13"/>
        <v>0.98997181696499326</v>
      </c>
    </row>
    <row r="89" spans="13:24" x14ac:dyDescent="0.25">
      <c r="M89" s="91">
        <v>0.86</v>
      </c>
      <c r="N89" s="89">
        <f t="shared" si="9"/>
        <v>13.14</v>
      </c>
      <c r="O89" s="89">
        <f t="shared" si="10"/>
        <v>4.0000125250090628</v>
      </c>
      <c r="P89" s="97">
        <f t="shared" si="11"/>
        <v>8.5400125250090628</v>
      </c>
      <c r="Q89" s="135">
        <f t="shared" si="14"/>
        <v>9.9997116051670821E-5</v>
      </c>
      <c r="R89" s="89">
        <f t="shared" si="14"/>
        <v>2.8839483291482554E-9</v>
      </c>
      <c r="S89" s="89">
        <f t="shared" si="15"/>
        <v>0.13803842646028844</v>
      </c>
      <c r="T89" s="136">
        <f t="shared" si="15"/>
        <v>7.2443596007498585E-14</v>
      </c>
      <c r="U89" s="137">
        <f t="shared" si="16"/>
        <v>0.99997116051670853</v>
      </c>
      <c r="V89" s="88">
        <f t="shared" si="12"/>
        <v>7.6800125250090625</v>
      </c>
      <c r="W89" s="86">
        <f t="shared" si="17"/>
        <v>9.1399874749909387</v>
      </c>
      <c r="X89" s="90">
        <f t="shared" si="13"/>
        <v>0.98997116051670853</v>
      </c>
    </row>
    <row r="90" spans="13:24" x14ac:dyDescent="0.25">
      <c r="M90" s="91">
        <v>0.87</v>
      </c>
      <c r="N90" s="89">
        <f t="shared" si="9"/>
        <v>13.13</v>
      </c>
      <c r="O90" s="89">
        <f t="shared" si="10"/>
        <v>4.0000128167496971</v>
      </c>
      <c r="P90" s="97">
        <f t="shared" si="11"/>
        <v>8.5300128167496982</v>
      </c>
      <c r="Q90" s="135">
        <f t="shared" si="14"/>
        <v>9.9997048877867084E-5</v>
      </c>
      <c r="R90" s="89">
        <f t="shared" si="14"/>
        <v>2.951122132877695E-9</v>
      </c>
      <c r="S90" s="89">
        <f t="shared" si="15"/>
        <v>0.13489628825916533</v>
      </c>
      <c r="T90" s="136">
        <f t="shared" si="15"/>
        <v>7.4131024130091305E-14</v>
      </c>
      <c r="U90" s="137">
        <f t="shared" si="16"/>
        <v>0.99997048877867123</v>
      </c>
      <c r="V90" s="88">
        <f t="shared" si="12"/>
        <v>7.6600128167496981</v>
      </c>
      <c r="W90" s="86">
        <f t="shared" si="17"/>
        <v>9.1299871832503037</v>
      </c>
      <c r="X90" s="90">
        <f t="shared" si="13"/>
        <v>0.98997048877867122</v>
      </c>
    </row>
    <row r="91" spans="13:24" x14ac:dyDescent="0.25">
      <c r="M91" s="91">
        <v>0.88</v>
      </c>
      <c r="N91" s="89">
        <f t="shared" si="9"/>
        <v>13.12</v>
      </c>
      <c r="O91" s="89">
        <f t="shared" si="10"/>
        <v>4.0000131152856415</v>
      </c>
      <c r="P91" s="97">
        <f t="shared" si="11"/>
        <v>8.5200131152856411</v>
      </c>
      <c r="Q91" s="135">
        <f t="shared" si="14"/>
        <v>9.9996980139477714E-5</v>
      </c>
      <c r="R91" s="89">
        <f t="shared" si="14"/>
        <v>3.0198605220722158E-9</v>
      </c>
      <c r="S91" s="89">
        <f t="shared" si="15"/>
        <v>0.1318256738556407</v>
      </c>
      <c r="T91" s="136">
        <f t="shared" si="15"/>
        <v>7.5857757502918174E-14</v>
      </c>
      <c r="U91" s="137">
        <f t="shared" si="16"/>
        <v>0.99996980139477931</v>
      </c>
      <c r="V91" s="88">
        <f t="shared" si="12"/>
        <v>7.6400131152856412</v>
      </c>
      <c r="W91" s="86">
        <f t="shared" si="17"/>
        <v>9.1199868847143577</v>
      </c>
      <c r="X91" s="90">
        <f t="shared" si="13"/>
        <v>0.9899698013947793</v>
      </c>
    </row>
    <row r="92" spans="13:24" x14ac:dyDescent="0.25">
      <c r="M92" s="91">
        <v>0.89</v>
      </c>
      <c r="N92" s="89">
        <f t="shared" si="9"/>
        <v>13.11</v>
      </c>
      <c r="O92" s="89">
        <f t="shared" si="10"/>
        <v>4.0000134207751685</v>
      </c>
      <c r="P92" s="97">
        <f t="shared" si="11"/>
        <v>8.5100134207751701</v>
      </c>
      <c r="Q92" s="135">
        <f t="shared" si="14"/>
        <v>9.9996909800063692E-5</v>
      </c>
      <c r="R92" s="89">
        <f t="shared" si="14"/>
        <v>3.0901999362060882E-9</v>
      </c>
      <c r="S92" s="89">
        <f t="shared" si="15"/>
        <v>0.12882495516931336</v>
      </c>
      <c r="T92" s="136">
        <f t="shared" si="15"/>
        <v>7.7624711662868969E-14</v>
      </c>
      <c r="U92" s="137">
        <f t="shared" si="16"/>
        <v>0.99996909800063793</v>
      </c>
      <c r="V92" s="88">
        <f t="shared" si="12"/>
        <v>7.6200134207751704</v>
      </c>
      <c r="W92" s="86">
        <f t="shared" si="17"/>
        <v>9.1099865792248309</v>
      </c>
      <c r="X92" s="90">
        <f t="shared" si="13"/>
        <v>0.98996909800063793</v>
      </c>
    </row>
    <row r="93" spans="13:24" x14ac:dyDescent="0.25">
      <c r="M93" s="91">
        <v>0.9</v>
      </c>
      <c r="N93" s="89">
        <f t="shared" si="9"/>
        <v>13.1</v>
      </c>
      <c r="O93" s="89">
        <f t="shared" si="10"/>
        <v>4.0000137333802384</v>
      </c>
      <c r="P93" s="97">
        <f t="shared" si="11"/>
        <v>8.5000137333802392</v>
      </c>
      <c r="Q93" s="135">
        <f t="shared" si="14"/>
        <v>9.9996837822336393E-5</v>
      </c>
      <c r="R93" s="89">
        <f t="shared" si="14"/>
        <v>3.1621776633305437E-9</v>
      </c>
      <c r="S93" s="89">
        <f t="shared" si="15"/>
        <v>0.12589254117941667</v>
      </c>
      <c r="T93" s="136">
        <f t="shared" si="15"/>
        <v>7.9432823472427931E-14</v>
      </c>
      <c r="U93" s="137">
        <f t="shared" si="16"/>
        <v>0.99996837822336671</v>
      </c>
      <c r="V93" s="88">
        <f t="shared" si="12"/>
        <v>7.6000137333802389</v>
      </c>
      <c r="W93" s="86">
        <f t="shared" si="17"/>
        <v>9.0999862666197622</v>
      </c>
      <c r="X93" s="90">
        <f t="shared" si="13"/>
        <v>0.9899683782233667</v>
      </c>
    </row>
    <row r="94" spans="13:24" x14ac:dyDescent="0.25">
      <c r="M94" s="91">
        <v>0.91</v>
      </c>
      <c r="N94" s="89">
        <f t="shared" si="9"/>
        <v>13.09</v>
      </c>
      <c r="O94" s="89">
        <f t="shared" si="10"/>
        <v>4.0000140532665824</v>
      </c>
      <c r="P94" s="97">
        <f t="shared" si="11"/>
        <v>8.4900140532665826</v>
      </c>
      <c r="Q94" s="135">
        <f t="shared" si="14"/>
        <v>9.999676416813999E-5</v>
      </c>
      <c r="R94" s="89">
        <f t="shared" si="14"/>
        <v>3.2358318598298047E-9</v>
      </c>
      <c r="S94" s="89">
        <f t="shared" si="15"/>
        <v>0.12302687708123815</v>
      </c>
      <c r="T94" s="136">
        <f t="shared" si="15"/>
        <v>8.1283051616409697E-14</v>
      </c>
      <c r="U94" s="137">
        <f t="shared" si="16"/>
        <v>0.99996764168140173</v>
      </c>
      <c r="V94" s="88">
        <f t="shared" si="12"/>
        <v>7.5800140532665825</v>
      </c>
      <c r="W94" s="86">
        <f t="shared" si="17"/>
        <v>9.0899859467334174</v>
      </c>
      <c r="X94" s="90">
        <f t="shared" si="13"/>
        <v>0.98996764168140172</v>
      </c>
    </row>
    <row r="95" spans="13:24" x14ac:dyDescent="0.25">
      <c r="M95" s="91">
        <v>0.92</v>
      </c>
      <c r="N95" s="89">
        <f t="shared" si="9"/>
        <v>13.08</v>
      </c>
      <c r="O95" s="89">
        <f t="shared" si="10"/>
        <v>4.0000143806037922</v>
      </c>
      <c r="P95" s="97">
        <f t="shared" si="11"/>
        <v>8.4800143806037926</v>
      </c>
      <c r="Q95" s="135">
        <f t="shared" si="14"/>
        <v>9.99966887984293E-5</v>
      </c>
      <c r="R95" s="89">
        <f t="shared" si="14"/>
        <v>3.3112015706369494E-9</v>
      </c>
      <c r="S95" s="89">
        <f t="shared" si="15"/>
        <v>0.12022644346174129</v>
      </c>
      <c r="T95" s="136">
        <f t="shared" si="15"/>
        <v>8.3176377110266858E-14</v>
      </c>
      <c r="U95" s="137">
        <f t="shared" si="16"/>
        <v>0.99996688798429367</v>
      </c>
      <c r="V95" s="88">
        <f t="shared" si="12"/>
        <v>7.5600143806037927</v>
      </c>
      <c r="W95" s="86">
        <f t="shared" si="17"/>
        <v>9.0799856193962079</v>
      </c>
      <c r="X95" s="90">
        <f t="shared" si="13"/>
        <v>0.98996688798429366</v>
      </c>
    </row>
    <row r="96" spans="13:24" x14ac:dyDescent="0.25">
      <c r="M96" s="91">
        <v>0.93</v>
      </c>
      <c r="N96" s="89">
        <f t="shared" si="9"/>
        <v>13.07</v>
      </c>
      <c r="O96" s="89">
        <f t="shared" si="10"/>
        <v>4.0000147155654107</v>
      </c>
      <c r="P96" s="97">
        <f t="shared" si="11"/>
        <v>8.4700147155654122</v>
      </c>
      <c r="Q96" s="135">
        <f t="shared" si="14"/>
        <v>9.9996611673250051E-5</v>
      </c>
      <c r="R96" s="89">
        <f t="shared" si="14"/>
        <v>3.3883267499201827E-9</v>
      </c>
      <c r="S96" s="89">
        <f t="shared" si="15"/>
        <v>0.11748975549395291</v>
      </c>
      <c r="T96" s="136">
        <f t="shared" si="15"/>
        <v>8.511380382023738E-14</v>
      </c>
      <c r="U96" s="137">
        <f t="shared" si="16"/>
        <v>0.99996611673250069</v>
      </c>
      <c r="V96" s="88">
        <f t="shared" si="12"/>
        <v>7.5400147155654125</v>
      </c>
      <c r="W96" s="86">
        <f t="shared" si="17"/>
        <v>9.0699852844345905</v>
      </c>
      <c r="X96" s="90">
        <f t="shared" si="13"/>
        <v>0.98996611673250068</v>
      </c>
    </row>
    <row r="97" spans="13:24" x14ac:dyDescent="0.25">
      <c r="M97" s="91">
        <v>0.94</v>
      </c>
      <c r="N97" s="89">
        <f t="shared" si="9"/>
        <v>13.06</v>
      </c>
      <c r="O97" s="89">
        <f t="shared" si="10"/>
        <v>4.0000150583290202</v>
      </c>
      <c r="P97" s="97">
        <f t="shared" si="11"/>
        <v>8.4600150583290219</v>
      </c>
      <c r="Q97" s="135">
        <f t="shared" si="14"/>
        <v>9.9996532751717602E-5</v>
      </c>
      <c r="R97" s="89">
        <f t="shared" si="14"/>
        <v>3.4672482822503864E-9</v>
      </c>
      <c r="S97" s="89">
        <f t="shared" si="15"/>
        <v>0.11481536214968829</v>
      </c>
      <c r="T97" s="136">
        <f t="shared" si="15"/>
        <v>8.7096358995607795E-14</v>
      </c>
      <c r="U97" s="137">
        <f t="shared" si="16"/>
        <v>0.99996532751717748</v>
      </c>
      <c r="V97" s="88">
        <f t="shared" si="12"/>
        <v>7.5200150583290224</v>
      </c>
      <c r="W97" s="86">
        <f t="shared" si="17"/>
        <v>9.0599849416709795</v>
      </c>
      <c r="X97" s="90">
        <f t="shared" si="13"/>
        <v>0.98996532751717747</v>
      </c>
    </row>
    <row r="98" spans="13:24" x14ac:dyDescent="0.25">
      <c r="M98" s="91">
        <v>0.95</v>
      </c>
      <c r="N98" s="89">
        <f t="shared" si="9"/>
        <v>13.05</v>
      </c>
      <c r="O98" s="89">
        <f t="shared" si="10"/>
        <v>4.0000154090763393</v>
      </c>
      <c r="P98" s="97">
        <f t="shared" si="11"/>
        <v>8.4500154090763395</v>
      </c>
      <c r="Q98" s="135">
        <f t="shared" si="14"/>
        <v>9.9996451991995585E-5</v>
      </c>
      <c r="R98" s="89">
        <f t="shared" si="14"/>
        <v>3.5480080042612402E-9</v>
      </c>
      <c r="S98" s="89">
        <f t="shared" si="15"/>
        <v>0.11220184543019632</v>
      </c>
      <c r="T98" s="136">
        <f t="shared" si="15"/>
        <v>8.9125093813374273E-14</v>
      </c>
      <c r="U98" s="137">
        <f t="shared" si="16"/>
        <v>0.99996451991995738</v>
      </c>
      <c r="V98" s="88">
        <f t="shared" si="12"/>
        <v>7.5000154090763393</v>
      </c>
      <c r="W98" s="86">
        <f t="shared" si="17"/>
        <v>9.0499845909236605</v>
      </c>
      <c r="X98" s="90">
        <f t="shared" si="13"/>
        <v>0.98996451991995738</v>
      </c>
    </row>
    <row r="99" spans="13:24" x14ac:dyDescent="0.25">
      <c r="M99" s="91">
        <v>0.96</v>
      </c>
      <c r="N99" s="89">
        <f t="shared" si="9"/>
        <v>13.04</v>
      </c>
      <c r="O99" s="89">
        <f t="shared" si="10"/>
        <v>4.0000157679933199</v>
      </c>
      <c r="P99" s="97">
        <f t="shared" si="11"/>
        <v>8.4400157679933212</v>
      </c>
      <c r="Q99" s="135">
        <f t="shared" si="14"/>
        <v>9.9996369351273059E-5</v>
      </c>
      <c r="R99" s="89">
        <f t="shared" si="14"/>
        <v>3.6306487268132606E-9</v>
      </c>
      <c r="S99" s="89">
        <f t="shared" si="15"/>
        <v>0.10964781961431849</v>
      </c>
      <c r="T99" s="136">
        <f t="shared" si="15"/>
        <v>9.1201083935590996E-14</v>
      </c>
      <c r="U99" s="137">
        <f t="shared" si="16"/>
        <v>0.99996369351273195</v>
      </c>
      <c r="V99" s="88">
        <f t="shared" si="12"/>
        <v>7.4800157679933212</v>
      </c>
      <c r="W99" s="86">
        <f t="shared" si="17"/>
        <v>9.0399842320066792</v>
      </c>
      <c r="X99" s="90">
        <f t="shared" si="13"/>
        <v>0.98996369351273195</v>
      </c>
    </row>
    <row r="100" spans="13:24" x14ac:dyDescent="0.25">
      <c r="M100" s="91">
        <v>0.97</v>
      </c>
      <c r="N100" s="89">
        <f t="shared" si="9"/>
        <v>13.03</v>
      </c>
      <c r="O100" s="89">
        <f t="shared" si="10"/>
        <v>4.0000161352702435</v>
      </c>
      <c r="P100" s="97">
        <f t="shared" si="11"/>
        <v>8.430016135270245</v>
      </c>
      <c r="Q100" s="135">
        <f t="shared" si="14"/>
        <v>9.999628478574232E-5</v>
      </c>
      <c r="R100" s="89">
        <f t="shared" si="14"/>
        <v>3.7152142576736674E-9</v>
      </c>
      <c r="S100" s="89">
        <f t="shared" si="15"/>
        <v>0.10715193052376064</v>
      </c>
      <c r="T100" s="136">
        <f t="shared" si="15"/>
        <v>9.3325430079699117E-14</v>
      </c>
      <c r="U100" s="137">
        <f t="shared" si="16"/>
        <v>0.99996284785742329</v>
      </c>
      <c r="V100" s="88">
        <f t="shared" si="12"/>
        <v>7.4600161352702452</v>
      </c>
      <c r="W100" s="86">
        <f t="shared" si="17"/>
        <v>9.0299838647297559</v>
      </c>
      <c r="X100" s="90">
        <f t="shared" si="13"/>
        <v>0.98996284785742328</v>
      </c>
    </row>
    <row r="101" spans="13:24" x14ac:dyDescent="0.25">
      <c r="M101" s="91">
        <v>0.98</v>
      </c>
      <c r="N101" s="89">
        <f t="shared" si="9"/>
        <v>13.02</v>
      </c>
      <c r="O101" s="89">
        <f t="shared" si="10"/>
        <v>4.0000165111018244</v>
      </c>
      <c r="P101" s="97">
        <f t="shared" si="11"/>
        <v>8.4200165111018244</v>
      </c>
      <c r="Q101" s="135">
        <f t="shared" si="14"/>
        <v>9.9996198250575213E-5</v>
      </c>
      <c r="R101" s="89">
        <f t="shared" si="14"/>
        <v>3.8017494247237331E-9</v>
      </c>
      <c r="S101" s="89">
        <f t="shared" si="15"/>
        <v>0.10471285480508996</v>
      </c>
      <c r="T101" s="136">
        <f t="shared" si="15"/>
        <v>9.5499258602143264E-14</v>
      </c>
      <c r="U101" s="137">
        <f t="shared" si="16"/>
        <v>0.99996198250575274</v>
      </c>
      <c r="V101" s="88">
        <f t="shared" si="12"/>
        <v>7.4400165111018239</v>
      </c>
      <c r="W101" s="86">
        <f t="shared" si="17"/>
        <v>9.0199834888981751</v>
      </c>
      <c r="X101" s="90">
        <f t="shared" si="13"/>
        <v>0.98996198250575274</v>
      </c>
    </row>
    <row r="102" spans="13:24" x14ac:dyDescent="0.25">
      <c r="M102" s="91">
        <v>0.99</v>
      </c>
      <c r="N102" s="89">
        <f t="shared" si="9"/>
        <v>13.01</v>
      </c>
      <c r="O102" s="89">
        <f t="shared" si="10"/>
        <v>4.0000168956873114</v>
      </c>
      <c r="P102" s="97">
        <f t="shared" si="11"/>
        <v>8.4100168956873116</v>
      </c>
      <c r="Q102" s="135">
        <f t="shared" si="14"/>
        <v>9.9996109699900161E-5</v>
      </c>
      <c r="R102" s="89">
        <f t="shared" si="14"/>
        <v>3.8903000997061558E-9</v>
      </c>
      <c r="S102" s="89">
        <f t="shared" si="15"/>
        <v>0.10232929922807538</v>
      </c>
      <c r="T102" s="136">
        <f t="shared" si="15"/>
        <v>9.772372209558072E-14</v>
      </c>
      <c r="U102" s="137">
        <f t="shared" si="16"/>
        <v>0.99996109699900293</v>
      </c>
      <c r="V102" s="88">
        <f t="shared" si="12"/>
        <v>7.4200168956873114</v>
      </c>
      <c r="W102" s="86">
        <f t="shared" si="17"/>
        <v>9.0099831043126883</v>
      </c>
      <c r="X102" s="90">
        <f t="shared" si="13"/>
        <v>0.98996109699900292</v>
      </c>
    </row>
    <row r="103" spans="13:24" x14ac:dyDescent="0.25">
      <c r="M103" s="91">
        <v>1</v>
      </c>
      <c r="N103" s="89">
        <f t="shared" si="9"/>
        <v>13</v>
      </c>
      <c r="O103" s="89">
        <f t="shared" si="10"/>
        <v>4.0000172892305921</v>
      </c>
      <c r="P103" s="97">
        <f t="shared" si="11"/>
        <v>8.4000172892305933</v>
      </c>
      <c r="Q103" s="135">
        <f t="shared" si="14"/>
        <v>9.9996019086777226E-5</v>
      </c>
      <c r="R103" s="89">
        <f t="shared" si="14"/>
        <v>3.9809132225250287E-9</v>
      </c>
      <c r="S103" s="89">
        <f t="shared" si="15"/>
        <v>0.1</v>
      </c>
      <c r="T103" s="136">
        <f t="shared" si="15"/>
        <v>1E-13</v>
      </c>
      <c r="U103" s="137">
        <f t="shared" si="16"/>
        <v>0.99996019086777477</v>
      </c>
      <c r="V103" s="88">
        <f t="shared" si="12"/>
        <v>7.4000172892305933</v>
      </c>
      <c r="W103" s="86">
        <f t="shared" si="17"/>
        <v>8.9999827107694088</v>
      </c>
      <c r="X103" s="90">
        <f t="shared" si="13"/>
        <v>0.98996019086777476</v>
      </c>
    </row>
    <row r="104" spans="13:24" x14ac:dyDescent="0.25">
      <c r="M104" s="91">
        <v>1.01</v>
      </c>
      <c r="N104" s="89">
        <f t="shared" si="9"/>
        <v>12.99</v>
      </c>
      <c r="O104" s="89">
        <f t="shared" si="10"/>
        <v>4.0000176919403039</v>
      </c>
      <c r="P104" s="97">
        <f t="shared" si="11"/>
        <v>8.3900176919403044</v>
      </c>
      <c r="Q104" s="135">
        <f t="shared" si="14"/>
        <v>9.9995926363173799E-5</v>
      </c>
      <c r="R104" s="89">
        <f t="shared" si="14"/>
        <v>4.073636826110917E-9</v>
      </c>
      <c r="S104" s="89">
        <f t="shared" si="15"/>
        <v>9.7723722095581056E-2</v>
      </c>
      <c r="T104" s="136">
        <f t="shared" si="15"/>
        <v>1.0232929922807502E-13</v>
      </c>
      <c r="U104" s="137">
        <f t="shared" si="16"/>
        <v>0.99995926363173893</v>
      </c>
      <c r="V104" s="88">
        <f t="shared" si="12"/>
        <v>7.3800176919403047</v>
      </c>
      <c r="W104" s="86">
        <f t="shared" si="17"/>
        <v>8.9899823080596963</v>
      </c>
      <c r="X104" s="90">
        <f t="shared" si="13"/>
        <v>0.98995926363173892</v>
      </c>
    </row>
    <row r="105" spans="13:24" x14ac:dyDescent="0.25">
      <c r="M105" s="91">
        <v>1.02</v>
      </c>
      <c r="N105" s="89">
        <f t="shared" si="9"/>
        <v>12.98</v>
      </c>
      <c r="O105" s="89">
        <f t="shared" si="10"/>
        <v>4.0000181040299436</v>
      </c>
      <c r="P105" s="97">
        <f t="shared" si="11"/>
        <v>8.3800181040299453</v>
      </c>
      <c r="Q105" s="135">
        <f t="shared" si="14"/>
        <v>9.9995831479938023E-5</v>
      </c>
      <c r="R105" s="89">
        <f t="shared" si="14"/>
        <v>4.1685200618645063E-9</v>
      </c>
      <c r="S105" s="89">
        <f t="shared" si="15"/>
        <v>9.5499258602143561E-2</v>
      </c>
      <c r="T105" s="136">
        <f t="shared" si="15"/>
        <v>1.0471285480508955E-13</v>
      </c>
      <c r="U105" s="137">
        <f t="shared" si="16"/>
        <v>0.99995831479938135</v>
      </c>
      <c r="V105" s="88">
        <f t="shared" si="12"/>
        <v>7.3600181040299457</v>
      </c>
      <c r="W105" s="86">
        <f t="shared" si="17"/>
        <v>8.9799818959700559</v>
      </c>
      <c r="X105" s="90">
        <f t="shared" si="13"/>
        <v>0.98995831479938134</v>
      </c>
    </row>
    <row r="106" spans="13:24" x14ac:dyDescent="0.25">
      <c r="M106" s="91">
        <v>1.03</v>
      </c>
      <c r="N106" s="89">
        <f t="shared" si="9"/>
        <v>12.97</v>
      </c>
      <c r="O106" s="89">
        <f t="shared" si="10"/>
        <v>4.0000185257179792</v>
      </c>
      <c r="P106" s="97">
        <f t="shared" si="11"/>
        <v>8.3700185257179793</v>
      </c>
      <c r="Q106" s="135">
        <f t="shared" si="14"/>
        <v>9.999573438677426E-5</v>
      </c>
      <c r="R106" s="89">
        <f t="shared" si="14"/>
        <v>4.2656132256922008E-9</v>
      </c>
      <c r="S106" s="89">
        <f t="shared" si="15"/>
        <v>9.3325430079699068E-2</v>
      </c>
      <c r="T106" s="136">
        <f t="shared" si="15"/>
        <v>1.0715193052376022E-13</v>
      </c>
      <c r="U106" s="137">
        <f t="shared" si="16"/>
        <v>0.99995734386774304</v>
      </c>
      <c r="V106" s="88">
        <f t="shared" si="12"/>
        <v>7.3400185257179791</v>
      </c>
      <c r="W106" s="86">
        <f t="shared" si="17"/>
        <v>8.9699814742820223</v>
      </c>
      <c r="X106" s="90">
        <f t="shared" si="13"/>
        <v>0.98995734386774303</v>
      </c>
    </row>
    <row r="107" spans="13:24" x14ac:dyDescent="0.25">
      <c r="M107" s="91">
        <v>1.04</v>
      </c>
      <c r="N107" s="89">
        <f t="shared" si="9"/>
        <v>12.96</v>
      </c>
      <c r="O107" s="89">
        <f t="shared" si="10"/>
        <v>4.000018957227967</v>
      </c>
      <c r="P107" s="97">
        <f t="shared" si="11"/>
        <v>8.3600189572279682</v>
      </c>
      <c r="Q107" s="135">
        <f t="shared" si="14"/>
        <v>9.9995635032215229E-5</v>
      </c>
      <c r="R107" s="89">
        <f t="shared" si="14"/>
        <v>4.3649677846471202E-9</v>
      </c>
      <c r="S107" s="89">
        <f t="shared" si="15"/>
        <v>9.120108393559094E-2</v>
      </c>
      <c r="T107" s="136">
        <f t="shared" si="15"/>
        <v>1.0964781961431805E-13</v>
      </c>
      <c r="U107" s="137">
        <f t="shared" si="16"/>
        <v>0.99995635032215358</v>
      </c>
      <c r="V107" s="88">
        <f t="shared" si="12"/>
        <v>7.3200189572279681</v>
      </c>
      <c r="W107" s="86">
        <f t="shared" si="17"/>
        <v>8.9599810427720339</v>
      </c>
      <c r="X107" s="90">
        <f t="shared" si="13"/>
        <v>0.98995635032215357</v>
      </c>
    </row>
    <row r="108" spans="13:24" x14ac:dyDescent="0.25">
      <c r="M108" s="91">
        <v>1.05</v>
      </c>
      <c r="N108" s="89">
        <f t="shared" si="9"/>
        <v>12.95</v>
      </c>
      <c r="O108" s="89">
        <f t="shared" si="10"/>
        <v>4.0000193987886696</v>
      </c>
      <c r="P108" s="97">
        <f t="shared" si="11"/>
        <v>8.3500193987886711</v>
      </c>
      <c r="Q108" s="135">
        <f t="shared" si="14"/>
        <v>9.9995533363595878E-5</v>
      </c>
      <c r="R108" s="89">
        <f t="shared" si="14"/>
        <v>4.4666364041902202E-9</v>
      </c>
      <c r="S108" s="89">
        <f t="shared" si="15"/>
        <v>8.9125093813374537E-2</v>
      </c>
      <c r="T108" s="136">
        <f t="shared" si="15"/>
        <v>1.1220184543019628E-13</v>
      </c>
      <c r="U108" s="137">
        <f t="shared" si="16"/>
        <v>0.99995533363595801</v>
      </c>
      <c r="V108" s="88">
        <f t="shared" si="12"/>
        <v>7.3000193987886712</v>
      </c>
      <c r="W108" s="86">
        <f t="shared" si="17"/>
        <v>8.9499806012113297</v>
      </c>
      <c r="X108" s="90">
        <f t="shared" si="13"/>
        <v>0.989955333635958</v>
      </c>
    </row>
    <row r="109" spans="13:24" x14ac:dyDescent="0.25">
      <c r="M109" s="91">
        <v>1.06</v>
      </c>
      <c r="N109" s="89">
        <f t="shared" si="9"/>
        <v>12.94</v>
      </c>
      <c r="O109" s="89">
        <f t="shared" si="10"/>
        <v>4.0000198506341782</v>
      </c>
      <c r="P109" s="97">
        <f t="shared" si="11"/>
        <v>8.3400198506341781</v>
      </c>
      <c r="Q109" s="135">
        <f t="shared" si="14"/>
        <v>9.9995429327023769E-5</v>
      </c>
      <c r="R109" s="89">
        <f t="shared" si="14"/>
        <v>4.5706729760851497E-9</v>
      </c>
      <c r="S109" s="89">
        <f t="shared" si="15"/>
        <v>8.7096358995608011E-2</v>
      </c>
      <c r="T109" s="136">
        <f t="shared" si="15"/>
        <v>1.1481536214968819E-13</v>
      </c>
      <c r="U109" s="137">
        <f t="shared" si="16"/>
        <v>0.9999542932702391</v>
      </c>
      <c r="V109" s="88">
        <f t="shared" si="12"/>
        <v>7.2800198506341776</v>
      </c>
      <c r="W109" s="86">
        <f t="shared" si="17"/>
        <v>8.9399801493658213</v>
      </c>
      <c r="X109" s="90">
        <f t="shared" si="13"/>
        <v>0.98995429327023909</v>
      </c>
    </row>
    <row r="110" spans="13:24" x14ac:dyDescent="0.25">
      <c r="M110" s="91">
        <v>1.07</v>
      </c>
      <c r="N110" s="89">
        <f t="shared" si="9"/>
        <v>12.93</v>
      </c>
      <c r="O110" s="89">
        <f t="shared" si="10"/>
        <v>4.0000203130040335</v>
      </c>
      <c r="P110" s="97">
        <f t="shared" si="11"/>
        <v>8.3300203130040344</v>
      </c>
      <c r="Q110" s="135">
        <f t="shared" si="14"/>
        <v>9.9995322867352991E-5</v>
      </c>
      <c r="R110" s="89">
        <f t="shared" si="14"/>
        <v>4.6771326469420212E-9</v>
      </c>
      <c r="S110" s="89">
        <f t="shared" si="15"/>
        <v>8.5113803820237616E-2</v>
      </c>
      <c r="T110" s="136">
        <f t="shared" si="15"/>
        <v>1.1748975549395285E-13</v>
      </c>
      <c r="U110" s="137">
        <f t="shared" si="16"/>
        <v>0.99995322867353054</v>
      </c>
      <c r="V110" s="88">
        <f t="shared" si="12"/>
        <v>7.2600203130040342</v>
      </c>
      <c r="W110" s="86">
        <f t="shared" si="17"/>
        <v>8.9299796869959671</v>
      </c>
      <c r="X110" s="90">
        <f t="shared" si="13"/>
        <v>0.98995322867353053</v>
      </c>
    </row>
    <row r="111" spans="13:24" x14ac:dyDescent="0.25">
      <c r="M111" s="91">
        <v>1.08</v>
      </c>
      <c r="N111" s="89">
        <f t="shared" si="9"/>
        <v>12.92</v>
      </c>
      <c r="O111" s="89">
        <f t="shared" si="10"/>
        <v>4.0000207861433568</v>
      </c>
      <c r="P111" s="97">
        <f t="shared" si="11"/>
        <v>8.3200207861433579</v>
      </c>
      <c r="Q111" s="135">
        <f t="shared" si="14"/>
        <v>9.9995213928152598E-5</v>
      </c>
      <c r="R111" s="89">
        <f t="shared" si="14"/>
        <v>4.7860718474253403E-9</v>
      </c>
      <c r="S111" s="89">
        <f t="shared" si="15"/>
        <v>8.3176377110267083E-2</v>
      </c>
      <c r="T111" s="136">
        <f t="shared" si="15"/>
        <v>1.2022644346174119E-13</v>
      </c>
      <c r="U111" s="137">
        <f t="shared" si="16"/>
        <v>0.99995213928152582</v>
      </c>
      <c r="V111" s="88">
        <f t="shared" si="12"/>
        <v>7.2400207861433579</v>
      </c>
      <c r="W111" s="86">
        <f t="shared" si="17"/>
        <v>8.9199792138566423</v>
      </c>
      <c r="X111" s="90">
        <f t="shared" si="13"/>
        <v>0.98995213928152581</v>
      </c>
    </row>
    <row r="112" spans="13:24" x14ac:dyDescent="0.25">
      <c r="M112" s="91">
        <v>1.0900000000000001</v>
      </c>
      <c r="N112" s="89">
        <f t="shared" si="9"/>
        <v>12.91</v>
      </c>
      <c r="O112" s="89">
        <f t="shared" si="10"/>
        <v>4.0000212703029776</v>
      </c>
      <c r="P112" s="97">
        <f t="shared" si="11"/>
        <v>8.310021270302979</v>
      </c>
      <c r="Q112" s="135">
        <f t="shared" si="14"/>
        <v>9.999510245167771E-5</v>
      </c>
      <c r="R112" s="89">
        <f t="shared" si="14"/>
        <v>4.8975483221409286E-9</v>
      </c>
      <c r="S112" s="89">
        <f t="shared" si="15"/>
        <v>8.1283051616409904E-2</v>
      </c>
      <c r="T112" s="136">
        <f t="shared" si="15"/>
        <v>1.2302687708123759E-13</v>
      </c>
      <c r="U112" s="137">
        <f t="shared" si="16"/>
        <v>0.99995102451677853</v>
      </c>
      <c r="V112" s="88">
        <f t="shared" si="12"/>
        <v>7.2200212703029791</v>
      </c>
      <c r="W112" s="86">
        <f t="shared" si="17"/>
        <v>8.9099787296970234</v>
      </c>
      <c r="X112" s="90">
        <f t="shared" si="13"/>
        <v>0.98995102451677852</v>
      </c>
    </row>
    <row r="113" spans="13:24" x14ac:dyDescent="0.25">
      <c r="M113" s="91">
        <v>1.1000000000000001</v>
      </c>
      <c r="N113" s="89">
        <f t="shared" si="9"/>
        <v>12.9</v>
      </c>
      <c r="O113" s="89">
        <f t="shared" si="10"/>
        <v>4.0000217657395654</v>
      </c>
      <c r="P113" s="97">
        <f t="shared" si="11"/>
        <v>8.300021765739567</v>
      </c>
      <c r="Q113" s="135">
        <f t="shared" si="14"/>
        <v>9.9994988378839688E-5</v>
      </c>
      <c r="R113" s="89">
        <f t="shared" si="14"/>
        <v>5.0116211602181742E-9</v>
      </c>
      <c r="S113" s="89">
        <f t="shared" si="15"/>
        <v>7.9432823472428096E-2</v>
      </c>
      <c r="T113" s="136">
        <f t="shared" si="15"/>
        <v>1.2589254117941612E-13</v>
      </c>
      <c r="U113" s="137">
        <f t="shared" si="16"/>
        <v>0.99994988378839778</v>
      </c>
      <c r="V113" s="88">
        <f t="shared" si="12"/>
        <v>7.2000217657395673</v>
      </c>
      <c r="W113" s="86">
        <f t="shared" si="17"/>
        <v>8.8999782342604341</v>
      </c>
      <c r="X113" s="90">
        <f t="shared" si="13"/>
        <v>0.98994988378839777</v>
      </c>
    </row>
    <row r="114" spans="13:24" x14ac:dyDescent="0.25">
      <c r="M114" s="91">
        <v>1.1100000000000001</v>
      </c>
      <c r="N114" s="89">
        <f t="shared" si="9"/>
        <v>12.89</v>
      </c>
      <c r="O114" s="89">
        <f t="shared" si="10"/>
        <v>4.0000222727157686</v>
      </c>
      <c r="P114" s="97">
        <f t="shared" si="11"/>
        <v>8.2900222727157704</v>
      </c>
      <c r="Q114" s="135">
        <f t="shared" si="14"/>
        <v>9.9994871649173431E-5</v>
      </c>
      <c r="R114" s="89">
        <f t="shared" si="14"/>
        <v>5.1283508266033616E-9</v>
      </c>
      <c r="S114" s="89">
        <f t="shared" si="15"/>
        <v>7.7624711662869134E-2</v>
      </c>
      <c r="T114" s="136">
        <f t="shared" si="15"/>
        <v>1.288249551693128E-13</v>
      </c>
      <c r="U114" s="137">
        <f t="shared" si="16"/>
        <v>0.999948716491734</v>
      </c>
      <c r="V114" s="88">
        <f t="shared" si="12"/>
        <v>7.1800222727157701</v>
      </c>
      <c r="W114" s="86">
        <f t="shared" si="17"/>
        <v>8.8899777272842329</v>
      </c>
      <c r="X114" s="90">
        <f t="shared" si="13"/>
        <v>0.98994871649173399</v>
      </c>
    </row>
    <row r="115" spans="13:24" x14ac:dyDescent="0.25">
      <c r="M115" s="91">
        <v>1.1200000000000001</v>
      </c>
      <c r="N115" s="89">
        <f t="shared" si="9"/>
        <v>12.879999999999999</v>
      </c>
      <c r="O115" s="89">
        <f t="shared" si="10"/>
        <v>4.0000227915003528</v>
      </c>
      <c r="P115" s="97">
        <f t="shared" si="11"/>
        <v>8.2800227915003539</v>
      </c>
      <c r="Q115" s="135">
        <f t="shared" si="14"/>
        <v>9.9994752200805825E-5</v>
      </c>
      <c r="R115" s="89">
        <f t="shared" si="14"/>
        <v>5.247799194081008E-9</v>
      </c>
      <c r="S115" s="89">
        <f t="shared" si="15"/>
        <v>7.5857757502918358E-2</v>
      </c>
      <c r="T115" s="136">
        <f t="shared" si="15"/>
        <v>1.3182567385564054E-13</v>
      </c>
      <c r="U115" s="137">
        <f t="shared" si="16"/>
        <v>0.99994752200805914</v>
      </c>
      <c r="V115" s="88">
        <f t="shared" si="12"/>
        <v>7.1600227915003538</v>
      </c>
      <c r="W115" s="86">
        <f t="shared" si="17"/>
        <v>8.8799772084996462</v>
      </c>
      <c r="X115" s="90">
        <f t="shared" si="13"/>
        <v>0.98994752200805913</v>
      </c>
    </row>
    <row r="116" spans="13:24" x14ac:dyDescent="0.25">
      <c r="M116" s="91">
        <v>1.1299999999999999</v>
      </c>
      <c r="N116" s="89">
        <f t="shared" si="9"/>
        <v>12.870000000000001</v>
      </c>
      <c r="O116" s="89">
        <f t="shared" si="10"/>
        <v>4.0000233223683397</v>
      </c>
      <c r="P116" s="97">
        <f t="shared" si="11"/>
        <v>8.2700233223683401</v>
      </c>
      <c r="Q116" s="135">
        <f t="shared" si="14"/>
        <v>9.999462997042399E-5</v>
      </c>
      <c r="R116" s="89">
        <f t="shared" si="14"/>
        <v>5.3700295760395305E-9</v>
      </c>
      <c r="S116" s="89">
        <f t="shared" si="15"/>
        <v>7.4131024130091761E-2</v>
      </c>
      <c r="T116" s="136">
        <f t="shared" si="15"/>
        <v>1.3489628825916469E-13</v>
      </c>
      <c r="U116" s="137">
        <f t="shared" si="16"/>
        <v>0.99994629970423954</v>
      </c>
      <c r="V116" s="88">
        <f t="shared" si="12"/>
        <v>7.1400233223683403</v>
      </c>
      <c r="W116" s="86">
        <f t="shared" si="17"/>
        <v>8.8699766776316622</v>
      </c>
      <c r="X116" s="90">
        <f t="shared" si="13"/>
        <v>0.98994629970423953</v>
      </c>
    </row>
    <row r="117" spans="13:24" x14ac:dyDescent="0.25">
      <c r="M117" s="91">
        <v>1.1399999999999999</v>
      </c>
      <c r="N117" s="89">
        <f t="shared" si="9"/>
        <v>12.86</v>
      </c>
      <c r="O117" s="89">
        <f t="shared" si="10"/>
        <v>4.0000238656011593</v>
      </c>
      <c r="P117" s="97">
        <f t="shared" si="11"/>
        <v>8.2600238656011609</v>
      </c>
      <c r="Q117" s="135">
        <f t="shared" si="14"/>
        <v>9.9994504893239988E-5</v>
      </c>
      <c r="R117" s="89">
        <f t="shared" si="14"/>
        <v>5.4951067599991312E-9</v>
      </c>
      <c r="S117" s="89">
        <f t="shared" si="15"/>
        <v>7.2443596007498987E-2</v>
      </c>
      <c r="T117" s="136">
        <f t="shared" si="15"/>
        <v>1.3803842646028828E-13</v>
      </c>
      <c r="U117" s="137">
        <f t="shared" si="16"/>
        <v>0.99994504893239999</v>
      </c>
      <c r="V117" s="88">
        <f t="shared" si="12"/>
        <v>7.1200238656011612</v>
      </c>
      <c r="W117" s="86">
        <f t="shared" si="17"/>
        <v>8.8599761343988401</v>
      </c>
      <c r="X117" s="90">
        <f t="shared" si="13"/>
        <v>0.98994504893239998</v>
      </c>
    </row>
    <row r="118" spans="13:24" x14ac:dyDescent="0.25">
      <c r="M118" s="91">
        <v>1.1499999999999999</v>
      </c>
      <c r="N118" s="89">
        <f t="shared" si="9"/>
        <v>12.85</v>
      </c>
      <c r="O118" s="89">
        <f t="shared" si="10"/>
        <v>4.0000244214867937</v>
      </c>
      <c r="P118" s="97">
        <f t="shared" si="11"/>
        <v>8.2500244214867937</v>
      </c>
      <c r="Q118" s="135">
        <f t="shared" si="14"/>
        <v>9.9994376902957932E-5</v>
      </c>
      <c r="R118" s="89">
        <f t="shared" si="14"/>
        <v>5.6230970419192474E-9</v>
      </c>
      <c r="S118" s="89">
        <f t="shared" si="15"/>
        <v>7.0794578438413788E-2</v>
      </c>
      <c r="T118" s="136">
        <f t="shared" si="15"/>
        <v>1.4125375446227519E-13</v>
      </c>
      <c r="U118" s="137">
        <f t="shared" si="16"/>
        <v>0.99994376902958071</v>
      </c>
      <c r="V118" s="88">
        <f t="shared" si="12"/>
        <v>7.1000244214867934</v>
      </c>
      <c r="W118" s="86">
        <f t="shared" si="17"/>
        <v>8.8499755785132059</v>
      </c>
      <c r="X118" s="90">
        <f t="shared" si="13"/>
        <v>0.9899437690295807</v>
      </c>
    </row>
    <row r="119" spans="13:24" x14ac:dyDescent="0.25">
      <c r="M119" s="91">
        <v>1.1599999999999999</v>
      </c>
      <c r="N119" s="89">
        <f t="shared" si="9"/>
        <v>12.84</v>
      </c>
      <c r="O119" s="89">
        <f t="shared" si="10"/>
        <v>4.0000249903199308</v>
      </c>
      <c r="P119" s="97">
        <f t="shared" si="11"/>
        <v>8.240024990319931</v>
      </c>
      <c r="Q119" s="135">
        <f t="shared" si="14"/>
        <v>9.9994245931738534E-5</v>
      </c>
      <c r="R119" s="89">
        <f t="shared" si="14"/>
        <v>5.7540682613035861E-9</v>
      </c>
      <c r="S119" s="89">
        <f t="shared" si="15"/>
        <v>6.9183097091893644E-2</v>
      </c>
      <c r="T119" s="136">
        <f t="shared" si="15"/>
        <v>1.4454397707459251E-13</v>
      </c>
      <c r="U119" s="137">
        <f t="shared" si="16"/>
        <v>0.9999424593173869</v>
      </c>
      <c r="V119" s="88">
        <f t="shared" si="12"/>
        <v>7.0800249903199308</v>
      </c>
      <c r="W119" s="86">
        <f t="shared" si="17"/>
        <v>8.8399750096800691</v>
      </c>
      <c r="X119" s="90">
        <f t="shared" si="13"/>
        <v>0.98994245931738689</v>
      </c>
    </row>
    <row r="120" spans="13:24" x14ac:dyDescent="0.25">
      <c r="M120" s="91">
        <v>1.17</v>
      </c>
      <c r="N120" s="89">
        <f t="shared" si="9"/>
        <v>12.83</v>
      </c>
      <c r="O120" s="89">
        <f t="shared" si="10"/>
        <v>4.0000255724021221</v>
      </c>
      <c r="P120" s="97">
        <f t="shared" si="11"/>
        <v>8.2300255724021234</v>
      </c>
      <c r="Q120" s="135">
        <f t="shared" si="14"/>
        <v>9.999411191016285E-5</v>
      </c>
      <c r="R120" s="89">
        <f t="shared" si="14"/>
        <v>5.8880898371215994E-9</v>
      </c>
      <c r="S120" s="89">
        <f t="shared" si="15"/>
        <v>6.7608297539198184E-2</v>
      </c>
      <c r="T120" s="136">
        <f t="shared" si="15"/>
        <v>1.4791083881682047E-13</v>
      </c>
      <c r="U120" s="137">
        <f t="shared" si="16"/>
        <v>0.99994111910162875</v>
      </c>
      <c r="V120" s="88">
        <f t="shared" si="12"/>
        <v>7.0600255724021235</v>
      </c>
      <c r="W120" s="86">
        <f t="shared" si="17"/>
        <v>8.8299744275978789</v>
      </c>
      <c r="X120" s="90">
        <f t="shared" si="13"/>
        <v>0.98994111910162874</v>
      </c>
    </row>
    <row r="121" spans="13:24" x14ac:dyDescent="0.25">
      <c r="M121" s="91">
        <v>1.18</v>
      </c>
      <c r="N121" s="89">
        <f t="shared" si="9"/>
        <v>12.82</v>
      </c>
      <c r="O121" s="89">
        <f t="shared" si="10"/>
        <v>4.0000261680419422</v>
      </c>
      <c r="P121" s="97">
        <f t="shared" si="11"/>
        <v>8.2200261680419437</v>
      </c>
      <c r="Q121" s="135">
        <f t="shared" si="14"/>
        <v>9.9993974767195458E-5</v>
      </c>
      <c r="R121" s="89">
        <f t="shared" si="14"/>
        <v>6.0252328045650708E-9</v>
      </c>
      <c r="S121" s="89">
        <f t="shared" si="15"/>
        <v>6.6069344800759586E-2</v>
      </c>
      <c r="T121" s="136">
        <f t="shared" si="15"/>
        <v>1.5135612484362054E-13</v>
      </c>
      <c r="U121" s="137">
        <f t="shared" si="16"/>
        <v>0.99993974767195437</v>
      </c>
      <c r="V121" s="88">
        <f t="shared" si="12"/>
        <v>7.040026168041944</v>
      </c>
      <c r="W121" s="86">
        <f t="shared" si="17"/>
        <v>8.819973831958059</v>
      </c>
      <c r="X121" s="90">
        <f t="shared" si="13"/>
        <v>0.98993974767195436</v>
      </c>
    </row>
    <row r="122" spans="13:24" x14ac:dyDescent="0.25">
      <c r="M122" s="91">
        <v>1.19</v>
      </c>
      <c r="N122" s="89">
        <f t="shared" si="9"/>
        <v>12.81</v>
      </c>
      <c r="O122" s="89">
        <f t="shared" si="10"/>
        <v>4.000026777555151</v>
      </c>
      <c r="P122" s="97">
        <f t="shared" si="11"/>
        <v>8.2100267775551519</v>
      </c>
      <c r="Q122" s="135">
        <f t="shared" si="14"/>
        <v>9.9993834430147201E-5</v>
      </c>
      <c r="R122" s="89">
        <f t="shared" si="14"/>
        <v>6.1655698526593209E-9</v>
      </c>
      <c r="S122" s="89">
        <f t="shared" si="15"/>
        <v>6.4565422903465536E-2</v>
      </c>
      <c r="T122" s="136">
        <f t="shared" si="15"/>
        <v>1.5488166189124729E-13</v>
      </c>
      <c r="U122" s="137">
        <f t="shared" si="16"/>
        <v>0.99993834430147344</v>
      </c>
      <c r="V122" s="88">
        <f t="shared" si="12"/>
        <v>7.0200267775551524</v>
      </c>
      <c r="W122" s="86">
        <f t="shared" si="17"/>
        <v>8.8099732224448495</v>
      </c>
      <c r="X122" s="90">
        <f t="shared" si="13"/>
        <v>0.98993834430147343</v>
      </c>
    </row>
    <row r="123" spans="13:24" x14ac:dyDescent="0.25">
      <c r="M123" s="91">
        <v>1.2</v>
      </c>
      <c r="N123" s="89">
        <f t="shared" si="9"/>
        <v>12.8</v>
      </c>
      <c r="O123" s="89">
        <f t="shared" si="10"/>
        <v>4.0000274012648598</v>
      </c>
      <c r="P123" s="97">
        <f t="shared" si="11"/>
        <v>8.20002740126486</v>
      </c>
      <c r="Q123" s="135">
        <f t="shared" si="14"/>
        <v>9.9993690824637271E-5</v>
      </c>
      <c r="R123" s="89">
        <f t="shared" si="14"/>
        <v>6.3091753627486558E-9</v>
      </c>
      <c r="S123" s="89">
        <f t="shared" si="15"/>
        <v>6.3095734448019317E-2</v>
      </c>
      <c r="T123" s="136">
        <f t="shared" si="15"/>
        <v>1.5848931924611046E-13</v>
      </c>
      <c r="U123" s="137">
        <f t="shared" si="16"/>
        <v>0.99993690824637249</v>
      </c>
      <c r="V123" s="88">
        <f t="shared" si="12"/>
        <v>7.0000274012648598</v>
      </c>
      <c r="W123" s="86">
        <f t="shared" si="17"/>
        <v>8.7999725987351418</v>
      </c>
      <c r="X123" s="90">
        <f t="shared" si="13"/>
        <v>0.98993690824637248</v>
      </c>
    </row>
    <row r="124" spans="13:24" x14ac:dyDescent="0.25">
      <c r="M124" s="91">
        <v>1.21</v>
      </c>
      <c r="N124" s="89">
        <f t="shared" si="9"/>
        <v>12.79</v>
      </c>
      <c r="O124" s="89">
        <f t="shared" si="10"/>
        <v>4.0000280395017072</v>
      </c>
      <c r="P124" s="97">
        <f t="shared" si="11"/>
        <v>8.1900280395017084</v>
      </c>
      <c r="Q124" s="135">
        <f t="shared" si="14"/>
        <v>9.9993543874552141E-5</v>
      </c>
      <c r="R124" s="89">
        <f t="shared" si="14"/>
        <v>6.4561254478766691E-9</v>
      </c>
      <c r="S124" s="89">
        <f t="shared" si="15"/>
        <v>6.1659500186148221E-2</v>
      </c>
      <c r="T124" s="136">
        <f t="shared" si="15"/>
        <v>1.6218100973589265E-13</v>
      </c>
      <c r="U124" s="137">
        <f t="shared" si="16"/>
        <v>0.99993543874552127</v>
      </c>
      <c r="V124" s="88">
        <f t="shared" si="12"/>
        <v>6.9800280395017085</v>
      </c>
      <c r="W124" s="86">
        <f t="shared" si="17"/>
        <v>8.789971960498292</v>
      </c>
      <c r="X124" s="90">
        <f t="shared" si="13"/>
        <v>0.98993543874552126</v>
      </c>
    </row>
    <row r="125" spans="13:24" x14ac:dyDescent="0.25">
      <c r="M125" s="91">
        <v>1.22</v>
      </c>
      <c r="N125" s="89">
        <f t="shared" si="9"/>
        <v>12.78</v>
      </c>
      <c r="O125" s="89">
        <f t="shared" si="10"/>
        <v>4.0000286926040296</v>
      </c>
      <c r="P125" s="97">
        <f t="shared" si="11"/>
        <v>8.1800286926040311</v>
      </c>
      <c r="Q125" s="135">
        <f t="shared" si="14"/>
        <v>9.9993393502006915E-5</v>
      </c>
      <c r="R125" s="89">
        <f t="shared" si="14"/>
        <v>6.6064979930821004E-9</v>
      </c>
      <c r="S125" s="89">
        <f t="shared" si="15"/>
        <v>6.0255958607435746E-2</v>
      </c>
      <c r="T125" s="136">
        <f t="shared" si="15"/>
        <v>1.6595869074375568E-13</v>
      </c>
      <c r="U125" s="137">
        <f t="shared" si="16"/>
        <v>0.99993393502006922</v>
      </c>
      <c r="V125" s="88">
        <f t="shared" si="12"/>
        <v>6.9600286926040313</v>
      </c>
      <c r="W125" s="86">
        <f t="shared" si="17"/>
        <v>8.7799713073959698</v>
      </c>
      <c r="X125" s="90">
        <f t="shared" si="13"/>
        <v>0.98993393502006921</v>
      </c>
    </row>
    <row r="126" spans="13:24" x14ac:dyDescent="0.25">
      <c r="M126" s="91">
        <v>1.23</v>
      </c>
      <c r="N126" s="89">
        <f t="shared" si="9"/>
        <v>12.77</v>
      </c>
      <c r="O126" s="89">
        <f t="shared" si="10"/>
        <v>4.0000293609180426</v>
      </c>
      <c r="P126" s="97">
        <f t="shared" si="11"/>
        <v>8.1700293609180434</v>
      </c>
      <c r="Q126" s="135">
        <f t="shared" si="14"/>
        <v>9.9993239627303233E-5</v>
      </c>
      <c r="R126" s="89">
        <f t="shared" si="14"/>
        <v>6.7603726966310393E-9</v>
      </c>
      <c r="S126" s="89">
        <f t="shared" si="15"/>
        <v>5.8884365535558883E-2</v>
      </c>
      <c r="T126" s="136">
        <f t="shared" si="15"/>
        <v>1.6982436524617405E-13</v>
      </c>
      <c r="U126" s="137">
        <f t="shared" si="16"/>
        <v>0.99993239627303365</v>
      </c>
      <c r="V126" s="88">
        <f t="shared" si="12"/>
        <v>6.940029360918043</v>
      </c>
      <c r="W126" s="86">
        <f t="shared" si="17"/>
        <v>8.7699706390819578</v>
      </c>
      <c r="X126" s="90">
        <f t="shared" si="13"/>
        <v>0.98993239627303364</v>
      </c>
    </row>
    <row r="127" spans="13:24" x14ac:dyDescent="0.25">
      <c r="M127" s="91">
        <v>1.24</v>
      </c>
      <c r="N127" s="89">
        <f t="shared" si="9"/>
        <v>12.76</v>
      </c>
      <c r="O127" s="89">
        <f t="shared" si="10"/>
        <v>4.0000300447980237</v>
      </c>
      <c r="P127" s="97">
        <f t="shared" si="11"/>
        <v>8.1600300447980239</v>
      </c>
      <c r="Q127" s="135">
        <f t="shared" si="14"/>
        <v>9.9993082168887813E-5</v>
      </c>
      <c r="R127" s="89">
        <f t="shared" si="14"/>
        <v>6.9178311122078568E-9</v>
      </c>
      <c r="S127" s="89">
        <f t="shared" si="15"/>
        <v>5.7543993733715687E-2</v>
      </c>
      <c r="T127" s="136">
        <f t="shared" si="15"/>
        <v>1.7378008287493713E-13</v>
      </c>
      <c r="U127" s="137">
        <f t="shared" si="16"/>
        <v>0.99993082168887792</v>
      </c>
      <c r="V127" s="88">
        <f t="shared" si="12"/>
        <v>6.9200300447980236</v>
      </c>
      <c r="W127" s="86">
        <f t="shared" si="17"/>
        <v>8.7599699552019761</v>
      </c>
      <c r="X127" s="90">
        <f t="shared" si="13"/>
        <v>0.98993082168887792</v>
      </c>
    </row>
    <row r="128" spans="13:24" x14ac:dyDescent="0.25">
      <c r="M128" s="91">
        <v>1.25</v>
      </c>
      <c r="N128" s="89">
        <f t="shared" si="9"/>
        <v>12.75</v>
      </c>
      <c r="O128" s="89">
        <f t="shared" si="10"/>
        <v>4.0000307446065015</v>
      </c>
      <c r="P128" s="97">
        <f t="shared" si="11"/>
        <v>8.1500307446065019</v>
      </c>
      <c r="Q128" s="135">
        <f t="shared" si="14"/>
        <v>9.9992921043307894E-5</v>
      </c>
      <c r="R128" s="89">
        <f t="shared" si="14"/>
        <v>7.0789566920865561E-9</v>
      </c>
      <c r="S128" s="89">
        <f t="shared" si="15"/>
        <v>5.6234132519034884E-2</v>
      </c>
      <c r="T128" s="136">
        <f t="shared" si="15"/>
        <v>1.7782794100389184E-13</v>
      </c>
      <c r="U128" s="137">
        <f t="shared" si="16"/>
        <v>0.99992921043307914</v>
      </c>
      <c r="V128" s="88">
        <f t="shared" si="12"/>
        <v>6.9000307446065019</v>
      </c>
      <c r="W128" s="86">
        <f t="shared" si="17"/>
        <v>8.7499692553934985</v>
      </c>
      <c r="X128" s="90">
        <f t="shared" si="13"/>
        <v>0.98992921043307913</v>
      </c>
    </row>
    <row r="129" spans="13:24" x14ac:dyDescent="0.25">
      <c r="M129" s="91">
        <v>1.26</v>
      </c>
      <c r="N129" s="89">
        <f t="shared" si="9"/>
        <v>12.74</v>
      </c>
      <c r="O129" s="89">
        <f t="shared" si="10"/>
        <v>4.0000314607144452</v>
      </c>
      <c r="P129" s="97">
        <f t="shared" si="11"/>
        <v>8.1400314607144466</v>
      </c>
      <c r="Q129" s="135">
        <f t="shared" si="14"/>
        <v>9.9992756165168744E-5</v>
      </c>
      <c r="R129" s="89">
        <f t="shared" si="14"/>
        <v>7.2438348313058047E-9</v>
      </c>
      <c r="S129" s="89">
        <f t="shared" si="15"/>
        <v>5.4954087385762435E-2</v>
      </c>
      <c r="T129" s="136">
        <f t="shared" si="15"/>
        <v>1.8197008586099787E-13</v>
      </c>
      <c r="U129" s="137">
        <f t="shared" si="16"/>
        <v>0.99992756165168695</v>
      </c>
      <c r="V129" s="88">
        <f t="shared" si="12"/>
        <v>6.8800314607144468</v>
      </c>
      <c r="W129" s="86">
        <f t="shared" si="17"/>
        <v>8.7399685392855559</v>
      </c>
      <c r="X129" s="90">
        <f t="shared" si="13"/>
        <v>0.98992756165168694</v>
      </c>
    </row>
    <row r="130" spans="13:24" x14ac:dyDescent="0.25">
      <c r="M130" s="91">
        <v>1.27</v>
      </c>
      <c r="N130" s="89">
        <f t="shared" si="9"/>
        <v>12.73</v>
      </c>
      <c r="O130" s="89">
        <f t="shared" si="10"/>
        <v>4.0000321935014638</v>
      </c>
      <c r="P130" s="97">
        <f t="shared" si="11"/>
        <v>8.1300321935014654</v>
      </c>
      <c r="Q130" s="135">
        <f t="shared" si="14"/>
        <v>9.9992587447086947E-5</v>
      </c>
      <c r="R130" s="89">
        <f t="shared" si="14"/>
        <v>7.412552912870289E-9</v>
      </c>
      <c r="S130" s="89">
        <f t="shared" si="15"/>
        <v>5.3703179637025256E-2</v>
      </c>
      <c r="T130" s="136">
        <f t="shared" si="15"/>
        <v>1.8620871366628623E-13</v>
      </c>
      <c r="U130" s="137">
        <f t="shared" si="16"/>
        <v>0.99992587447087133</v>
      </c>
      <c r="V130" s="88">
        <f t="shared" si="12"/>
        <v>6.8600321935014659</v>
      </c>
      <c r="W130" s="86">
        <f t="shared" si="17"/>
        <v>8.7299678064985358</v>
      </c>
      <c r="X130" s="90">
        <f t="shared" si="13"/>
        <v>0.98992587447087133</v>
      </c>
    </row>
    <row r="131" spans="13:24" x14ac:dyDescent="0.25">
      <c r="M131" s="91">
        <v>1.28</v>
      </c>
      <c r="N131" s="89">
        <f t="shared" ref="N131:N194" si="18">14-M131</f>
        <v>12.72</v>
      </c>
      <c r="O131" s="89">
        <f t="shared" ref="O131:O194" si="19">-LOG(10^-$B$3/(1+10^(M131-$A$3)))</f>
        <v>4.000032943356004</v>
      </c>
      <c r="P131" s="97">
        <f t="shared" ref="P131:P194" si="20">-LOG(10^-$B$3/(1+10^($A$3-M131)))</f>
        <v>8.120032943356005</v>
      </c>
      <c r="Q131" s="135">
        <f t="shared" si="14"/>
        <v>9.999241479964598E-5</v>
      </c>
      <c r="R131" s="89">
        <f t="shared" si="14"/>
        <v>7.58520035400276E-9</v>
      </c>
      <c r="S131" s="89">
        <f t="shared" si="15"/>
        <v>5.2480746024977244E-2</v>
      </c>
      <c r="T131" s="136">
        <f t="shared" si="15"/>
        <v>1.9054607179632417E-13</v>
      </c>
      <c r="U131" s="137">
        <f t="shared" si="16"/>
        <v>0.99992414799646001</v>
      </c>
      <c r="V131" s="88">
        <f t="shared" ref="V131:V194" si="21">ABS(P131-M131)</f>
        <v>6.8400329433560048</v>
      </c>
      <c r="W131" s="86">
        <f t="shared" si="17"/>
        <v>8.7199670566439966</v>
      </c>
      <c r="X131" s="90">
        <f t="shared" ref="X131:X194" si="22">ABS($J$2-U131)</f>
        <v>0.98992414799646</v>
      </c>
    </row>
    <row r="132" spans="13:24" x14ac:dyDescent="0.25">
      <c r="M132" s="91">
        <v>1.29</v>
      </c>
      <c r="N132" s="89">
        <f t="shared" si="18"/>
        <v>12.71</v>
      </c>
      <c r="O132" s="89">
        <f t="shared" si="19"/>
        <v>4.0000337106755604</v>
      </c>
      <c r="P132" s="97">
        <f t="shared" si="20"/>
        <v>8.1100337106755607</v>
      </c>
      <c r="Q132" s="135">
        <f t="shared" ref="Q132:R195" si="23">10^-O132</f>
        <v>9.9992238131346484E-5</v>
      </c>
      <c r="R132" s="89">
        <f t="shared" si="23"/>
        <v>7.7618686534707247E-9</v>
      </c>
      <c r="S132" s="89">
        <f t="shared" ref="S132:T195" si="24">10^-M132</f>
        <v>5.1286138399136455E-2</v>
      </c>
      <c r="T132" s="136">
        <f t="shared" si="24"/>
        <v>1.9498445997580327E-13</v>
      </c>
      <c r="U132" s="137">
        <f t="shared" ref="U132:U195" si="25">Q132/(Q132+R132)</f>
        <v>0.99992238131346534</v>
      </c>
      <c r="V132" s="88">
        <f t="shared" si="21"/>
        <v>6.8200337106755606</v>
      </c>
      <c r="W132" s="86">
        <f t="shared" ref="W132:W195" si="26">ABS(O132-N132)</f>
        <v>8.7099662893244414</v>
      </c>
      <c r="X132" s="90">
        <f t="shared" si="22"/>
        <v>0.98992238131346533</v>
      </c>
    </row>
    <row r="133" spans="13:24" x14ac:dyDescent="0.25">
      <c r="M133" s="91">
        <v>1.3</v>
      </c>
      <c r="N133" s="89">
        <f t="shared" si="18"/>
        <v>12.7</v>
      </c>
      <c r="O133" s="89">
        <f t="shared" si="19"/>
        <v>4.0000344958668821</v>
      </c>
      <c r="P133" s="97">
        <f t="shared" si="20"/>
        <v>8.1000344958668826</v>
      </c>
      <c r="Q133" s="135">
        <f t="shared" si="23"/>
        <v>9.9992057348559875E-5</v>
      </c>
      <c r="R133" s="89">
        <f t="shared" si="23"/>
        <v>7.9426514400130557E-9</v>
      </c>
      <c r="S133" s="89">
        <f t="shared" si="24"/>
        <v>5.0118723362727206E-2</v>
      </c>
      <c r="T133" s="136">
        <f t="shared" si="24"/>
        <v>1.9952623149688807E-13</v>
      </c>
      <c r="U133" s="137">
        <f t="shared" si="25"/>
        <v>0.99992057348559993</v>
      </c>
      <c r="V133" s="88">
        <f t="shared" si="21"/>
        <v>6.8000344958668828</v>
      </c>
      <c r="W133" s="86">
        <f t="shared" si="26"/>
        <v>8.6999655041331181</v>
      </c>
      <c r="X133" s="90">
        <f t="shared" si="22"/>
        <v>0.98992057348559992</v>
      </c>
    </row>
    <row r="134" spans="13:24" x14ac:dyDescent="0.25">
      <c r="M134" s="91">
        <v>1.31</v>
      </c>
      <c r="N134" s="89">
        <f t="shared" si="18"/>
        <v>12.69</v>
      </c>
      <c r="O134" s="89">
        <f t="shared" si="19"/>
        <v>4.0000352993461892</v>
      </c>
      <c r="P134" s="97">
        <f t="shared" si="20"/>
        <v>8.090035299346189</v>
      </c>
      <c r="Q134" s="135">
        <f t="shared" si="23"/>
        <v>9.9991872355478109E-5</v>
      </c>
      <c r="R134" s="89">
        <f t="shared" si="23"/>
        <v>8.1276445218917841E-9</v>
      </c>
      <c r="S134" s="89">
        <f t="shared" si="24"/>
        <v>4.8977881936844603E-2</v>
      </c>
      <c r="T134" s="136">
        <f t="shared" si="24"/>
        <v>2.0417379446695228E-13</v>
      </c>
      <c r="U134" s="137">
        <f t="shared" si="25"/>
        <v>0.99991872355478106</v>
      </c>
      <c r="V134" s="88">
        <f t="shared" si="21"/>
        <v>6.7800352993461885</v>
      </c>
      <c r="W134" s="86">
        <f t="shared" si="26"/>
        <v>8.6899647006538103</v>
      </c>
      <c r="X134" s="90">
        <f t="shared" si="22"/>
        <v>0.98991872355478105</v>
      </c>
    </row>
    <row r="135" spans="13:24" x14ac:dyDescent="0.25">
      <c r="M135" s="91">
        <v>1.32</v>
      </c>
      <c r="N135" s="89">
        <f t="shared" si="18"/>
        <v>12.68</v>
      </c>
      <c r="O135" s="89">
        <f t="shared" si="19"/>
        <v>4.0000361215393951</v>
      </c>
      <c r="P135" s="97">
        <f t="shared" si="20"/>
        <v>8.0800361215393952</v>
      </c>
      <c r="Q135" s="135">
        <f t="shared" si="23"/>
        <v>9.9991683054062298E-5</v>
      </c>
      <c r="R135" s="89">
        <f t="shared" si="23"/>
        <v>8.3169459375949753E-9</v>
      </c>
      <c r="S135" s="89">
        <f t="shared" si="24"/>
        <v>4.7863009232263824E-2</v>
      </c>
      <c r="T135" s="136">
        <f t="shared" si="24"/>
        <v>2.0892961308540331E-13</v>
      </c>
      <c r="U135" s="137">
        <f t="shared" si="25"/>
        <v>0.99991683054062397</v>
      </c>
      <c r="V135" s="88">
        <f t="shared" si="21"/>
        <v>6.7600361215393949</v>
      </c>
      <c r="W135" s="86">
        <f t="shared" si="26"/>
        <v>8.6799638784606046</v>
      </c>
      <c r="X135" s="90">
        <f t="shared" si="22"/>
        <v>0.98991683054062396</v>
      </c>
    </row>
    <row r="136" spans="13:24" x14ac:dyDescent="0.25">
      <c r="M136" s="91">
        <v>1.33</v>
      </c>
      <c r="N136" s="89">
        <f t="shared" si="18"/>
        <v>12.67</v>
      </c>
      <c r="O136" s="89">
        <f t="shared" si="19"/>
        <v>4.0000369628823291</v>
      </c>
      <c r="P136" s="97">
        <f t="shared" si="20"/>
        <v>8.0700369628823303</v>
      </c>
      <c r="Q136" s="135">
        <f t="shared" si="23"/>
        <v>9.9991489343992355E-5</v>
      </c>
      <c r="R136" s="89">
        <f t="shared" si="23"/>
        <v>8.5106560077179016E-9</v>
      </c>
      <c r="S136" s="89">
        <f t="shared" si="24"/>
        <v>4.6773514128719787E-2</v>
      </c>
      <c r="T136" s="136">
        <f t="shared" si="24"/>
        <v>2.1379620895022253E-13</v>
      </c>
      <c r="U136" s="137">
        <f t="shared" si="25"/>
        <v>0.99991489343992279</v>
      </c>
      <c r="V136" s="88">
        <f t="shared" si="21"/>
        <v>6.7400369628823302</v>
      </c>
      <c r="W136" s="86">
        <f t="shared" si="26"/>
        <v>8.6699630371176717</v>
      </c>
      <c r="X136" s="90">
        <f t="shared" si="22"/>
        <v>0.98991489343992278</v>
      </c>
    </row>
    <row r="137" spans="13:24" x14ac:dyDescent="0.25">
      <c r="M137" s="91">
        <v>1.34</v>
      </c>
      <c r="N137" s="89">
        <f t="shared" si="18"/>
        <v>12.66</v>
      </c>
      <c r="O137" s="89">
        <f t="shared" si="19"/>
        <v>4.0000378238209713</v>
      </c>
      <c r="P137" s="97">
        <f t="shared" si="20"/>
        <v>8.0600378238209718</v>
      </c>
      <c r="Q137" s="135">
        <f t="shared" si="23"/>
        <v>9.9991291122611802E-5</v>
      </c>
      <c r="R137" s="89">
        <f t="shared" si="23"/>
        <v>8.7088773880493522E-9</v>
      </c>
      <c r="S137" s="89">
        <f t="shared" si="24"/>
        <v>4.5708818961487478E-2</v>
      </c>
      <c r="T137" s="136">
        <f t="shared" si="24"/>
        <v>2.1877616239495453E-13</v>
      </c>
      <c r="U137" s="137">
        <f t="shared" si="25"/>
        <v>0.99991291122611947</v>
      </c>
      <c r="V137" s="88">
        <f t="shared" si="21"/>
        <v>6.7200378238209719</v>
      </c>
      <c r="W137" s="86">
        <f t="shared" si="26"/>
        <v>8.6599621761790289</v>
      </c>
      <c r="X137" s="90">
        <f t="shared" si="22"/>
        <v>0.98991291122611946</v>
      </c>
    </row>
    <row r="138" spans="13:24" x14ac:dyDescent="0.25">
      <c r="M138" s="91">
        <v>1.35</v>
      </c>
      <c r="N138" s="89">
        <f t="shared" si="18"/>
        <v>12.65</v>
      </c>
      <c r="O138" s="89">
        <f t="shared" si="19"/>
        <v>4.0000387048116828</v>
      </c>
      <c r="P138" s="97">
        <f t="shared" si="20"/>
        <v>8.0500387048116835</v>
      </c>
      <c r="Q138" s="135">
        <f t="shared" si="23"/>
        <v>9.9991088284876112E-5</v>
      </c>
      <c r="R138" s="89">
        <f t="shared" si="23"/>
        <v>8.9117151238909655E-9</v>
      </c>
      <c r="S138" s="89">
        <f t="shared" si="24"/>
        <v>4.4668359215096293E-2</v>
      </c>
      <c r="T138" s="136">
        <f t="shared" si="24"/>
        <v>2.238721138568332E-13</v>
      </c>
      <c r="U138" s="137">
        <f t="shared" si="25"/>
        <v>0.99991088284876106</v>
      </c>
      <c r="V138" s="88">
        <f t="shared" si="21"/>
        <v>6.7000387048116838</v>
      </c>
      <c r="W138" s="86">
        <f t="shared" si="26"/>
        <v>8.6499612951883176</v>
      </c>
      <c r="X138" s="90">
        <f t="shared" si="22"/>
        <v>0.98991088284876105</v>
      </c>
    </row>
    <row r="139" spans="13:24" x14ac:dyDescent="0.25">
      <c r="M139" s="91">
        <v>1.36</v>
      </c>
      <c r="N139" s="89">
        <f t="shared" si="18"/>
        <v>12.64</v>
      </c>
      <c r="O139" s="89">
        <f t="shared" si="19"/>
        <v>4.0000396063214545</v>
      </c>
      <c r="P139" s="97">
        <f t="shared" si="20"/>
        <v>8.0400396063214554</v>
      </c>
      <c r="Q139" s="135">
        <f t="shared" si="23"/>
        <v>9.9990880723294272E-5</v>
      </c>
      <c r="R139" s="89">
        <f t="shared" si="23"/>
        <v>9.1192767056388052E-9</v>
      </c>
      <c r="S139" s="89">
        <f t="shared" si="24"/>
        <v>4.3651583224016584E-2</v>
      </c>
      <c r="T139" s="136">
        <f t="shared" si="24"/>
        <v>2.2908676527677649E-13</v>
      </c>
      <c r="U139" s="137">
        <f t="shared" si="25"/>
        <v>0.99990880723294362</v>
      </c>
      <c r="V139" s="88">
        <f t="shared" si="21"/>
        <v>6.6800396063214551</v>
      </c>
      <c r="W139" s="86">
        <f t="shared" si="26"/>
        <v>8.6399603936785461</v>
      </c>
      <c r="X139" s="90">
        <f t="shared" si="22"/>
        <v>0.98990880723294361</v>
      </c>
    </row>
    <row r="140" spans="13:24" x14ac:dyDescent="0.25">
      <c r="M140" s="91">
        <v>1.37</v>
      </c>
      <c r="N140" s="89">
        <f t="shared" si="18"/>
        <v>12.629999999999999</v>
      </c>
      <c r="O140" s="89">
        <f t="shared" si="19"/>
        <v>4.0000405288281495</v>
      </c>
      <c r="P140" s="97">
        <f t="shared" si="20"/>
        <v>8.0300405288281489</v>
      </c>
      <c r="Q140" s="135">
        <f t="shared" si="23"/>
        <v>9.9990668327874145E-5</v>
      </c>
      <c r="R140" s="89">
        <f t="shared" si="23"/>
        <v>9.3316721256554122E-9</v>
      </c>
      <c r="S140" s="89">
        <f t="shared" si="24"/>
        <v>4.2657951880159237E-2</v>
      </c>
      <c r="T140" s="136">
        <f t="shared" si="24"/>
        <v>2.3442288153199217E-13</v>
      </c>
      <c r="U140" s="137">
        <f t="shared" si="25"/>
        <v>0.99990668327874344</v>
      </c>
      <c r="V140" s="88">
        <f t="shared" si="21"/>
        <v>6.6600405288281488</v>
      </c>
      <c r="W140" s="86">
        <f t="shared" si="26"/>
        <v>8.6299594711718495</v>
      </c>
      <c r="X140" s="90">
        <f t="shared" si="22"/>
        <v>0.98990668327874343</v>
      </c>
    </row>
    <row r="141" spans="13:24" x14ac:dyDescent="0.25">
      <c r="M141" s="91">
        <v>1.38</v>
      </c>
      <c r="N141" s="89">
        <f t="shared" si="18"/>
        <v>12.620000000000001</v>
      </c>
      <c r="O141" s="89">
        <f t="shared" si="19"/>
        <v>4.0000414728207563</v>
      </c>
      <c r="P141" s="97">
        <f t="shared" si="20"/>
        <v>8.0200414728207576</v>
      </c>
      <c r="Q141" s="135">
        <f t="shared" si="23"/>
        <v>9.9990450986063445E-5</v>
      </c>
      <c r="R141" s="89">
        <f t="shared" si="23"/>
        <v>9.5490139364630126E-9</v>
      </c>
      <c r="S141" s="89">
        <f t="shared" si="24"/>
        <v>4.1686938347033534E-2</v>
      </c>
      <c r="T141" s="136">
        <f t="shared" si="24"/>
        <v>2.3988329190194817E-13</v>
      </c>
      <c r="U141" s="137">
        <f t="shared" si="25"/>
        <v>0.99990450986063539</v>
      </c>
      <c r="V141" s="88">
        <f t="shared" si="21"/>
        <v>6.6400414728207577</v>
      </c>
      <c r="W141" s="86">
        <f t="shared" si="26"/>
        <v>8.6199585271792447</v>
      </c>
      <c r="X141" s="90">
        <f t="shared" si="22"/>
        <v>0.98990450986063538</v>
      </c>
    </row>
    <row r="142" spans="13:24" x14ac:dyDescent="0.25">
      <c r="M142" s="91">
        <v>1.39</v>
      </c>
      <c r="N142" s="89">
        <f t="shared" si="18"/>
        <v>12.61</v>
      </c>
      <c r="O142" s="89">
        <f t="shared" si="19"/>
        <v>4.0000424387996523</v>
      </c>
      <c r="P142" s="97">
        <f t="shared" si="20"/>
        <v>8.0100424387996529</v>
      </c>
      <c r="Q142" s="135">
        <f t="shared" si="23"/>
        <v>9.9990228582689584E-5</v>
      </c>
      <c r="R142" s="89">
        <f t="shared" si="23"/>
        <v>9.7714173102883775E-9</v>
      </c>
      <c r="S142" s="89">
        <f t="shared" si="24"/>
        <v>4.0738027780411273E-2</v>
      </c>
      <c r="T142" s="136">
        <f t="shared" si="24"/>
        <v>2.4547089156850296E-13</v>
      </c>
      <c r="U142" s="137">
        <f t="shared" si="25"/>
        <v>0.99990228582689711</v>
      </c>
      <c r="V142" s="88">
        <f t="shared" si="21"/>
        <v>6.6200424387996533</v>
      </c>
      <c r="W142" s="86">
        <f t="shared" si="26"/>
        <v>8.6099575612003463</v>
      </c>
      <c r="X142" s="90">
        <f t="shared" si="22"/>
        <v>0.9899022858268971</v>
      </c>
    </row>
    <row r="143" spans="13:24" x14ac:dyDescent="0.25">
      <c r="M143" s="91">
        <v>1.4</v>
      </c>
      <c r="N143" s="89">
        <f t="shared" si="18"/>
        <v>12.6</v>
      </c>
      <c r="O143" s="89">
        <f t="shared" si="19"/>
        <v>4.0000434272768626</v>
      </c>
      <c r="P143" s="97">
        <f t="shared" si="20"/>
        <v>8.0000434272768626</v>
      </c>
      <c r="Q143" s="135">
        <f t="shared" si="23"/>
        <v>9.9990000999899921E-5</v>
      </c>
      <c r="R143" s="89">
        <f t="shared" si="23"/>
        <v>9.9990000999899836E-9</v>
      </c>
      <c r="S143" s="89">
        <f t="shared" si="24"/>
        <v>3.9810717055349727E-2</v>
      </c>
      <c r="T143" s="136">
        <f t="shared" si="24"/>
        <v>2.511886431509579E-13</v>
      </c>
      <c r="U143" s="137">
        <f t="shared" si="25"/>
        <v>0.99990000999900008</v>
      </c>
      <c r="V143" s="88">
        <f t="shared" si="21"/>
        <v>6.6000434272768622</v>
      </c>
      <c r="W143" s="86">
        <f t="shared" si="26"/>
        <v>8.5999565727231371</v>
      </c>
      <c r="X143" s="90">
        <f t="shared" si="22"/>
        <v>0.98990000999900007</v>
      </c>
    </row>
    <row r="144" spans="13:24" x14ac:dyDescent="0.25">
      <c r="M144" s="91">
        <v>1.41</v>
      </c>
      <c r="N144" s="89">
        <f t="shared" si="18"/>
        <v>12.59</v>
      </c>
      <c r="O144" s="89">
        <f t="shared" si="19"/>
        <v>4.0000444387763361</v>
      </c>
      <c r="P144" s="97">
        <f t="shared" si="20"/>
        <v>7.9900444387763363</v>
      </c>
      <c r="Q144" s="135">
        <f t="shared" si="23"/>
        <v>9.9989768117098566E-5</v>
      </c>
      <c r="R144" s="89">
        <f t="shared" si="23"/>
        <v>1.0231882901400444E-8</v>
      </c>
      <c r="S144" s="89">
        <f t="shared" si="24"/>
        <v>3.8904514499428049E-2</v>
      </c>
      <c r="T144" s="136">
        <f t="shared" si="24"/>
        <v>2.5703957827688533E-13</v>
      </c>
      <c r="U144" s="137">
        <f t="shared" si="25"/>
        <v>0.99989768117098599</v>
      </c>
      <c r="V144" s="88">
        <f t="shared" si="21"/>
        <v>6.5800444387763362</v>
      </c>
      <c r="W144" s="86">
        <f t="shared" si="26"/>
        <v>8.5899555612236647</v>
      </c>
      <c r="X144" s="90">
        <f t="shared" si="22"/>
        <v>0.98989768117098598</v>
      </c>
    </row>
    <row r="145" spans="13:24" x14ac:dyDescent="0.25">
      <c r="M145" s="91">
        <v>1.42</v>
      </c>
      <c r="N145" s="89">
        <f t="shared" si="18"/>
        <v>12.58</v>
      </c>
      <c r="O145" s="89">
        <f t="shared" si="19"/>
        <v>4.0000454738342199</v>
      </c>
      <c r="P145" s="97">
        <f t="shared" si="20"/>
        <v>7.9800454738342204</v>
      </c>
      <c r="Q145" s="135">
        <f t="shared" si="23"/>
        <v>9.9989529810882945E-5</v>
      </c>
      <c r="R145" s="89">
        <f t="shared" si="23"/>
        <v>1.0470189117116188E-8</v>
      </c>
      <c r="S145" s="89">
        <f t="shared" si="24"/>
        <v>3.801893963205611E-2</v>
      </c>
      <c r="T145" s="136">
        <f t="shared" si="24"/>
        <v>2.6302679918953709E-13</v>
      </c>
      <c r="U145" s="137">
        <f t="shared" si="25"/>
        <v>0.99989529810882882</v>
      </c>
      <c r="V145" s="88">
        <f t="shared" si="21"/>
        <v>6.5600454738342204</v>
      </c>
      <c r="W145" s="86">
        <f t="shared" si="26"/>
        <v>8.5799545261657801</v>
      </c>
      <c r="X145" s="90">
        <f t="shared" si="22"/>
        <v>0.98989529810882881</v>
      </c>
    </row>
    <row r="146" spans="13:24" x14ac:dyDescent="0.25">
      <c r="M146" s="91">
        <v>1.43</v>
      </c>
      <c r="N146" s="89">
        <f t="shared" si="18"/>
        <v>12.57</v>
      </c>
      <c r="O146" s="89">
        <f t="shared" si="19"/>
        <v>4.0000465329991455</v>
      </c>
      <c r="P146" s="97">
        <f t="shared" si="20"/>
        <v>7.970046532999147</v>
      </c>
      <c r="Q146" s="135">
        <f t="shared" si="23"/>
        <v>9.9989285954978332E-5</v>
      </c>
      <c r="R146" s="89">
        <f t="shared" si="23"/>
        <v>1.0714045021768223E-8</v>
      </c>
      <c r="S146" s="89">
        <f t="shared" si="24"/>
        <v>3.7153522909717254E-2</v>
      </c>
      <c r="T146" s="136">
        <f t="shared" si="24"/>
        <v>2.6915348039269041E-13</v>
      </c>
      <c r="U146" s="137">
        <f t="shared" si="25"/>
        <v>0.99989285954978235</v>
      </c>
      <c r="V146" s="88">
        <f t="shared" si="21"/>
        <v>6.5400465329991473</v>
      </c>
      <c r="W146" s="86">
        <f t="shared" si="26"/>
        <v>8.5699534670008539</v>
      </c>
      <c r="X146" s="90">
        <f t="shared" si="22"/>
        <v>0.98989285954978234</v>
      </c>
    </row>
    <row r="147" spans="13:24" x14ac:dyDescent="0.25">
      <c r="M147" s="91">
        <v>1.44</v>
      </c>
      <c r="N147" s="89">
        <f t="shared" si="18"/>
        <v>12.56</v>
      </c>
      <c r="O147" s="89">
        <f t="shared" si="19"/>
        <v>4.0000476168325179</v>
      </c>
      <c r="P147" s="97">
        <f t="shared" si="20"/>
        <v>7.9600476168325187</v>
      </c>
      <c r="Q147" s="135">
        <f t="shared" si="23"/>
        <v>9.9989036420171181E-5</v>
      </c>
      <c r="R147" s="89">
        <f t="shared" si="23"/>
        <v>1.0963579828808401E-8</v>
      </c>
      <c r="S147" s="89">
        <f t="shared" si="24"/>
        <v>3.6307805477010131E-2</v>
      </c>
      <c r="T147" s="136">
        <f t="shared" si="24"/>
        <v>2.7542287033381544E-13</v>
      </c>
      <c r="U147" s="137">
        <f t="shared" si="25"/>
        <v>0.99989036420171185</v>
      </c>
      <c r="V147" s="88">
        <f t="shared" si="21"/>
        <v>6.5200476168325192</v>
      </c>
      <c r="W147" s="86">
        <f t="shared" si="26"/>
        <v>8.5599523831674826</v>
      </c>
      <c r="X147" s="90">
        <f t="shared" si="22"/>
        <v>0.98989036420171184</v>
      </c>
    </row>
    <row r="148" spans="13:24" x14ac:dyDescent="0.25">
      <c r="M148" s="91">
        <v>1.45</v>
      </c>
      <c r="N148" s="89">
        <f t="shared" si="18"/>
        <v>12.55</v>
      </c>
      <c r="O148" s="89">
        <f t="shared" si="19"/>
        <v>4.0000487259088127</v>
      </c>
      <c r="P148" s="97">
        <f t="shared" si="20"/>
        <v>7.9500487259088128</v>
      </c>
      <c r="Q148" s="135">
        <f t="shared" si="23"/>
        <v>9.998878107424103E-5</v>
      </c>
      <c r="R148" s="89">
        <f t="shared" si="23"/>
        <v>1.1218925758845719E-8</v>
      </c>
      <c r="S148" s="89">
        <f t="shared" si="24"/>
        <v>3.548133892335753E-2</v>
      </c>
      <c r="T148" s="136">
        <f t="shared" si="24"/>
        <v>2.8183829312644412E-13</v>
      </c>
      <c r="U148" s="137">
        <f t="shared" si="25"/>
        <v>0.99988781074241162</v>
      </c>
      <c r="V148" s="88">
        <f t="shared" si="21"/>
        <v>6.5000487259088127</v>
      </c>
      <c r="W148" s="86">
        <f t="shared" si="26"/>
        <v>8.5499512740911889</v>
      </c>
      <c r="X148" s="90">
        <f t="shared" si="22"/>
        <v>0.98988781074241161</v>
      </c>
    </row>
    <row r="149" spans="13:24" x14ac:dyDescent="0.25">
      <c r="M149" s="91">
        <v>1.46</v>
      </c>
      <c r="N149" s="89">
        <f t="shared" si="18"/>
        <v>12.54</v>
      </c>
      <c r="O149" s="89">
        <f t="shared" si="19"/>
        <v>4.0000498608158805</v>
      </c>
      <c r="P149" s="97">
        <f t="shared" si="20"/>
        <v>7.9400498608158809</v>
      </c>
      <c r="Q149" s="135">
        <f t="shared" si="23"/>
        <v>9.9988519781890237E-5</v>
      </c>
      <c r="R149" s="89">
        <f t="shared" si="23"/>
        <v>1.1480218109568982E-8</v>
      </c>
      <c r="S149" s="89">
        <f t="shared" si="24"/>
        <v>3.4673685045253158E-2</v>
      </c>
      <c r="T149" s="136">
        <f t="shared" si="24"/>
        <v>2.884031503126603E-13</v>
      </c>
      <c r="U149" s="137">
        <f t="shared" si="25"/>
        <v>0.99988519781890439</v>
      </c>
      <c r="V149" s="88">
        <f t="shared" si="21"/>
        <v>6.480049860815881</v>
      </c>
      <c r="W149" s="86">
        <f t="shared" si="26"/>
        <v>8.5399501391841177</v>
      </c>
      <c r="X149" s="90">
        <f t="shared" si="22"/>
        <v>0.98988519781890438</v>
      </c>
    </row>
    <row r="150" spans="13:24" x14ac:dyDescent="0.25">
      <c r="M150" s="91">
        <v>1.47</v>
      </c>
      <c r="N150" s="89">
        <f t="shared" si="18"/>
        <v>12.53</v>
      </c>
      <c r="O150" s="89">
        <f t="shared" si="19"/>
        <v>4.0000510221552599</v>
      </c>
      <c r="P150" s="97">
        <f t="shared" si="20"/>
        <v>7.9300510221552605</v>
      </c>
      <c r="Q150" s="135">
        <f t="shared" si="23"/>
        <v>9.9988252404672594E-5</v>
      </c>
      <c r="R150" s="89">
        <f t="shared" si="23"/>
        <v>1.1747595327292598E-8</v>
      </c>
      <c r="S150" s="89">
        <f t="shared" si="24"/>
        <v>3.3884415613920249E-2</v>
      </c>
      <c r="T150" s="136">
        <f t="shared" si="24"/>
        <v>2.9512092266663824E-13</v>
      </c>
      <c r="U150" s="137">
        <f t="shared" si="25"/>
        <v>0.99988252404672706</v>
      </c>
      <c r="V150" s="88">
        <f t="shared" si="21"/>
        <v>6.4600510221552607</v>
      </c>
      <c r="W150" s="86">
        <f t="shared" si="26"/>
        <v>8.5299489778447395</v>
      </c>
      <c r="X150" s="90">
        <f t="shared" si="22"/>
        <v>0.98988252404672705</v>
      </c>
    </row>
    <row r="151" spans="13:24" x14ac:dyDescent="0.25">
      <c r="M151" s="91">
        <v>1.48</v>
      </c>
      <c r="N151" s="89">
        <f t="shared" si="18"/>
        <v>12.52</v>
      </c>
      <c r="O151" s="89">
        <f t="shared" si="19"/>
        <v>4.0000522105424929</v>
      </c>
      <c r="P151" s="97">
        <f t="shared" si="20"/>
        <v>7.9200522105424938</v>
      </c>
      <c r="Q151" s="135">
        <f t="shared" si="23"/>
        <v>9.9987978800919849E-5</v>
      </c>
      <c r="R151" s="89">
        <f t="shared" si="23"/>
        <v>1.2021199080162536E-8</v>
      </c>
      <c r="S151" s="89">
        <f t="shared" si="24"/>
        <v>3.3113112148259106E-2</v>
      </c>
      <c r="T151" s="136">
        <f t="shared" si="24"/>
        <v>3.0199517204020122E-13</v>
      </c>
      <c r="U151" s="137">
        <f t="shared" si="25"/>
        <v>0.99987978800919841</v>
      </c>
      <c r="V151" s="88">
        <f t="shared" si="21"/>
        <v>6.4400522105424933</v>
      </c>
      <c r="W151" s="86">
        <f t="shared" si="26"/>
        <v>8.5199477894575075</v>
      </c>
      <c r="X151" s="90">
        <f t="shared" si="22"/>
        <v>0.9898797880091984</v>
      </c>
    </row>
    <row r="152" spans="13:24" x14ac:dyDescent="0.25">
      <c r="M152" s="91">
        <v>1.49</v>
      </c>
      <c r="N152" s="89">
        <f t="shared" si="18"/>
        <v>12.51</v>
      </c>
      <c r="O152" s="89">
        <f t="shared" si="19"/>
        <v>4.0000534266074554</v>
      </c>
      <c r="P152" s="97">
        <f t="shared" si="20"/>
        <v>7.9100534266074556</v>
      </c>
      <c r="Q152" s="135">
        <f t="shared" si="23"/>
        <v>9.9987698825666798E-5</v>
      </c>
      <c r="R152" s="89">
        <f t="shared" si="23"/>
        <v>1.2301174333061148E-8</v>
      </c>
      <c r="S152" s="89">
        <f t="shared" si="24"/>
        <v>3.2359365692962813E-2</v>
      </c>
      <c r="T152" s="136">
        <f t="shared" si="24"/>
        <v>3.0902954325135866E-13</v>
      </c>
      <c r="U152" s="137">
        <f t="shared" si="25"/>
        <v>0.99987698825666937</v>
      </c>
      <c r="V152" s="88">
        <f t="shared" si="21"/>
        <v>6.4200534266074554</v>
      </c>
      <c r="W152" s="86">
        <f t="shared" si="26"/>
        <v>8.5099465733925435</v>
      </c>
      <c r="X152" s="90">
        <f t="shared" si="22"/>
        <v>0.98987698825666937</v>
      </c>
    </row>
    <row r="153" spans="13:24" x14ac:dyDescent="0.25">
      <c r="M153" s="91">
        <v>1.5</v>
      </c>
      <c r="N153" s="89">
        <f t="shared" si="18"/>
        <v>12.5</v>
      </c>
      <c r="O153" s="89">
        <f t="shared" si="19"/>
        <v>4.0000546709946843</v>
      </c>
      <c r="P153" s="97">
        <f t="shared" si="20"/>
        <v>7.9000546709946846</v>
      </c>
      <c r="Q153" s="135">
        <f t="shared" si="23"/>
        <v>9.9987412330575611E-5</v>
      </c>
      <c r="R153" s="89">
        <f t="shared" si="23"/>
        <v>1.2587669424250286E-8</v>
      </c>
      <c r="S153" s="89">
        <f t="shared" si="24"/>
        <v>3.1622776601683784E-2</v>
      </c>
      <c r="T153" s="136">
        <f t="shared" si="24"/>
        <v>3.1622776601683746E-13</v>
      </c>
      <c r="U153" s="137">
        <f t="shared" si="25"/>
        <v>0.99987412330575753</v>
      </c>
      <c r="V153" s="88">
        <f t="shared" si="21"/>
        <v>6.4000546709946846</v>
      </c>
      <c r="W153" s="86">
        <f t="shared" si="26"/>
        <v>8.4999453290053157</v>
      </c>
      <c r="X153" s="90">
        <f t="shared" si="22"/>
        <v>0.98987412330575753</v>
      </c>
    </row>
    <row r="154" spans="13:24" x14ac:dyDescent="0.25">
      <c r="M154" s="91">
        <v>1.51</v>
      </c>
      <c r="N154" s="89">
        <f t="shared" si="18"/>
        <v>12.49</v>
      </c>
      <c r="O154" s="89">
        <f t="shared" si="19"/>
        <v>4.0000559443637238</v>
      </c>
      <c r="P154" s="97">
        <f t="shared" si="20"/>
        <v>7.8900559443637244</v>
      </c>
      <c r="Q154" s="135">
        <f t="shared" si="23"/>
        <v>9.9987119163856181E-5</v>
      </c>
      <c r="R154" s="89">
        <f t="shared" si="23"/>
        <v>1.288083614379252E-8</v>
      </c>
      <c r="S154" s="89">
        <f t="shared" si="24"/>
        <v>3.0902954325135901E-2</v>
      </c>
      <c r="T154" s="136">
        <f t="shared" si="24"/>
        <v>3.2359365692962775E-13</v>
      </c>
      <c r="U154" s="137">
        <f t="shared" si="25"/>
        <v>0.99987119163856208</v>
      </c>
      <c r="V154" s="88">
        <f t="shared" si="21"/>
        <v>6.3800559443637246</v>
      </c>
      <c r="W154" s="86">
        <f t="shared" si="26"/>
        <v>8.4899440556362755</v>
      </c>
      <c r="X154" s="90">
        <f t="shared" si="22"/>
        <v>0.98987119163856208</v>
      </c>
    </row>
    <row r="155" spans="13:24" x14ac:dyDescent="0.25">
      <c r="M155" s="91">
        <v>1.52</v>
      </c>
      <c r="N155" s="89">
        <f t="shared" si="18"/>
        <v>12.48</v>
      </c>
      <c r="O155" s="89">
        <f t="shared" si="19"/>
        <v>4.0000572473894733</v>
      </c>
      <c r="P155" s="97">
        <f t="shared" si="20"/>
        <v>7.880057247389475</v>
      </c>
      <c r="Q155" s="135">
        <f t="shared" si="23"/>
        <v>9.9986819170186139E-5</v>
      </c>
      <c r="R155" s="89">
        <f t="shared" si="23"/>
        <v>1.3180829813791808E-8</v>
      </c>
      <c r="S155" s="89">
        <f t="shared" si="24"/>
        <v>3.0199517204020147E-2</v>
      </c>
      <c r="T155" s="136">
        <f t="shared" si="24"/>
        <v>3.311311214825894E-13</v>
      </c>
      <c r="U155" s="137">
        <f t="shared" si="25"/>
        <v>0.99986819170186203</v>
      </c>
      <c r="V155" s="88">
        <f t="shared" si="21"/>
        <v>6.3600572473894754</v>
      </c>
      <c r="W155" s="86">
        <f t="shared" si="26"/>
        <v>8.4799427526105262</v>
      </c>
      <c r="X155" s="90">
        <f t="shared" si="22"/>
        <v>0.98986819170186202</v>
      </c>
    </row>
    <row r="156" spans="13:24" x14ac:dyDescent="0.25">
      <c r="M156" s="91">
        <v>1.53</v>
      </c>
      <c r="N156" s="89">
        <f t="shared" si="18"/>
        <v>12.47</v>
      </c>
      <c r="O156" s="89">
        <f t="shared" si="19"/>
        <v>4.0000585807625457</v>
      </c>
      <c r="P156" s="97">
        <f t="shared" si="20"/>
        <v>7.8700585807625458</v>
      </c>
      <c r="Q156" s="135">
        <f t="shared" si="23"/>
        <v>9.998651219062928E-5</v>
      </c>
      <c r="R156" s="89">
        <f t="shared" si="23"/>
        <v>1.3487809370495672E-8</v>
      </c>
      <c r="S156" s="89">
        <f t="shared" si="24"/>
        <v>2.9512092266663844E-2</v>
      </c>
      <c r="T156" s="136">
        <f t="shared" si="24"/>
        <v>3.3884415613920079E-13</v>
      </c>
      <c r="U156" s="137">
        <f t="shared" si="25"/>
        <v>0.99986512190629506</v>
      </c>
      <c r="V156" s="88">
        <f t="shared" si="21"/>
        <v>6.3400585807625456</v>
      </c>
      <c r="W156" s="86">
        <f t="shared" si="26"/>
        <v>8.469941419237454</v>
      </c>
      <c r="X156" s="90">
        <f t="shared" si="22"/>
        <v>0.98986512190629505</v>
      </c>
    </row>
    <row r="157" spans="13:24" x14ac:dyDescent="0.25">
      <c r="M157" s="91">
        <v>1.54</v>
      </c>
      <c r="N157" s="89">
        <f t="shared" si="18"/>
        <v>12.46</v>
      </c>
      <c r="O157" s="89">
        <f t="shared" si="19"/>
        <v>4.0000599451896273</v>
      </c>
      <c r="P157" s="97">
        <f t="shared" si="20"/>
        <v>7.8600599451896285</v>
      </c>
      <c r="Q157" s="135">
        <f t="shared" si="23"/>
        <v>9.9986198062551712E-5</v>
      </c>
      <c r="R157" s="89">
        <f t="shared" si="23"/>
        <v>1.3801937448301352E-8</v>
      </c>
      <c r="S157" s="89">
        <f t="shared" si="24"/>
        <v>2.8840315031266047E-2</v>
      </c>
      <c r="T157" s="136">
        <f t="shared" si="24"/>
        <v>3.4673685045252984E-13</v>
      </c>
      <c r="U157" s="137">
        <f t="shared" si="25"/>
        <v>0.9998619806255169</v>
      </c>
      <c r="V157" s="88">
        <f t="shared" si="21"/>
        <v>6.3200599451896284</v>
      </c>
      <c r="W157" s="86">
        <f t="shared" si="26"/>
        <v>8.4599400548103745</v>
      </c>
      <c r="X157" s="90">
        <f t="shared" si="22"/>
        <v>0.98986198062551689</v>
      </c>
    </row>
    <row r="158" spans="13:24" x14ac:dyDescent="0.25">
      <c r="M158" s="91">
        <v>1.55</v>
      </c>
      <c r="N158" s="89">
        <f t="shared" si="18"/>
        <v>12.45</v>
      </c>
      <c r="O158" s="89">
        <f t="shared" si="19"/>
        <v>4.0000613413938622</v>
      </c>
      <c r="P158" s="97">
        <f t="shared" si="20"/>
        <v>7.8500613413938627</v>
      </c>
      <c r="Q158" s="135">
        <f t="shared" si="23"/>
        <v>9.9985876619534164E-5</v>
      </c>
      <c r="R158" s="89">
        <f t="shared" si="23"/>
        <v>1.4123380465711013E-8</v>
      </c>
      <c r="S158" s="89">
        <f t="shared" si="24"/>
        <v>2.8183829312644532E-2</v>
      </c>
      <c r="T158" s="136">
        <f t="shared" si="24"/>
        <v>3.5481338923357479E-13</v>
      </c>
      <c r="U158" s="137">
        <f t="shared" si="25"/>
        <v>0.99985876619534297</v>
      </c>
      <c r="V158" s="88">
        <f t="shared" si="21"/>
        <v>6.3000613413938629</v>
      </c>
      <c r="W158" s="86">
        <f t="shared" si="26"/>
        <v>8.4499386586061362</v>
      </c>
      <c r="X158" s="90">
        <f t="shared" si="22"/>
        <v>0.98985876619534297</v>
      </c>
    </row>
    <row r="159" spans="13:24" x14ac:dyDescent="0.25">
      <c r="M159" s="91">
        <v>1.56</v>
      </c>
      <c r="N159" s="89">
        <f t="shared" si="18"/>
        <v>12.44</v>
      </c>
      <c r="O159" s="89">
        <f t="shared" si="19"/>
        <v>4.0000627701152238</v>
      </c>
      <c r="P159" s="97">
        <f t="shared" si="20"/>
        <v>7.8400627701152255</v>
      </c>
      <c r="Q159" s="135">
        <f t="shared" si="23"/>
        <v>9.9985547691286691E-5</v>
      </c>
      <c r="R159" s="89">
        <f t="shared" si="23"/>
        <v>1.4452308713279859E-8</v>
      </c>
      <c r="S159" s="89">
        <f t="shared" si="24"/>
        <v>2.7542287033381647E-2</v>
      </c>
      <c r="T159" s="136">
        <f t="shared" si="24"/>
        <v>3.6307805477010062E-13</v>
      </c>
      <c r="U159" s="137">
        <f t="shared" si="25"/>
        <v>0.99985547691286725</v>
      </c>
      <c r="V159" s="88">
        <f t="shared" si="21"/>
        <v>6.2800627701152258</v>
      </c>
      <c r="W159" s="86">
        <f t="shared" si="26"/>
        <v>8.4399372298847766</v>
      </c>
      <c r="X159" s="90">
        <f t="shared" si="22"/>
        <v>0.98985547691286724</v>
      </c>
    </row>
    <row r="160" spans="13:24" x14ac:dyDescent="0.25">
      <c r="M160" s="91">
        <v>1.57</v>
      </c>
      <c r="N160" s="89">
        <f t="shared" si="18"/>
        <v>12.43</v>
      </c>
      <c r="O160" s="89">
        <f t="shared" si="19"/>
        <v>4.0000642321109163</v>
      </c>
      <c r="P160" s="97">
        <f t="shared" si="20"/>
        <v>7.8300642321109164</v>
      </c>
      <c r="Q160" s="135">
        <f t="shared" si="23"/>
        <v>9.998521110355632E-5</v>
      </c>
      <c r="R160" s="89">
        <f t="shared" si="23"/>
        <v>1.4788896443603877E-8</v>
      </c>
      <c r="S160" s="89">
        <f t="shared" si="24"/>
        <v>2.6915348039269142E-2</v>
      </c>
      <c r="T160" s="136">
        <f t="shared" si="24"/>
        <v>3.7153522909717175E-13</v>
      </c>
      <c r="U160" s="137">
        <f t="shared" si="25"/>
        <v>0.99985211103556393</v>
      </c>
      <c r="V160" s="88">
        <f t="shared" si="21"/>
        <v>6.2600642321109161</v>
      </c>
      <c r="W160" s="86">
        <f t="shared" si="26"/>
        <v>8.4299357678890843</v>
      </c>
      <c r="X160" s="90">
        <f t="shared" si="22"/>
        <v>0.98985211103556392</v>
      </c>
    </row>
    <row r="161" spans="13:24" x14ac:dyDescent="0.25">
      <c r="M161" s="91">
        <v>1.58</v>
      </c>
      <c r="N161" s="89">
        <f t="shared" si="18"/>
        <v>12.42</v>
      </c>
      <c r="O161" s="89">
        <f t="shared" si="19"/>
        <v>4.0000657281557679</v>
      </c>
      <c r="P161" s="97">
        <f t="shared" si="20"/>
        <v>7.8200657281557682</v>
      </c>
      <c r="Q161" s="135">
        <f t="shared" si="23"/>
        <v>9.9984866678036544E-5</v>
      </c>
      <c r="R161" s="89">
        <f t="shared" si="23"/>
        <v>1.5133321963393642E-8</v>
      </c>
      <c r="S161" s="89">
        <f t="shared" si="24"/>
        <v>2.6302679918953804E-2</v>
      </c>
      <c r="T161" s="136">
        <f t="shared" si="24"/>
        <v>3.8018939632056036E-13</v>
      </c>
      <c r="U161" s="137">
        <f t="shared" si="25"/>
        <v>0.9998486667803661</v>
      </c>
      <c r="V161" s="88">
        <f t="shared" si="21"/>
        <v>6.2400657281557681</v>
      </c>
      <c r="W161" s="86">
        <f t="shared" si="26"/>
        <v>8.419934271844232</v>
      </c>
      <c r="X161" s="90">
        <f t="shared" si="22"/>
        <v>0.98984866678036609</v>
      </c>
    </row>
    <row r="162" spans="13:24" x14ac:dyDescent="0.25">
      <c r="M162" s="91">
        <v>1.59</v>
      </c>
      <c r="N162" s="89">
        <f t="shared" si="18"/>
        <v>12.41</v>
      </c>
      <c r="O162" s="89">
        <f t="shared" si="19"/>
        <v>4.0000672590426456</v>
      </c>
      <c r="P162" s="97">
        <f t="shared" si="20"/>
        <v>7.810067259042647</v>
      </c>
      <c r="Q162" s="135">
        <f t="shared" si="23"/>
        <v>9.9984514232272266E-5</v>
      </c>
      <c r="R162" s="89">
        <f t="shared" si="23"/>
        <v>1.548576772768344E-8</v>
      </c>
      <c r="S162" s="89">
        <f t="shared" si="24"/>
        <v>2.5703957827688629E-2</v>
      </c>
      <c r="T162" s="136">
        <f t="shared" si="24"/>
        <v>3.8904514499427974E-13</v>
      </c>
      <c r="U162" s="137">
        <f t="shared" si="25"/>
        <v>0.99984514232272315</v>
      </c>
      <c r="V162" s="88">
        <f t="shared" si="21"/>
        <v>6.2200672590426471</v>
      </c>
      <c r="W162" s="86">
        <f t="shared" si="26"/>
        <v>8.4099327409573554</v>
      </c>
      <c r="X162" s="90">
        <f t="shared" si="22"/>
        <v>0.98984514232272314</v>
      </c>
    </row>
    <row r="163" spans="13:24" x14ac:dyDescent="0.25">
      <c r="M163" s="91">
        <v>1.6</v>
      </c>
      <c r="N163" s="89">
        <f t="shared" si="18"/>
        <v>12.4</v>
      </c>
      <c r="O163" s="89">
        <f t="shared" si="19"/>
        <v>4.0000688255828738</v>
      </c>
      <c r="P163" s="97">
        <f t="shared" si="20"/>
        <v>7.8000688255828736</v>
      </c>
      <c r="Q163" s="135">
        <f t="shared" si="23"/>
        <v>9.9984153579563614E-5</v>
      </c>
      <c r="R163" s="89">
        <f t="shared" si="23"/>
        <v>1.5846420436223668E-8</v>
      </c>
      <c r="S163" s="89">
        <f t="shared" si="24"/>
        <v>2.511886431509578E-2</v>
      </c>
      <c r="T163" s="136">
        <f t="shared" si="24"/>
        <v>3.9810717055349631E-13</v>
      </c>
      <c r="U163" s="137">
        <f t="shared" si="25"/>
        <v>0.99984153579563773</v>
      </c>
      <c r="V163" s="88">
        <f t="shared" si="21"/>
        <v>6.2000688255828731</v>
      </c>
      <c r="W163" s="86">
        <f t="shared" si="26"/>
        <v>8.3999311744171266</v>
      </c>
      <c r="X163" s="90">
        <f t="shared" si="22"/>
        <v>0.98984153579563772</v>
      </c>
    </row>
    <row r="164" spans="13:24" x14ac:dyDescent="0.25">
      <c r="M164" s="91">
        <v>1.61</v>
      </c>
      <c r="N164" s="89">
        <f t="shared" si="18"/>
        <v>12.39</v>
      </c>
      <c r="O164" s="89">
        <f t="shared" si="19"/>
        <v>4.0000704286066604</v>
      </c>
      <c r="P164" s="97">
        <f t="shared" si="20"/>
        <v>7.7900704286066613</v>
      </c>
      <c r="Q164" s="135">
        <f t="shared" si="23"/>
        <v>9.9983784528867958E-5</v>
      </c>
      <c r="R164" s="89">
        <f t="shared" si="23"/>
        <v>1.6215471132107713E-8</v>
      </c>
      <c r="S164" s="89">
        <f t="shared" si="24"/>
        <v>2.4547089156850287E-2</v>
      </c>
      <c r="T164" s="136">
        <f t="shared" si="24"/>
        <v>4.0738027780411177E-13</v>
      </c>
      <c r="U164" s="137">
        <f t="shared" si="25"/>
        <v>0.99983784528867903</v>
      </c>
      <c r="V164" s="88">
        <f t="shared" si="21"/>
        <v>6.180070428606661</v>
      </c>
      <c r="W164" s="86">
        <f t="shared" si="26"/>
        <v>8.3899295713933402</v>
      </c>
      <c r="X164" s="90">
        <f t="shared" si="22"/>
        <v>0.98983784528867902</v>
      </c>
    </row>
    <row r="165" spans="13:24" x14ac:dyDescent="0.25">
      <c r="M165" s="91">
        <v>1.62</v>
      </c>
      <c r="N165" s="89">
        <f t="shared" si="18"/>
        <v>12.379999999999999</v>
      </c>
      <c r="O165" s="89">
        <f t="shared" si="19"/>
        <v>4.0000720689635436</v>
      </c>
      <c r="P165" s="97">
        <f t="shared" si="20"/>
        <v>7.7800720689635448</v>
      </c>
      <c r="Q165" s="135">
        <f t="shared" si="23"/>
        <v>9.9983406884697248E-5</v>
      </c>
      <c r="R165" s="89">
        <f t="shared" si="23"/>
        <v>1.6593115302684582E-8</v>
      </c>
      <c r="S165" s="89">
        <f t="shared" si="24"/>
        <v>2.3988329190194894E-2</v>
      </c>
      <c r="T165" s="136">
        <f t="shared" si="24"/>
        <v>4.1686938347033585E-13</v>
      </c>
      <c r="U165" s="137">
        <f t="shared" si="25"/>
        <v>0.99983406884697312</v>
      </c>
      <c r="V165" s="88">
        <f t="shared" si="21"/>
        <v>6.1600720689635446</v>
      </c>
      <c r="W165" s="86">
        <f t="shared" si="26"/>
        <v>8.3799279310364554</v>
      </c>
      <c r="X165" s="90">
        <f t="shared" si="22"/>
        <v>0.98983406884697311</v>
      </c>
    </row>
    <row r="166" spans="13:24" x14ac:dyDescent="0.25">
      <c r="M166" s="91">
        <v>1.63</v>
      </c>
      <c r="N166" s="89">
        <f t="shared" si="18"/>
        <v>12.370000000000001</v>
      </c>
      <c r="O166" s="89">
        <f t="shared" si="19"/>
        <v>4.0000737475228334</v>
      </c>
      <c r="P166" s="97">
        <f t="shared" si="20"/>
        <v>7.7700737475228339</v>
      </c>
      <c r="Q166" s="135">
        <f t="shared" si="23"/>
        <v>9.9983020447017121E-5</v>
      </c>
      <c r="R166" s="89">
        <f t="shared" si="23"/>
        <v>1.697955298280994E-8</v>
      </c>
      <c r="S166" s="89">
        <f t="shared" si="24"/>
        <v>2.3442288153199219E-2</v>
      </c>
      <c r="T166" s="136">
        <f t="shared" si="24"/>
        <v>4.2657951880159005E-13</v>
      </c>
      <c r="U166" s="137">
        <f t="shared" si="25"/>
        <v>0.99983020447017179</v>
      </c>
      <c r="V166" s="88">
        <f t="shared" si="21"/>
        <v>6.140073747522834</v>
      </c>
      <c r="W166" s="86">
        <f t="shared" si="26"/>
        <v>8.3699262524771676</v>
      </c>
      <c r="X166" s="90">
        <f t="shared" si="22"/>
        <v>0.98983020447017178</v>
      </c>
    </row>
    <row r="167" spans="13:24" x14ac:dyDescent="0.25">
      <c r="M167" s="91">
        <v>1.64</v>
      </c>
      <c r="N167" s="89">
        <f t="shared" si="18"/>
        <v>12.36</v>
      </c>
      <c r="O167" s="89">
        <f t="shared" si="19"/>
        <v>4.0000754651740751</v>
      </c>
      <c r="P167" s="97">
        <f t="shared" si="20"/>
        <v>7.7600754651740766</v>
      </c>
      <c r="Q167" s="135">
        <f t="shared" si="23"/>
        <v>9.9982625011139461E-5</v>
      </c>
      <c r="R167" s="89">
        <f t="shared" si="23"/>
        <v>1.7374988860489566E-8</v>
      </c>
      <c r="S167" s="89">
        <f t="shared" si="24"/>
        <v>2.2908676527677724E-2</v>
      </c>
      <c r="T167" s="136">
        <f t="shared" si="24"/>
        <v>4.3651583224016479E-13</v>
      </c>
      <c r="U167" s="137">
        <f t="shared" si="25"/>
        <v>0.99982625011139514</v>
      </c>
      <c r="V167" s="88">
        <f t="shared" si="21"/>
        <v>6.120075465174077</v>
      </c>
      <c r="W167" s="86">
        <f t="shared" si="26"/>
        <v>8.3599245348259252</v>
      </c>
      <c r="X167" s="90">
        <f t="shared" si="22"/>
        <v>0.98982625011139513</v>
      </c>
    </row>
    <row r="168" spans="13:24" x14ac:dyDescent="0.25">
      <c r="M168" s="91">
        <v>1.65</v>
      </c>
      <c r="N168" s="89">
        <f t="shared" si="18"/>
        <v>12.35</v>
      </c>
      <c r="O168" s="89">
        <f t="shared" si="19"/>
        <v>4.000077222827521</v>
      </c>
      <c r="P168" s="97">
        <f t="shared" si="20"/>
        <v>7.7500772228275219</v>
      </c>
      <c r="Q168" s="135">
        <f t="shared" si="23"/>
        <v>9.9982220367615112E-5</v>
      </c>
      <c r="R168" s="89">
        <f t="shared" si="23"/>
        <v>1.7779632384970326E-8</v>
      </c>
      <c r="S168" s="89">
        <f t="shared" si="24"/>
        <v>2.2387211385683389E-2</v>
      </c>
      <c r="T168" s="136">
        <f t="shared" si="24"/>
        <v>4.4668359215096191E-13</v>
      </c>
      <c r="U168" s="137">
        <f t="shared" si="25"/>
        <v>0.99982220367615027</v>
      </c>
      <c r="V168" s="88">
        <f t="shared" si="21"/>
        <v>6.1000772228275224</v>
      </c>
      <c r="W168" s="86">
        <f t="shared" si="26"/>
        <v>8.3499227771724787</v>
      </c>
      <c r="X168" s="90">
        <f t="shared" si="22"/>
        <v>0.98982220367615026</v>
      </c>
    </row>
    <row r="169" spans="13:24" x14ac:dyDescent="0.25">
      <c r="M169" s="91">
        <v>1.66</v>
      </c>
      <c r="N169" s="89">
        <f t="shared" si="18"/>
        <v>12.34</v>
      </c>
      <c r="O169" s="89">
        <f t="shared" si="19"/>
        <v>4.0000790214146118</v>
      </c>
      <c r="P169" s="97">
        <f t="shared" si="20"/>
        <v>7.7400790214146129</v>
      </c>
      <c r="Q169" s="135">
        <f t="shared" si="23"/>
        <v>9.9981806302122675E-5</v>
      </c>
      <c r="R169" s="89">
        <f t="shared" si="23"/>
        <v>1.8193697877334876E-8</v>
      </c>
      <c r="S169" s="89">
        <f t="shared" si="24"/>
        <v>2.1877616239495523E-2</v>
      </c>
      <c r="T169" s="136">
        <f t="shared" si="24"/>
        <v>4.5708818961487372E-13</v>
      </c>
      <c r="U169" s="137">
        <f t="shared" si="25"/>
        <v>0.99981806302122667</v>
      </c>
      <c r="V169" s="88">
        <f t="shared" si="21"/>
        <v>6.0800790214146128</v>
      </c>
      <c r="W169" s="86">
        <f t="shared" si="26"/>
        <v>8.3399209785853881</v>
      </c>
      <c r="X169" s="90">
        <f t="shared" si="22"/>
        <v>0.98981806302122666</v>
      </c>
    </row>
    <row r="170" spans="13:24" x14ac:dyDescent="0.25">
      <c r="M170" s="91">
        <v>1.67</v>
      </c>
      <c r="N170" s="89">
        <f t="shared" si="18"/>
        <v>12.33</v>
      </c>
      <c r="O170" s="89">
        <f t="shared" si="19"/>
        <v>4.0000808618884669</v>
      </c>
      <c r="P170" s="97">
        <f t="shared" si="20"/>
        <v>7.7300808618884673</v>
      </c>
      <c r="Q170" s="135">
        <f t="shared" si="23"/>
        <v>9.9981382595356225E-5</v>
      </c>
      <c r="R170" s="89">
        <f t="shared" si="23"/>
        <v>1.8617404643658153E-8</v>
      </c>
      <c r="S170" s="89">
        <f t="shared" si="24"/>
        <v>2.1379620895022322E-2</v>
      </c>
      <c r="T170" s="136">
        <f t="shared" si="24"/>
        <v>4.6773514128719676E-13</v>
      </c>
      <c r="U170" s="137">
        <f t="shared" si="25"/>
        <v>0.99981382595356338</v>
      </c>
      <c r="V170" s="88">
        <f t="shared" si="21"/>
        <v>6.0600808618884674</v>
      </c>
      <c r="W170" s="86">
        <f t="shared" si="26"/>
        <v>8.3299191381115332</v>
      </c>
      <c r="X170" s="90">
        <f t="shared" si="22"/>
        <v>0.98981382595356338</v>
      </c>
    </row>
    <row r="171" spans="13:24" x14ac:dyDescent="0.25">
      <c r="M171" s="91">
        <v>1.68</v>
      </c>
      <c r="N171" s="89">
        <f t="shared" si="18"/>
        <v>12.32</v>
      </c>
      <c r="O171" s="89">
        <f t="shared" si="19"/>
        <v>4.0000827452243914</v>
      </c>
      <c r="P171" s="97">
        <f t="shared" si="20"/>
        <v>7.7200827452243921</v>
      </c>
      <c r="Q171" s="135">
        <f t="shared" si="23"/>
        <v>9.9980949022909074E-5</v>
      </c>
      <c r="R171" s="89">
        <f t="shared" si="23"/>
        <v>1.9050977090783845E-8</v>
      </c>
      <c r="S171" s="89">
        <f t="shared" si="24"/>
        <v>2.0892961308540386E-2</v>
      </c>
      <c r="T171" s="136">
        <f t="shared" si="24"/>
        <v>4.7863009232263685E-13</v>
      </c>
      <c r="U171" s="137">
        <f t="shared" si="25"/>
        <v>0.99980949022909216</v>
      </c>
      <c r="V171" s="88">
        <f t="shared" si="21"/>
        <v>6.0400827452243924</v>
      </c>
      <c r="W171" s="86">
        <f t="shared" si="26"/>
        <v>8.3199172547756088</v>
      </c>
      <c r="X171" s="90">
        <f t="shared" si="22"/>
        <v>0.98980949022909215</v>
      </c>
    </row>
    <row r="172" spans="13:24" x14ac:dyDescent="0.25">
      <c r="M172" s="91">
        <v>1.69</v>
      </c>
      <c r="N172" s="89">
        <f t="shared" si="18"/>
        <v>12.31</v>
      </c>
      <c r="O172" s="89">
        <f t="shared" si="19"/>
        <v>4.0000846724203898</v>
      </c>
      <c r="P172" s="97">
        <f t="shared" si="20"/>
        <v>7.7100846724203906</v>
      </c>
      <c r="Q172" s="135">
        <f t="shared" si="23"/>
        <v>9.9980505355155131E-5</v>
      </c>
      <c r="R172" s="89">
        <f t="shared" si="23"/>
        <v>1.9494644844782883E-8</v>
      </c>
      <c r="S172" s="89">
        <f t="shared" si="24"/>
        <v>2.0417379446695288E-2</v>
      </c>
      <c r="T172" s="136">
        <f t="shared" si="24"/>
        <v>4.8977881936844462E-13</v>
      </c>
      <c r="U172" s="137">
        <f t="shared" si="25"/>
        <v>0.99980505355155225</v>
      </c>
      <c r="V172" s="88">
        <f t="shared" si="21"/>
        <v>6.0200846724203902</v>
      </c>
      <c r="W172" s="86">
        <f t="shared" si="26"/>
        <v>8.3099153275796098</v>
      </c>
      <c r="X172" s="90">
        <f t="shared" si="22"/>
        <v>0.98980505355155224</v>
      </c>
    </row>
    <row r="173" spans="13:24" x14ac:dyDescent="0.25">
      <c r="M173" s="91">
        <v>1.7</v>
      </c>
      <c r="N173" s="89">
        <f t="shared" si="18"/>
        <v>12.3</v>
      </c>
      <c r="O173" s="89">
        <f t="shared" si="19"/>
        <v>4.0000866444976966</v>
      </c>
      <c r="P173" s="97">
        <f t="shared" si="20"/>
        <v>7.7000866444976976</v>
      </c>
      <c r="Q173" s="135">
        <f t="shared" si="23"/>
        <v>9.9980051357127794E-5</v>
      </c>
      <c r="R173" s="89">
        <f t="shared" si="23"/>
        <v>1.9948642872152918E-8</v>
      </c>
      <c r="S173" s="89">
        <f t="shared" si="24"/>
        <v>1.9952623149688792E-2</v>
      </c>
      <c r="T173" s="136">
        <f t="shared" si="24"/>
        <v>5.0118723362727066E-13</v>
      </c>
      <c r="U173" s="137">
        <f t="shared" si="25"/>
        <v>0.99980051357127842</v>
      </c>
      <c r="V173" s="88">
        <f t="shared" si="21"/>
        <v>6.0000866444976975</v>
      </c>
      <c r="W173" s="86">
        <f t="shared" si="26"/>
        <v>8.299913355502305</v>
      </c>
      <c r="X173" s="90">
        <f t="shared" si="22"/>
        <v>0.98980051357127841</v>
      </c>
    </row>
    <row r="174" spans="13:24" x14ac:dyDescent="0.25">
      <c r="M174" s="91">
        <v>1.71</v>
      </c>
      <c r="N174" s="89">
        <f t="shared" si="18"/>
        <v>12.29</v>
      </c>
      <c r="O174" s="89">
        <f t="shared" si="19"/>
        <v>4.0000886625013141</v>
      </c>
      <c r="P174" s="97">
        <f t="shared" si="20"/>
        <v>7.6900886625013154</v>
      </c>
      <c r="Q174" s="135">
        <f t="shared" si="23"/>
        <v>9.997958678839626E-5</v>
      </c>
      <c r="R174" s="89">
        <f t="shared" si="23"/>
        <v>2.0413211603824784E-8</v>
      </c>
      <c r="S174" s="89">
        <f t="shared" si="24"/>
        <v>1.9498445997580452E-2</v>
      </c>
      <c r="T174" s="136">
        <f t="shared" si="24"/>
        <v>5.1286138399136499E-13</v>
      </c>
      <c r="U174" s="137">
        <f t="shared" si="25"/>
        <v>0.9997958678839618</v>
      </c>
      <c r="V174" s="88">
        <f t="shared" si="21"/>
        <v>5.9800886625013154</v>
      </c>
      <c r="W174" s="86">
        <f t="shared" si="26"/>
        <v>8.289911337498685</v>
      </c>
      <c r="X174" s="90">
        <f t="shared" si="22"/>
        <v>0.98979586788396179</v>
      </c>
    </row>
    <row r="175" spans="13:24" x14ac:dyDescent="0.25">
      <c r="M175" s="91">
        <v>1.72</v>
      </c>
      <c r="N175" s="89">
        <f t="shared" si="18"/>
        <v>12.28</v>
      </c>
      <c r="O175" s="89">
        <f t="shared" si="19"/>
        <v>4.0000907275005684</v>
      </c>
      <c r="P175" s="97">
        <f t="shared" si="20"/>
        <v>7.680090727500569</v>
      </c>
      <c r="Q175" s="135">
        <f t="shared" si="23"/>
        <v>9.9979111402937791E-5</v>
      </c>
      <c r="R175" s="89">
        <f t="shared" si="23"/>
        <v>2.0888597062038281E-8</v>
      </c>
      <c r="S175" s="89">
        <f t="shared" si="24"/>
        <v>1.9054607179632463E-2</v>
      </c>
      <c r="T175" s="136">
        <f t="shared" si="24"/>
        <v>5.2480746024977259E-13</v>
      </c>
      <c r="U175" s="137">
        <f t="shared" si="25"/>
        <v>0.99979111402937959</v>
      </c>
      <c r="V175" s="88">
        <f t="shared" si="21"/>
        <v>5.9600907275005692</v>
      </c>
      <c r="W175" s="86">
        <f t="shared" si="26"/>
        <v>8.279909272499431</v>
      </c>
      <c r="X175" s="90">
        <f t="shared" si="22"/>
        <v>0.98979111402937958</v>
      </c>
    </row>
    <row r="176" spans="13:24" x14ac:dyDescent="0.25">
      <c r="M176" s="91">
        <v>1.73</v>
      </c>
      <c r="N176" s="89">
        <f t="shared" si="18"/>
        <v>12.27</v>
      </c>
      <c r="O176" s="89">
        <f t="shared" si="19"/>
        <v>4.0000928405896694</v>
      </c>
      <c r="P176" s="97">
        <f t="shared" si="20"/>
        <v>7.6700928405896702</v>
      </c>
      <c r="Q176" s="135">
        <f t="shared" si="23"/>
        <v>9.9978624949009735E-5</v>
      </c>
      <c r="R176" s="89">
        <f t="shared" si="23"/>
        <v>2.1375050990154441E-8</v>
      </c>
      <c r="S176" s="89">
        <f t="shared" si="24"/>
        <v>1.8620871366628669E-2</v>
      </c>
      <c r="T176" s="136">
        <f t="shared" si="24"/>
        <v>5.3703179637025273E-13</v>
      </c>
      <c r="U176" s="137">
        <f t="shared" si="25"/>
        <v>0.99978624949009853</v>
      </c>
      <c r="V176" s="88">
        <f t="shared" si="21"/>
        <v>5.9400928405896707</v>
      </c>
      <c r="W176" s="86">
        <f t="shared" si="26"/>
        <v>8.2699071594103302</v>
      </c>
      <c r="X176" s="90">
        <f t="shared" si="22"/>
        <v>0.98978624949009852</v>
      </c>
    </row>
    <row r="177" spans="13:24" x14ac:dyDescent="0.25">
      <c r="M177" s="91">
        <v>1.74</v>
      </c>
      <c r="N177" s="89">
        <f t="shared" si="18"/>
        <v>12.26</v>
      </c>
      <c r="O177" s="89">
        <f t="shared" si="19"/>
        <v>4.0000950028882949</v>
      </c>
      <c r="P177" s="97">
        <f t="shared" si="20"/>
        <v>7.6600950028882959</v>
      </c>
      <c r="Q177" s="135">
        <f t="shared" si="23"/>
        <v>9.9978127169014465E-5</v>
      </c>
      <c r="R177" s="89">
        <f t="shared" si="23"/>
        <v>2.1872830985471746E-8</v>
      </c>
      <c r="S177" s="89">
        <f t="shared" si="24"/>
        <v>1.8197008586099829E-2</v>
      </c>
      <c r="T177" s="136">
        <f t="shared" si="24"/>
        <v>5.4954087385762248E-13</v>
      </c>
      <c r="U177" s="137">
        <f t="shared" si="25"/>
        <v>0.9997812716901453</v>
      </c>
      <c r="V177" s="88">
        <f t="shared" si="21"/>
        <v>5.9200950028882957</v>
      </c>
      <c r="W177" s="86">
        <f t="shared" si="26"/>
        <v>8.259904997111704</v>
      </c>
      <c r="X177" s="90">
        <f t="shared" si="22"/>
        <v>0.98978127169014529</v>
      </c>
    </row>
    <row r="178" spans="13:24" x14ac:dyDescent="0.25">
      <c r="M178" s="91">
        <v>1.75</v>
      </c>
      <c r="N178" s="89">
        <f t="shared" si="18"/>
        <v>12.25</v>
      </c>
      <c r="O178" s="89">
        <f t="shared" si="19"/>
        <v>4.0000972155421817</v>
      </c>
      <c r="P178" s="97">
        <f t="shared" si="20"/>
        <v>7.6500972155421829</v>
      </c>
      <c r="Q178" s="135">
        <f t="shared" si="23"/>
        <v>9.9977617799364735E-5</v>
      </c>
      <c r="R178" s="89">
        <f t="shared" si="23"/>
        <v>2.2382200635114356E-8</v>
      </c>
      <c r="S178" s="89">
        <f t="shared" si="24"/>
        <v>1.7782794100389226E-2</v>
      </c>
      <c r="T178" s="136">
        <f t="shared" si="24"/>
        <v>5.6234132519034702E-13</v>
      </c>
      <c r="U178" s="137">
        <f t="shared" si="25"/>
        <v>0.99977617799364893</v>
      </c>
      <c r="V178" s="88">
        <f t="shared" si="21"/>
        <v>5.9000972155421829</v>
      </c>
      <c r="W178" s="86">
        <f t="shared" si="26"/>
        <v>8.2499027844578183</v>
      </c>
      <c r="X178" s="90">
        <f t="shared" si="22"/>
        <v>0.98977617799364892</v>
      </c>
    </row>
    <row r="179" spans="13:24" x14ac:dyDescent="0.25">
      <c r="M179" s="91">
        <v>1.76</v>
      </c>
      <c r="N179" s="89">
        <f t="shared" si="18"/>
        <v>12.24</v>
      </c>
      <c r="O179" s="89">
        <f t="shared" si="19"/>
        <v>4.0000994797237279</v>
      </c>
      <c r="P179" s="97">
        <f t="shared" si="20"/>
        <v>7.6400994797237285</v>
      </c>
      <c r="Q179" s="135">
        <f t="shared" si="23"/>
        <v>9.9977096570344828E-5</v>
      </c>
      <c r="R179" s="89">
        <f t="shared" si="23"/>
        <v>2.2903429655064224E-8</v>
      </c>
      <c r="S179" s="89">
        <f t="shared" si="24"/>
        <v>1.7378008287493755E-2</v>
      </c>
      <c r="T179" s="136">
        <f t="shared" si="24"/>
        <v>5.7543993733715476E-13</v>
      </c>
      <c r="U179" s="137">
        <f t="shared" si="25"/>
        <v>0.99977096570344937</v>
      </c>
      <c r="V179" s="88">
        <f t="shared" si="21"/>
        <v>5.8800994797237287</v>
      </c>
      <c r="W179" s="86">
        <f t="shared" si="26"/>
        <v>8.2399005202762723</v>
      </c>
      <c r="X179" s="90">
        <f t="shared" si="22"/>
        <v>0.98977096570344936</v>
      </c>
    </row>
    <row r="180" spans="13:24" x14ac:dyDescent="0.25">
      <c r="M180" s="91">
        <v>1.77</v>
      </c>
      <c r="N180" s="89">
        <f t="shared" si="18"/>
        <v>12.23</v>
      </c>
      <c r="O180" s="89">
        <f t="shared" si="19"/>
        <v>4.0001017966326176</v>
      </c>
      <c r="P180" s="97">
        <f t="shared" si="20"/>
        <v>7.6301017966326175</v>
      </c>
      <c r="Q180" s="135">
        <f t="shared" si="23"/>
        <v>9.9976563205967479E-5</v>
      </c>
      <c r="R180" s="89">
        <f t="shared" si="23"/>
        <v>2.3436794032408226E-8</v>
      </c>
      <c r="S180" s="89">
        <f t="shared" si="24"/>
        <v>1.6982436524617429E-2</v>
      </c>
      <c r="T180" s="136">
        <f t="shared" si="24"/>
        <v>5.8884365535558666E-13</v>
      </c>
      <c r="U180" s="137">
        <f t="shared" si="25"/>
        <v>0.99976563205967595</v>
      </c>
      <c r="V180" s="88">
        <f t="shared" si="21"/>
        <v>5.8601017966326179</v>
      </c>
      <c r="W180" s="86">
        <f t="shared" si="26"/>
        <v>8.2298982033673838</v>
      </c>
      <c r="X180" s="90">
        <f t="shared" si="22"/>
        <v>0.98976563205967594</v>
      </c>
    </row>
    <row r="181" spans="13:24" x14ac:dyDescent="0.25">
      <c r="M181" s="91">
        <v>1.78</v>
      </c>
      <c r="N181" s="89">
        <f t="shared" si="18"/>
        <v>12.22</v>
      </c>
      <c r="O181" s="89">
        <f t="shared" si="19"/>
        <v>4.0001041674964526</v>
      </c>
      <c r="P181" s="97">
        <f t="shared" si="20"/>
        <v>7.6201041674964527</v>
      </c>
      <c r="Q181" s="135">
        <f t="shared" si="23"/>
        <v>9.9976017423828906E-5</v>
      </c>
      <c r="R181" s="89">
        <f t="shared" si="23"/>
        <v>2.3982576170874714E-8</v>
      </c>
      <c r="S181" s="89">
        <f t="shared" si="24"/>
        <v>1.6595869074375592E-2</v>
      </c>
      <c r="T181" s="136">
        <f t="shared" si="24"/>
        <v>6.025595860743553E-13</v>
      </c>
      <c r="U181" s="137">
        <f t="shared" si="25"/>
        <v>0.99976017423829133</v>
      </c>
      <c r="V181" s="88">
        <f t="shared" si="21"/>
        <v>5.8401041674964524</v>
      </c>
      <c r="W181" s="86">
        <f t="shared" si="26"/>
        <v>8.219895832503548</v>
      </c>
      <c r="X181" s="90">
        <f t="shared" si="22"/>
        <v>0.98976017423829132</v>
      </c>
    </row>
    <row r="182" spans="13:24" x14ac:dyDescent="0.25">
      <c r="M182" s="91">
        <v>1.79</v>
      </c>
      <c r="N182" s="89">
        <f t="shared" si="18"/>
        <v>12.21</v>
      </c>
      <c r="O182" s="89">
        <f t="shared" si="19"/>
        <v>4.0001065935714015</v>
      </c>
      <c r="P182" s="97">
        <f t="shared" si="20"/>
        <v>7.6101065935714018</v>
      </c>
      <c r="Q182" s="135">
        <f t="shared" si="23"/>
        <v>9.9975458934960216E-5</v>
      </c>
      <c r="R182" s="89">
        <f t="shared" si="23"/>
        <v>2.4541065039734877E-8</v>
      </c>
      <c r="S182" s="89">
        <f t="shared" si="24"/>
        <v>1.6218100973589288E-2</v>
      </c>
      <c r="T182" s="136">
        <f t="shared" si="24"/>
        <v>6.1659500186147956E-13</v>
      </c>
      <c r="U182" s="137">
        <f t="shared" si="25"/>
        <v>0.9997545893496026</v>
      </c>
      <c r="V182" s="88">
        <f t="shared" si="21"/>
        <v>5.8201065935714018</v>
      </c>
      <c r="W182" s="86">
        <f t="shared" si="26"/>
        <v>8.2098934064285984</v>
      </c>
      <c r="X182" s="90">
        <f t="shared" si="22"/>
        <v>0.98975458934960259</v>
      </c>
    </row>
    <row r="183" spans="13:24" x14ac:dyDescent="0.25">
      <c r="M183" s="91">
        <v>1.8</v>
      </c>
      <c r="N183" s="89">
        <f t="shared" si="18"/>
        <v>12.2</v>
      </c>
      <c r="O183" s="89">
        <f t="shared" si="19"/>
        <v>4.0001090761428664</v>
      </c>
      <c r="P183" s="97">
        <f t="shared" si="20"/>
        <v>7.6001090761428669</v>
      </c>
      <c r="Q183" s="135">
        <f t="shared" si="23"/>
        <v>9.9974887443673739E-5</v>
      </c>
      <c r="R183" s="89">
        <f t="shared" si="23"/>
        <v>2.5112556326146088E-8</v>
      </c>
      <c r="S183" s="89">
        <f t="shared" si="24"/>
        <v>1.5848931924611124E-2</v>
      </c>
      <c r="T183" s="136">
        <f t="shared" si="24"/>
        <v>6.3095734448019283E-13</v>
      </c>
      <c r="U183" s="137">
        <f t="shared" si="25"/>
        <v>0.99974887443673854</v>
      </c>
      <c r="V183" s="88">
        <f t="shared" si="21"/>
        <v>5.8001090761428671</v>
      </c>
      <c r="W183" s="86">
        <f t="shared" si="26"/>
        <v>8.1998909238571329</v>
      </c>
      <c r="X183" s="90">
        <f t="shared" si="22"/>
        <v>0.98974887443673853</v>
      </c>
    </row>
    <row r="184" spans="13:24" x14ac:dyDescent="0.25">
      <c r="M184" s="91">
        <v>1.81</v>
      </c>
      <c r="N184" s="89">
        <f t="shared" si="18"/>
        <v>12.19</v>
      </c>
      <c r="O184" s="89">
        <f t="shared" si="19"/>
        <v>4.0001116165261585</v>
      </c>
      <c r="P184" s="97">
        <f t="shared" si="20"/>
        <v>7.5901116165261593</v>
      </c>
      <c r="Q184" s="135">
        <f t="shared" si="23"/>
        <v>9.997430264740894E-5</v>
      </c>
      <c r="R184" s="89">
        <f t="shared" si="23"/>
        <v>2.5697352591015725E-8</v>
      </c>
      <c r="S184" s="89">
        <f t="shared" si="24"/>
        <v>1.5488166189124804E-2</v>
      </c>
      <c r="T184" s="136">
        <f t="shared" si="24"/>
        <v>6.4565422903465492E-13</v>
      </c>
      <c r="U184" s="137">
        <f t="shared" si="25"/>
        <v>0.99974302647408986</v>
      </c>
      <c r="V184" s="88">
        <f t="shared" si="21"/>
        <v>5.7801116165261597</v>
      </c>
      <c r="W184" s="86">
        <f t="shared" si="26"/>
        <v>8.189888383473841</v>
      </c>
      <c r="X184" s="90">
        <f t="shared" si="22"/>
        <v>0.98974302647408985</v>
      </c>
    </row>
    <row r="185" spans="13:24" x14ac:dyDescent="0.25">
      <c r="M185" s="91">
        <v>1.82</v>
      </c>
      <c r="N185" s="89">
        <f t="shared" si="18"/>
        <v>12.18</v>
      </c>
      <c r="O185" s="89">
        <f t="shared" si="19"/>
        <v>4.0001142160671961</v>
      </c>
      <c r="P185" s="97">
        <f t="shared" si="20"/>
        <v>7.5801142160671962</v>
      </c>
      <c r="Q185" s="135">
        <f t="shared" si="23"/>
        <v>9.9973704236571388E-5</v>
      </c>
      <c r="R185" s="89">
        <f t="shared" si="23"/>
        <v>2.6295763428466908E-8</v>
      </c>
      <c r="S185" s="89">
        <f t="shared" si="24"/>
        <v>1.5135612484362076E-2</v>
      </c>
      <c r="T185" s="136">
        <f t="shared" si="24"/>
        <v>6.606934480075954E-13</v>
      </c>
      <c r="U185" s="137">
        <f t="shared" si="25"/>
        <v>0.99973704236571537</v>
      </c>
      <c r="V185" s="88">
        <f t="shared" si="21"/>
        <v>5.7601142160671959</v>
      </c>
      <c r="W185" s="86">
        <f t="shared" si="26"/>
        <v>8.1798857839328036</v>
      </c>
      <c r="X185" s="90">
        <f t="shared" si="22"/>
        <v>0.98973704236571536</v>
      </c>
    </row>
    <row r="186" spans="13:24" x14ac:dyDescent="0.25">
      <c r="M186" s="91">
        <v>1.83</v>
      </c>
      <c r="N186" s="89">
        <f t="shared" si="18"/>
        <v>12.17</v>
      </c>
      <c r="O186" s="89">
        <f t="shared" si="19"/>
        <v>4.0001168761432151</v>
      </c>
      <c r="P186" s="97">
        <f t="shared" si="20"/>
        <v>7.5701168761432154</v>
      </c>
      <c r="Q186" s="135">
        <f t="shared" si="23"/>
        <v>9.9973091894370897E-5</v>
      </c>
      <c r="R186" s="89">
        <f t="shared" si="23"/>
        <v>2.6908105628988226E-8</v>
      </c>
      <c r="S186" s="89">
        <f t="shared" si="24"/>
        <v>1.4791083881682071E-2</v>
      </c>
      <c r="T186" s="136">
        <f t="shared" si="24"/>
        <v>6.7608297539198111E-13</v>
      </c>
      <c r="U186" s="137">
        <f t="shared" si="25"/>
        <v>0.99973091894371013</v>
      </c>
      <c r="V186" s="88">
        <f t="shared" si="21"/>
        <v>5.7401168761432153</v>
      </c>
      <c r="W186" s="86">
        <f t="shared" si="26"/>
        <v>8.1698831238567848</v>
      </c>
      <c r="X186" s="90">
        <f t="shared" si="22"/>
        <v>0.98973091894371013</v>
      </c>
    </row>
    <row r="187" spans="13:24" x14ac:dyDescent="0.25">
      <c r="M187" s="91">
        <v>1.84</v>
      </c>
      <c r="N187" s="89">
        <f t="shared" si="18"/>
        <v>12.16</v>
      </c>
      <c r="O187" s="89">
        <f t="shared" si="19"/>
        <v>4.0001195981634972</v>
      </c>
      <c r="P187" s="97">
        <f t="shared" si="20"/>
        <v>7.5601195981634977</v>
      </c>
      <c r="Q187" s="135">
        <f t="shared" si="23"/>
        <v>9.9972465296653526E-5</v>
      </c>
      <c r="R187" s="89">
        <f t="shared" si="23"/>
        <v>2.7534703346352099E-8</v>
      </c>
      <c r="S187" s="89">
        <f t="shared" si="24"/>
        <v>1.4454397707459272E-2</v>
      </c>
      <c r="T187" s="136">
        <f t="shared" si="24"/>
        <v>6.9183097091893335E-13</v>
      </c>
      <c r="U187" s="137">
        <f t="shared" si="25"/>
        <v>0.99972465296653645</v>
      </c>
      <c r="V187" s="88">
        <f t="shared" si="21"/>
        <v>5.7201195981634978</v>
      </c>
      <c r="W187" s="86">
        <f t="shared" si="26"/>
        <v>8.159880401836503</v>
      </c>
      <c r="X187" s="90">
        <f t="shared" si="22"/>
        <v>0.98972465296653644</v>
      </c>
    </row>
    <row r="188" spans="13:24" x14ac:dyDescent="0.25">
      <c r="M188" s="91">
        <v>1.85</v>
      </c>
      <c r="N188" s="89">
        <f t="shared" si="18"/>
        <v>12.15</v>
      </c>
      <c r="O188" s="89">
        <f t="shared" si="19"/>
        <v>4.0001223835701154</v>
      </c>
      <c r="P188" s="97">
        <f t="shared" si="20"/>
        <v>7.5501223835701161</v>
      </c>
      <c r="Q188" s="135">
        <f t="shared" si="23"/>
        <v>9.9971824111731489E-5</v>
      </c>
      <c r="R188" s="89">
        <f t="shared" si="23"/>
        <v>2.8175888268387578E-8</v>
      </c>
      <c r="S188" s="89">
        <f t="shared" si="24"/>
        <v>1.4125375446227528E-2</v>
      </c>
      <c r="T188" s="136">
        <f t="shared" si="24"/>
        <v>7.0794578438413455E-13</v>
      </c>
      <c r="U188" s="137">
        <f t="shared" si="25"/>
        <v>0.99971824111731611</v>
      </c>
      <c r="V188" s="88">
        <f t="shared" si="21"/>
        <v>5.7001223835701165</v>
      </c>
      <c r="W188" s="86">
        <f t="shared" si="26"/>
        <v>8.149877616429885</v>
      </c>
      <c r="X188" s="90">
        <f t="shared" si="22"/>
        <v>0.9897182411173161</v>
      </c>
    </row>
    <row r="189" spans="13:24" x14ac:dyDescent="0.25">
      <c r="M189" s="91">
        <v>1.86</v>
      </c>
      <c r="N189" s="89">
        <f t="shared" si="18"/>
        <v>12.14</v>
      </c>
      <c r="O189" s="89">
        <f t="shared" si="19"/>
        <v>4.0001252338386957</v>
      </c>
      <c r="P189" s="97">
        <f t="shared" si="20"/>
        <v>7.5401252338386966</v>
      </c>
      <c r="Q189" s="135">
        <f t="shared" si="23"/>
        <v>9.9971168000208155E-5</v>
      </c>
      <c r="R189" s="89">
        <f t="shared" si="23"/>
        <v>2.8831999791696178E-8</v>
      </c>
      <c r="S189" s="89">
        <f t="shared" si="24"/>
        <v>1.3803842646028837E-2</v>
      </c>
      <c r="T189" s="136">
        <f t="shared" si="24"/>
        <v>7.2443596007498653E-13</v>
      </c>
      <c r="U189" s="137">
        <f t="shared" si="25"/>
        <v>0.99971168000208299</v>
      </c>
      <c r="V189" s="88">
        <f t="shared" si="21"/>
        <v>5.6801252338386963</v>
      </c>
      <c r="W189" s="86">
        <f t="shared" si="26"/>
        <v>8.1398747661613058</v>
      </c>
      <c r="X189" s="90">
        <f t="shared" si="22"/>
        <v>0.98971168000208298</v>
      </c>
    </row>
    <row r="190" spans="13:24" x14ac:dyDescent="0.25">
      <c r="M190" s="91">
        <v>1.87</v>
      </c>
      <c r="N190" s="89">
        <f t="shared" si="18"/>
        <v>12.129999999999999</v>
      </c>
      <c r="O190" s="89">
        <f t="shared" si="19"/>
        <v>4.0001281504791946</v>
      </c>
      <c r="P190" s="97">
        <f t="shared" si="20"/>
        <v>7.5301281504791948</v>
      </c>
      <c r="Q190" s="135">
        <f t="shared" si="23"/>
        <v>9.9970496614799434E-5</v>
      </c>
      <c r="R190" s="89">
        <f t="shared" si="23"/>
        <v>2.9503385200401619E-8</v>
      </c>
      <c r="S190" s="89">
        <f t="shared" si="24"/>
        <v>1.3489628825916524E-2</v>
      </c>
      <c r="T190" s="136">
        <f t="shared" si="24"/>
        <v>7.4131024130091646E-13</v>
      </c>
      <c r="U190" s="137">
        <f t="shared" si="25"/>
        <v>0.99970496614799587</v>
      </c>
      <c r="V190" s="88">
        <f t="shared" si="21"/>
        <v>5.6601281504791947</v>
      </c>
      <c r="W190" s="86">
        <f t="shared" si="26"/>
        <v>8.1298718495208036</v>
      </c>
      <c r="X190" s="90">
        <f t="shared" si="22"/>
        <v>0.98970496614799586</v>
      </c>
    </row>
    <row r="191" spans="13:24" x14ac:dyDescent="0.25">
      <c r="M191" s="91">
        <v>1.88</v>
      </c>
      <c r="N191" s="89">
        <f t="shared" si="18"/>
        <v>12.120000000000001</v>
      </c>
      <c r="O191" s="89">
        <f t="shared" si="19"/>
        <v>4.0001311350367006</v>
      </c>
      <c r="P191" s="97">
        <f t="shared" si="20"/>
        <v>7.5201311350367019</v>
      </c>
      <c r="Q191" s="135">
        <f t="shared" si="23"/>
        <v>9.9969809600151016E-5</v>
      </c>
      <c r="R191" s="89">
        <f t="shared" si="23"/>
        <v>3.0190399849023692E-8</v>
      </c>
      <c r="S191" s="89">
        <f t="shared" si="24"/>
        <v>1.3182567385564075E-2</v>
      </c>
      <c r="T191" s="136">
        <f t="shared" si="24"/>
        <v>7.5857757502917993E-13</v>
      </c>
      <c r="U191" s="137">
        <f t="shared" si="25"/>
        <v>0.99969809600150972</v>
      </c>
      <c r="V191" s="88">
        <f t="shared" si="21"/>
        <v>5.640131135036702</v>
      </c>
      <c r="W191" s="86">
        <f t="shared" si="26"/>
        <v>8.1198688649633013</v>
      </c>
      <c r="X191" s="90">
        <f t="shared" si="22"/>
        <v>0.98969809600150971</v>
      </c>
    </row>
    <row r="192" spans="13:24" x14ac:dyDescent="0.25">
      <c r="M192" s="91">
        <v>1.89</v>
      </c>
      <c r="N192" s="89">
        <f t="shared" si="18"/>
        <v>12.11</v>
      </c>
      <c r="O192" s="89">
        <f t="shared" si="19"/>
        <v>4.0001341890922495</v>
      </c>
      <c r="P192" s="97">
        <f t="shared" si="20"/>
        <v>7.5101341890922511</v>
      </c>
      <c r="Q192" s="135">
        <f t="shared" si="23"/>
        <v>9.9969106592650387E-5</v>
      </c>
      <c r="R192" s="89">
        <f t="shared" si="23"/>
        <v>3.0893407349573109E-8</v>
      </c>
      <c r="S192" s="89">
        <f t="shared" si="24"/>
        <v>1.2882495516931332E-2</v>
      </c>
      <c r="T192" s="136">
        <f t="shared" si="24"/>
        <v>7.7624711662869047E-13</v>
      </c>
      <c r="U192" s="137">
        <f t="shared" si="25"/>
        <v>0.99969106592650425</v>
      </c>
      <c r="V192" s="88">
        <f t="shared" si="21"/>
        <v>5.6201341890922514</v>
      </c>
      <c r="W192" s="86">
        <f t="shared" si="26"/>
        <v>8.1098658109077491</v>
      </c>
      <c r="X192" s="90">
        <f t="shared" si="22"/>
        <v>0.98969106592650424</v>
      </c>
    </row>
    <row r="193" spans="13:24" x14ac:dyDescent="0.25">
      <c r="M193" s="91">
        <v>1.9</v>
      </c>
      <c r="N193" s="89">
        <f t="shared" si="18"/>
        <v>12.1</v>
      </c>
      <c r="O193" s="89">
        <f t="shared" si="19"/>
        <v>4.0001373142636583</v>
      </c>
      <c r="P193" s="97">
        <f t="shared" si="20"/>
        <v>7.5001373142636591</v>
      </c>
      <c r="Q193" s="135">
        <f t="shared" si="23"/>
        <v>9.9968387220237065E-5</v>
      </c>
      <c r="R193" s="89">
        <f t="shared" si="23"/>
        <v>3.161277976296171E-8</v>
      </c>
      <c r="S193" s="89">
        <f t="shared" si="24"/>
        <v>1.2589254117941664E-2</v>
      </c>
      <c r="T193" s="136">
        <f t="shared" si="24"/>
        <v>7.9432823472428024E-13</v>
      </c>
      <c r="U193" s="137">
        <f t="shared" si="25"/>
        <v>0.99968387220237032</v>
      </c>
      <c r="V193" s="88">
        <f t="shared" si="21"/>
        <v>5.6001373142636588</v>
      </c>
      <c r="W193" s="86">
        <f t="shared" si="26"/>
        <v>8.0998626857363405</v>
      </c>
      <c r="X193" s="90">
        <f t="shared" si="22"/>
        <v>0.98968387220237031</v>
      </c>
    </row>
    <row r="194" spans="13:24" x14ac:dyDescent="0.25">
      <c r="M194" s="91">
        <v>1.91</v>
      </c>
      <c r="N194" s="89">
        <f t="shared" si="18"/>
        <v>12.09</v>
      </c>
      <c r="O194" s="89">
        <f t="shared" si="19"/>
        <v>4.0001405122063804</v>
      </c>
      <c r="P194" s="97">
        <f t="shared" si="20"/>
        <v>7.4901405122063798</v>
      </c>
      <c r="Q194" s="135">
        <f t="shared" si="23"/>
        <v>9.9967651102205002E-5</v>
      </c>
      <c r="R194" s="89">
        <f t="shared" si="23"/>
        <v>3.2348897794827684E-8</v>
      </c>
      <c r="S194" s="89">
        <f t="shared" si="24"/>
        <v>1.2302687708123809E-2</v>
      </c>
      <c r="T194" s="136">
        <f t="shared" si="24"/>
        <v>8.1283051616409777E-13</v>
      </c>
      <c r="U194" s="137">
        <f t="shared" si="25"/>
        <v>0.99967651102205168</v>
      </c>
      <c r="V194" s="88">
        <f t="shared" si="21"/>
        <v>5.5801405122063796</v>
      </c>
      <c r="W194" s="86">
        <f t="shared" si="26"/>
        <v>8.0898594877936194</v>
      </c>
      <c r="X194" s="90">
        <f t="shared" si="22"/>
        <v>0.98967651102205167</v>
      </c>
    </row>
    <row r="195" spans="13:24" x14ac:dyDescent="0.25">
      <c r="M195" s="91">
        <v>1.92</v>
      </c>
      <c r="N195" s="89">
        <f t="shared" ref="N195:N258" si="27">14-M195</f>
        <v>12.08</v>
      </c>
      <c r="O195" s="89">
        <f t="shared" ref="O195:O258" si="28">-LOG(10^-$B$3/(1+10^(M195-$A$3)))</f>
        <v>4.0001437846143792</v>
      </c>
      <c r="P195" s="97">
        <f t="shared" ref="P195:P258" si="29">-LOG(10^-$B$3/(1+10^($A$3-M195)))</f>
        <v>7.4801437846143806</v>
      </c>
      <c r="Q195" s="135">
        <f t="shared" si="23"/>
        <v>9.9966897849004032E-5</v>
      </c>
      <c r="R195" s="89">
        <f t="shared" si="23"/>
        <v>3.3102150995876193E-8</v>
      </c>
      <c r="S195" s="89">
        <f t="shared" si="24"/>
        <v>1.2022644346174125E-2</v>
      </c>
      <c r="T195" s="136">
        <f t="shared" si="24"/>
        <v>8.3176377110266952E-13</v>
      </c>
      <c r="U195" s="137">
        <f t="shared" si="25"/>
        <v>0.99966897849004122</v>
      </c>
      <c r="V195" s="88">
        <f t="shared" ref="V195:V258" si="30">ABS(P195-M195)</f>
        <v>5.5601437846143806</v>
      </c>
      <c r="W195" s="86">
        <f t="shared" si="26"/>
        <v>8.0798562153856217</v>
      </c>
      <c r="X195" s="90">
        <f t="shared" ref="X195:X258" si="31">ABS($J$2-U195)</f>
        <v>0.98966897849004121</v>
      </c>
    </row>
    <row r="196" spans="13:24" x14ac:dyDescent="0.25">
      <c r="M196" s="91">
        <v>1.93</v>
      </c>
      <c r="N196" s="89">
        <f t="shared" si="27"/>
        <v>12.07</v>
      </c>
      <c r="O196" s="89">
        <f t="shared" si="28"/>
        <v>4.0001471332210281</v>
      </c>
      <c r="P196" s="97">
        <f t="shared" si="29"/>
        <v>7.4701471332210287</v>
      </c>
      <c r="Q196" s="135">
        <f t="shared" ref="Q196:R259" si="32">10^-O196</f>
        <v>9.9966127062033053E-5</v>
      </c>
      <c r="R196" s="89">
        <f t="shared" si="32"/>
        <v>3.3872937966838748E-8</v>
      </c>
      <c r="S196" s="89">
        <f t="shared" ref="S196:T259" si="33">10^-M196</f>
        <v>1.1748975549395293E-2</v>
      </c>
      <c r="T196" s="136">
        <f t="shared" si="33"/>
        <v>8.5113803820237492E-13</v>
      </c>
      <c r="U196" s="137">
        <f t="shared" ref="U196:U259" si="34">Q196/(Q196+R196)</f>
        <v>0.99966127062033161</v>
      </c>
      <c r="V196" s="88">
        <f t="shared" si="30"/>
        <v>5.540147133221029</v>
      </c>
      <c r="W196" s="86">
        <f t="shared" ref="W196:W259" si="35">ABS(O196-N196)</f>
        <v>8.0698528667789731</v>
      </c>
      <c r="X196" s="90">
        <f t="shared" si="31"/>
        <v>0.9896612706203316</v>
      </c>
    </row>
    <row r="197" spans="13:24" x14ac:dyDescent="0.25">
      <c r="M197" s="91">
        <v>1.94</v>
      </c>
      <c r="N197" s="89">
        <f t="shared" si="27"/>
        <v>12.06</v>
      </c>
      <c r="O197" s="89">
        <f t="shared" si="28"/>
        <v>4.0001505598000167</v>
      </c>
      <c r="P197" s="97">
        <f t="shared" si="29"/>
        <v>7.4601505598000175</v>
      </c>
      <c r="Q197" s="135">
        <f t="shared" si="32"/>
        <v>9.9965338333431728E-5</v>
      </c>
      <c r="R197" s="89">
        <f t="shared" si="32"/>
        <v>3.4661666568155822E-8</v>
      </c>
      <c r="S197" s="89">
        <f t="shared" si="33"/>
        <v>1.1481536214968826E-2</v>
      </c>
      <c r="T197" s="136">
        <f t="shared" si="33"/>
        <v>8.7096358995607888E-13</v>
      </c>
      <c r="U197" s="137">
        <f t="shared" si="34"/>
        <v>0.99965338333431841</v>
      </c>
      <c r="V197" s="88">
        <f t="shared" si="30"/>
        <v>5.5201505598000171</v>
      </c>
      <c r="W197" s="86">
        <f t="shared" si="35"/>
        <v>8.059849440199983</v>
      </c>
      <c r="X197" s="90">
        <f t="shared" si="31"/>
        <v>0.9896533833343184</v>
      </c>
    </row>
    <row r="198" spans="13:24" x14ac:dyDescent="0.25">
      <c r="M198" s="91">
        <v>1.95</v>
      </c>
      <c r="N198" s="89">
        <f t="shared" si="27"/>
        <v>12.05</v>
      </c>
      <c r="O198" s="89">
        <f t="shared" si="28"/>
        <v>4.0001540661662967</v>
      </c>
      <c r="P198" s="97">
        <f t="shared" si="29"/>
        <v>7.4501540661662968</v>
      </c>
      <c r="Q198" s="135">
        <f t="shared" si="32"/>
        <v>9.9964531245865245E-5</v>
      </c>
      <c r="R198" s="89">
        <f t="shared" si="32"/>
        <v>3.5468754134491077E-8</v>
      </c>
      <c r="S198" s="89">
        <f t="shared" si="33"/>
        <v>1.1220184543019634E-2</v>
      </c>
      <c r="T198" s="136">
        <f t="shared" si="33"/>
        <v>8.9125093813374051E-13</v>
      </c>
      <c r="U198" s="137">
        <f t="shared" si="34"/>
        <v>0.99964531245865507</v>
      </c>
      <c r="V198" s="88">
        <f t="shared" si="30"/>
        <v>5.5001540661662967</v>
      </c>
      <c r="W198" s="86">
        <f t="shared" si="35"/>
        <v>8.0498459338337049</v>
      </c>
      <c r="X198" s="90">
        <f t="shared" si="31"/>
        <v>0.98964531245865506</v>
      </c>
    </row>
    <row r="199" spans="13:24" x14ac:dyDescent="0.25">
      <c r="M199" s="91">
        <v>1.96</v>
      </c>
      <c r="N199" s="89">
        <f t="shared" si="27"/>
        <v>12.04</v>
      </c>
      <c r="O199" s="89">
        <f t="shared" si="28"/>
        <v>4.0001576541770323</v>
      </c>
      <c r="P199" s="97">
        <f t="shared" si="29"/>
        <v>7.4401576541770336</v>
      </c>
      <c r="Q199" s="135">
        <f t="shared" si="32"/>
        <v>9.9963705372305844E-5</v>
      </c>
      <c r="R199" s="89">
        <f t="shared" si="32"/>
        <v>3.629462769418818E-8</v>
      </c>
      <c r="S199" s="89">
        <f t="shared" si="33"/>
        <v>1.0964781961431851E-2</v>
      </c>
      <c r="T199" s="136">
        <f t="shared" si="33"/>
        <v>9.1201083935590769E-13</v>
      </c>
      <c r="U199" s="137">
        <f t="shared" si="34"/>
        <v>0.99963705372305811</v>
      </c>
      <c r="V199" s="88">
        <f t="shared" si="30"/>
        <v>5.4801576541770336</v>
      </c>
      <c r="W199" s="86">
        <f t="shared" si="35"/>
        <v>8.0398423458229669</v>
      </c>
      <c r="X199" s="90">
        <f t="shared" si="31"/>
        <v>0.9896370537230581</v>
      </c>
    </row>
    <row r="200" spans="13:24" x14ac:dyDescent="0.25">
      <c r="M200" s="91">
        <v>1.97</v>
      </c>
      <c r="N200" s="89">
        <f t="shared" si="27"/>
        <v>12.03</v>
      </c>
      <c r="O200" s="89">
        <f t="shared" si="28"/>
        <v>4.0001613257325888</v>
      </c>
      <c r="P200" s="97">
        <f t="shared" si="29"/>
        <v>7.4301613257325894</v>
      </c>
      <c r="Q200" s="135">
        <f t="shared" si="32"/>
        <v>9.996286027580612E-5</v>
      </c>
      <c r="R200" s="89">
        <f t="shared" si="32"/>
        <v>3.7139724193780232E-8</v>
      </c>
      <c r="S200" s="89">
        <f t="shared" si="33"/>
        <v>1.0715193052376056E-2</v>
      </c>
      <c r="T200" s="136">
        <f t="shared" si="33"/>
        <v>9.3325430079698887E-13</v>
      </c>
      <c r="U200" s="137">
        <f t="shared" si="34"/>
        <v>0.9996286027580622</v>
      </c>
      <c r="V200" s="88">
        <f t="shared" si="30"/>
        <v>5.4601613257325896</v>
      </c>
      <c r="W200" s="86">
        <f t="shared" si="35"/>
        <v>8.0298386742674097</v>
      </c>
      <c r="X200" s="90">
        <f t="shared" si="31"/>
        <v>0.98962860275806219</v>
      </c>
    </row>
    <row r="201" spans="13:24" x14ac:dyDescent="0.25">
      <c r="M201" s="91">
        <v>1.98</v>
      </c>
      <c r="N201" s="89">
        <f t="shared" si="27"/>
        <v>12.02</v>
      </c>
      <c r="O201" s="89">
        <f t="shared" si="28"/>
        <v>4.000165082777527</v>
      </c>
      <c r="P201" s="97">
        <f t="shared" si="29"/>
        <v>7.4201650827775287</v>
      </c>
      <c r="Q201" s="135">
        <f t="shared" si="32"/>
        <v>9.9961995509272348E-5</v>
      </c>
      <c r="R201" s="89">
        <f t="shared" si="32"/>
        <v>3.8004490727668791E-8</v>
      </c>
      <c r="S201" s="89">
        <f t="shared" si="33"/>
        <v>1.0471285480508989E-2</v>
      </c>
      <c r="T201" s="136">
        <f t="shared" si="33"/>
        <v>9.5499258602143367E-13</v>
      </c>
      <c r="U201" s="137">
        <f t="shared" si="34"/>
        <v>0.99961995509272328</v>
      </c>
      <c r="V201" s="88">
        <f t="shared" si="30"/>
        <v>5.4401650827775292</v>
      </c>
      <c r="W201" s="86">
        <f t="shared" si="35"/>
        <v>8.0198349172224717</v>
      </c>
      <c r="X201" s="90">
        <f t="shared" si="31"/>
        <v>0.98961995509272327</v>
      </c>
    </row>
    <row r="202" spans="13:24" x14ac:dyDescent="0.25">
      <c r="M202" s="91">
        <v>1.99</v>
      </c>
      <c r="N202" s="89">
        <f t="shared" si="27"/>
        <v>12.01</v>
      </c>
      <c r="O202" s="89">
        <f t="shared" si="28"/>
        <v>4.0001689273016394</v>
      </c>
      <c r="P202" s="97">
        <f t="shared" si="29"/>
        <v>7.4101689273016396</v>
      </c>
      <c r="Q202" s="135">
        <f t="shared" si="32"/>
        <v>9.9961110615226818E-5</v>
      </c>
      <c r="R202" s="89">
        <f t="shared" si="32"/>
        <v>3.8889384773090129E-8</v>
      </c>
      <c r="S202" s="89">
        <f t="shared" si="33"/>
        <v>1.0232929922807535E-2</v>
      </c>
      <c r="T202" s="136">
        <f t="shared" si="33"/>
        <v>9.7723722095580816E-13</v>
      </c>
      <c r="U202" s="137">
        <f t="shared" si="34"/>
        <v>0.99961110615226911</v>
      </c>
      <c r="V202" s="88">
        <f t="shared" si="30"/>
        <v>5.4201689273016393</v>
      </c>
      <c r="W202" s="86">
        <f t="shared" si="35"/>
        <v>8.0098310726983613</v>
      </c>
      <c r="X202" s="90">
        <f t="shared" si="31"/>
        <v>0.9896111061522691</v>
      </c>
    </row>
    <row r="203" spans="13:24" x14ac:dyDescent="0.25">
      <c r="M203" s="91">
        <v>2</v>
      </c>
      <c r="N203" s="89">
        <f t="shared" si="27"/>
        <v>12</v>
      </c>
      <c r="O203" s="89">
        <f t="shared" si="28"/>
        <v>4.0001728613409906</v>
      </c>
      <c r="P203" s="97">
        <f t="shared" si="29"/>
        <v>7.4001728613409909</v>
      </c>
      <c r="Q203" s="135">
        <f t="shared" si="32"/>
        <v>9.9960205125569388E-5</v>
      </c>
      <c r="R203" s="89">
        <f t="shared" si="32"/>
        <v>3.9794874430487568E-8</v>
      </c>
      <c r="S203" s="89">
        <f t="shared" si="33"/>
        <v>0.01</v>
      </c>
      <c r="T203" s="136">
        <f t="shared" si="33"/>
        <v>9.9999999999999998E-13</v>
      </c>
      <c r="U203" s="137">
        <f t="shared" si="34"/>
        <v>0.99960205125569523</v>
      </c>
      <c r="V203" s="88">
        <f t="shared" si="30"/>
        <v>5.4001728613409909</v>
      </c>
      <c r="W203" s="86">
        <f t="shared" si="35"/>
        <v>7.9998271386590094</v>
      </c>
      <c r="X203" s="90">
        <f t="shared" si="31"/>
        <v>0.98960205125569523</v>
      </c>
    </row>
    <row r="204" spans="13:24" x14ac:dyDescent="0.25">
      <c r="M204" s="91">
        <v>2.0099999999999998</v>
      </c>
      <c r="N204" s="89">
        <f t="shared" si="27"/>
        <v>11.99</v>
      </c>
      <c r="O204" s="89">
        <f t="shared" si="28"/>
        <v>4.0001768869789993</v>
      </c>
      <c r="P204" s="97">
        <f t="shared" si="29"/>
        <v>7.3901768869789999</v>
      </c>
      <c r="Q204" s="135">
        <f t="shared" si="32"/>
        <v>9.9959278561330466E-5</v>
      </c>
      <c r="R204" s="89">
        <f t="shared" si="32"/>
        <v>4.0721438669413439E-8</v>
      </c>
      <c r="S204" s="89">
        <f t="shared" si="33"/>
        <v>9.7723722095581049E-3</v>
      </c>
      <c r="T204" s="136">
        <f t="shared" si="33"/>
        <v>1.0232929922807514E-12</v>
      </c>
      <c r="U204" s="137">
        <f t="shared" si="34"/>
        <v>0.99959278561330578</v>
      </c>
      <c r="V204" s="88">
        <f t="shared" si="30"/>
        <v>5.3801768869790001</v>
      </c>
      <c r="W204" s="86">
        <f t="shared" si="35"/>
        <v>7.9898231130210009</v>
      </c>
      <c r="X204" s="90">
        <f t="shared" si="31"/>
        <v>0.98959278561330577</v>
      </c>
    </row>
    <row r="205" spans="13:24" x14ac:dyDescent="0.25">
      <c r="M205" s="91">
        <v>2.02</v>
      </c>
      <c r="N205" s="89">
        <f t="shared" si="27"/>
        <v>11.98</v>
      </c>
      <c r="O205" s="89">
        <f t="shared" si="28"/>
        <v>4.0001810063475336</v>
      </c>
      <c r="P205" s="97">
        <f t="shared" si="29"/>
        <v>7.3801810063475344</v>
      </c>
      <c r="Q205" s="135">
        <f t="shared" si="32"/>
        <v>9.9958330432419905E-5</v>
      </c>
      <c r="R205" s="89">
        <f t="shared" si="32"/>
        <v>4.1669567580086814E-8</v>
      </c>
      <c r="S205" s="89">
        <f t="shared" si="33"/>
        <v>9.5499258602143571E-3</v>
      </c>
      <c r="T205" s="136">
        <f t="shared" si="33"/>
        <v>1.0471285480508967E-12</v>
      </c>
      <c r="U205" s="137">
        <f t="shared" si="34"/>
        <v>0.99958330432419917</v>
      </c>
      <c r="V205" s="88">
        <f t="shared" si="30"/>
        <v>5.3601810063475348</v>
      </c>
      <c r="W205" s="86">
        <f t="shared" si="35"/>
        <v>7.9798189936524668</v>
      </c>
      <c r="X205" s="90">
        <f t="shared" si="31"/>
        <v>0.98958330432419916</v>
      </c>
    </row>
    <row r="206" spans="13:24" x14ac:dyDescent="0.25">
      <c r="M206" s="91">
        <v>2.0299999999999998</v>
      </c>
      <c r="N206" s="89">
        <f t="shared" si="27"/>
        <v>11.97</v>
      </c>
      <c r="O206" s="89">
        <f t="shared" si="28"/>
        <v>4.0001852216280405</v>
      </c>
      <c r="P206" s="97">
        <f t="shared" si="29"/>
        <v>7.3701852216280406</v>
      </c>
      <c r="Q206" s="135">
        <f t="shared" si="32"/>
        <v>9.9957360237369142E-5</v>
      </c>
      <c r="R206" s="89">
        <f t="shared" si="32"/>
        <v>4.2639762630734389E-8</v>
      </c>
      <c r="S206" s="89">
        <f t="shared" si="33"/>
        <v>9.3325430079699099E-3</v>
      </c>
      <c r="T206" s="136">
        <f t="shared" si="33"/>
        <v>1.0715193052376033E-12</v>
      </c>
      <c r="U206" s="137">
        <f t="shared" si="34"/>
        <v>0.99957360237369264</v>
      </c>
      <c r="V206" s="88">
        <f t="shared" si="30"/>
        <v>5.3401852216280403</v>
      </c>
      <c r="W206" s="86">
        <f t="shared" si="35"/>
        <v>7.9698147783719602</v>
      </c>
      <c r="X206" s="90">
        <f t="shared" si="31"/>
        <v>0.98957360237369263</v>
      </c>
    </row>
    <row r="207" spans="13:24" x14ac:dyDescent="0.25">
      <c r="M207" s="91">
        <v>2.04</v>
      </c>
      <c r="N207" s="89">
        <f t="shared" si="27"/>
        <v>11.96</v>
      </c>
      <c r="O207" s="89">
        <f t="shared" si="28"/>
        <v>4.000189535052689</v>
      </c>
      <c r="P207" s="97">
        <f t="shared" si="29"/>
        <v>7.3601895350526894</v>
      </c>
      <c r="Q207" s="135">
        <f t="shared" si="32"/>
        <v>9.9956367463068901E-5</v>
      </c>
      <c r="R207" s="89">
        <f t="shared" si="32"/>
        <v>4.3632536930845377E-8</v>
      </c>
      <c r="S207" s="89">
        <f t="shared" si="33"/>
        <v>9.1201083935590881E-3</v>
      </c>
      <c r="T207" s="136">
        <f t="shared" si="33"/>
        <v>1.0964781961431817E-12</v>
      </c>
      <c r="U207" s="137">
        <f t="shared" si="34"/>
        <v>0.99956367463069151</v>
      </c>
      <c r="V207" s="88">
        <f t="shared" si="30"/>
        <v>5.3201895350526893</v>
      </c>
      <c r="W207" s="86">
        <f t="shared" si="35"/>
        <v>7.9598104649473118</v>
      </c>
      <c r="X207" s="90">
        <f t="shared" si="31"/>
        <v>0.9895636746306915</v>
      </c>
    </row>
    <row r="208" spans="13:24" x14ac:dyDescent="0.25">
      <c r="M208" s="91">
        <v>2.0499999999999998</v>
      </c>
      <c r="N208" s="89">
        <f t="shared" si="27"/>
        <v>11.95</v>
      </c>
      <c r="O208" s="89">
        <f t="shared" si="28"/>
        <v>4.0001939489055554</v>
      </c>
      <c r="P208" s="97">
        <f t="shared" si="29"/>
        <v>7.3501939489055559</v>
      </c>
      <c r="Q208" s="135">
        <f t="shared" si="32"/>
        <v>9.9955351584499403E-5</v>
      </c>
      <c r="R208" s="89">
        <f t="shared" si="32"/>
        <v>4.4648415500476577E-8</v>
      </c>
      <c r="S208" s="89">
        <f t="shared" si="33"/>
        <v>8.9125093813374554E-3</v>
      </c>
      <c r="T208" s="136">
        <f t="shared" si="33"/>
        <v>1.122018454301964E-12</v>
      </c>
      <c r="U208" s="137">
        <f t="shared" si="34"/>
        <v>0.99955351584499519</v>
      </c>
      <c r="V208" s="88">
        <f t="shared" si="30"/>
        <v>5.3001939489055561</v>
      </c>
      <c r="W208" s="86">
        <f t="shared" si="35"/>
        <v>7.9498060510944439</v>
      </c>
      <c r="X208" s="90">
        <f t="shared" si="31"/>
        <v>0.98955351584499518</v>
      </c>
    </row>
    <row r="209" spans="13:24" x14ac:dyDescent="0.25">
      <c r="M209" s="91">
        <v>2.06</v>
      </c>
      <c r="N209" s="89">
        <f t="shared" si="27"/>
        <v>11.94</v>
      </c>
      <c r="O209" s="89">
        <f t="shared" si="28"/>
        <v>4.0001984655238241</v>
      </c>
      <c r="P209" s="97">
        <f t="shared" si="29"/>
        <v>7.3401984655238248</v>
      </c>
      <c r="Q209" s="135">
        <f t="shared" si="32"/>
        <v>9.9954312064454246E-5</v>
      </c>
      <c r="R209" s="89">
        <f t="shared" si="32"/>
        <v>4.5687935545741569E-8</v>
      </c>
      <c r="S209" s="89">
        <f t="shared" si="33"/>
        <v>8.7096358995608011E-3</v>
      </c>
      <c r="T209" s="136">
        <f t="shared" si="33"/>
        <v>1.1481536214968792E-12</v>
      </c>
      <c r="U209" s="137">
        <f t="shared" si="34"/>
        <v>0.99954312064454254</v>
      </c>
      <c r="V209" s="88">
        <f t="shared" si="30"/>
        <v>5.2801984655238243</v>
      </c>
      <c r="W209" s="86">
        <f t="shared" si="35"/>
        <v>7.9398015344761754</v>
      </c>
      <c r="X209" s="90">
        <f t="shared" si="31"/>
        <v>0.98954312064454253</v>
      </c>
    </row>
    <row r="210" spans="13:24" x14ac:dyDescent="0.25">
      <c r="M210" s="91">
        <v>2.0699999999999998</v>
      </c>
      <c r="N210" s="89">
        <f t="shared" si="27"/>
        <v>11.93</v>
      </c>
      <c r="O210" s="89">
        <f t="shared" si="28"/>
        <v>4.0002030872990213</v>
      </c>
      <c r="P210" s="97">
        <f t="shared" si="29"/>
        <v>7.3302030872990223</v>
      </c>
      <c r="Q210" s="135">
        <f t="shared" si="32"/>
        <v>9.9953248353259328E-5</v>
      </c>
      <c r="R210" s="89">
        <f t="shared" si="32"/>
        <v>4.6751646740626075E-8</v>
      </c>
      <c r="S210" s="89">
        <f t="shared" si="33"/>
        <v>8.5113803820237675E-3</v>
      </c>
      <c r="T210" s="136">
        <f t="shared" si="33"/>
        <v>1.1748975549395258E-12</v>
      </c>
      <c r="U210" s="137">
        <f t="shared" si="34"/>
        <v>0.99953248353259372</v>
      </c>
      <c r="V210" s="88">
        <f t="shared" si="30"/>
        <v>5.260203087299022</v>
      </c>
      <c r="W210" s="86">
        <f t="shared" si="35"/>
        <v>7.9297969127009784</v>
      </c>
      <c r="X210" s="90">
        <f t="shared" si="31"/>
        <v>0.98953248353259371</v>
      </c>
    </row>
    <row r="211" spans="13:24" x14ac:dyDescent="0.25">
      <c r="M211" s="91">
        <v>2.08</v>
      </c>
      <c r="N211" s="89">
        <f t="shared" si="27"/>
        <v>11.92</v>
      </c>
      <c r="O211" s="89">
        <f t="shared" si="28"/>
        <v>4.0002078166782766</v>
      </c>
      <c r="P211" s="97">
        <f t="shared" si="29"/>
        <v>7.3202078166782778</v>
      </c>
      <c r="Q211" s="135">
        <f t="shared" si="32"/>
        <v>9.9952159888484676E-5</v>
      </c>
      <c r="R211" s="89">
        <f t="shared" si="32"/>
        <v>4.7840111515272432E-8</v>
      </c>
      <c r="S211" s="89">
        <f t="shared" si="33"/>
        <v>8.3176377110267055E-3</v>
      </c>
      <c r="T211" s="136">
        <f t="shared" si="33"/>
        <v>1.2022644346174088E-12</v>
      </c>
      <c r="U211" s="137">
        <f t="shared" si="34"/>
        <v>0.99952159888484726</v>
      </c>
      <c r="V211" s="88">
        <f t="shared" si="30"/>
        <v>5.2402078166782777</v>
      </c>
      <c r="W211" s="86">
        <f t="shared" si="35"/>
        <v>7.9197921833217233</v>
      </c>
      <c r="X211" s="90">
        <f t="shared" si="31"/>
        <v>0.98952159888484725</v>
      </c>
    </row>
    <row r="212" spans="13:24" x14ac:dyDescent="0.25">
      <c r="M212" s="91">
        <v>2.09</v>
      </c>
      <c r="N212" s="89">
        <f t="shared" si="27"/>
        <v>11.91</v>
      </c>
      <c r="O212" s="89">
        <f t="shared" si="28"/>
        <v>4.0002126561656119</v>
      </c>
      <c r="P212" s="97">
        <f t="shared" si="29"/>
        <v>7.3102126561656124</v>
      </c>
      <c r="Q212" s="135">
        <f t="shared" si="32"/>
        <v>9.9951046094649045E-5</v>
      </c>
      <c r="R212" s="89">
        <f t="shared" si="32"/>
        <v>4.8953905350878246E-8</v>
      </c>
      <c r="S212" s="89">
        <f t="shared" si="33"/>
        <v>8.1283051616409894E-3</v>
      </c>
      <c r="T212" s="136">
        <f t="shared" si="33"/>
        <v>1.2302687708123772E-12</v>
      </c>
      <c r="U212" s="137">
        <f t="shared" si="34"/>
        <v>0.99951046094649121</v>
      </c>
      <c r="V212" s="88">
        <f t="shared" si="30"/>
        <v>5.2202126561656126</v>
      </c>
      <c r="W212" s="86">
        <f t="shared" si="35"/>
        <v>7.9097873438343882</v>
      </c>
      <c r="X212" s="90">
        <f t="shared" si="31"/>
        <v>0.9895104609464912</v>
      </c>
    </row>
    <row r="213" spans="13:24" x14ac:dyDescent="0.25">
      <c r="M213" s="91">
        <v>2.1</v>
      </c>
      <c r="N213" s="89">
        <f t="shared" si="27"/>
        <v>11.9</v>
      </c>
      <c r="O213" s="89">
        <f t="shared" si="28"/>
        <v>4.0002176083232621</v>
      </c>
      <c r="P213" s="97">
        <f t="shared" si="29"/>
        <v>7.3002176083232619</v>
      </c>
      <c r="Q213" s="135">
        <f t="shared" si="32"/>
        <v>9.9949906382918415E-5</v>
      </c>
      <c r="R213" s="89">
        <f t="shared" si="32"/>
        <v>5.0093617081359697E-8</v>
      </c>
      <c r="S213" s="89">
        <f t="shared" si="33"/>
        <v>7.9432823472428121E-3</v>
      </c>
      <c r="T213" s="136">
        <f t="shared" si="33"/>
        <v>1.2589254117941629E-12</v>
      </c>
      <c r="U213" s="137">
        <f t="shared" si="34"/>
        <v>0.99949906382918641</v>
      </c>
      <c r="V213" s="88">
        <f t="shared" si="30"/>
        <v>5.2002176083232623</v>
      </c>
      <c r="W213" s="86">
        <f t="shared" si="35"/>
        <v>7.8997823916767382</v>
      </c>
      <c r="X213" s="90">
        <f t="shared" si="31"/>
        <v>0.9894990638291864</v>
      </c>
    </row>
    <row r="214" spans="13:24" x14ac:dyDescent="0.25">
      <c r="M214" s="91">
        <v>2.11</v>
      </c>
      <c r="N214" s="89">
        <f t="shared" si="27"/>
        <v>11.89</v>
      </c>
      <c r="O214" s="89">
        <f t="shared" si="28"/>
        <v>4.0002226757730259</v>
      </c>
      <c r="P214" s="97">
        <f t="shared" si="29"/>
        <v>7.290222675773026</v>
      </c>
      <c r="Q214" s="135">
        <f t="shared" si="32"/>
        <v>9.9948740150797964E-5</v>
      </c>
      <c r="R214" s="89">
        <f t="shared" si="32"/>
        <v>5.1259849201931429E-8</v>
      </c>
      <c r="S214" s="89">
        <f t="shared" si="33"/>
        <v>7.7624711662869156E-3</v>
      </c>
      <c r="T214" s="136">
        <f t="shared" si="33"/>
        <v>1.2882495516931293E-12</v>
      </c>
      <c r="U214" s="137">
        <f t="shared" si="34"/>
        <v>0.99948740150798066</v>
      </c>
      <c r="V214" s="88">
        <f t="shared" si="30"/>
        <v>5.1802226757730256</v>
      </c>
      <c r="W214" s="86">
        <f t="shared" si="35"/>
        <v>7.8897773242269746</v>
      </c>
      <c r="X214" s="90">
        <f t="shared" si="31"/>
        <v>0.98948740150798065</v>
      </c>
    </row>
    <row r="215" spans="13:24" x14ac:dyDescent="0.25">
      <c r="M215" s="91">
        <v>2.12</v>
      </c>
      <c r="N215" s="89">
        <f t="shared" si="27"/>
        <v>11.879999999999999</v>
      </c>
      <c r="O215" s="89">
        <f t="shared" si="28"/>
        <v>4.0002278611976481</v>
      </c>
      <c r="P215" s="97">
        <f t="shared" si="29"/>
        <v>7.2802278611976492</v>
      </c>
      <c r="Q215" s="135">
        <f t="shared" si="32"/>
        <v>9.9947546781815297E-5</v>
      </c>
      <c r="R215" s="89">
        <f t="shared" si="32"/>
        <v>5.2453218184759694E-8</v>
      </c>
      <c r="S215" s="89">
        <f t="shared" si="33"/>
        <v>7.5857757502918299E-3</v>
      </c>
      <c r="T215" s="136">
        <f t="shared" si="33"/>
        <v>1.3182567385564068E-12</v>
      </c>
      <c r="U215" s="137">
        <f t="shared" si="34"/>
        <v>0.99947546781815233</v>
      </c>
      <c r="V215" s="88">
        <f t="shared" si="30"/>
        <v>5.1602278611976491</v>
      </c>
      <c r="W215" s="86">
        <f t="shared" si="35"/>
        <v>7.8797721388023509</v>
      </c>
      <c r="X215" s="90">
        <f t="shared" si="31"/>
        <v>0.98947546781815232</v>
      </c>
    </row>
    <row r="216" spans="13:24" x14ac:dyDescent="0.25">
      <c r="M216" s="91">
        <v>2.13</v>
      </c>
      <c r="N216" s="89">
        <f t="shared" si="27"/>
        <v>11.870000000000001</v>
      </c>
      <c r="O216" s="89">
        <f t="shared" si="28"/>
        <v>4.000233167342234</v>
      </c>
      <c r="P216" s="97">
        <f t="shared" si="29"/>
        <v>7.2702331673422345</v>
      </c>
      <c r="Q216" s="135">
        <f t="shared" si="32"/>
        <v>9.9946325645198112E-5</v>
      </c>
      <c r="R216" s="89">
        <f t="shared" si="32"/>
        <v>5.3674354801846964E-8</v>
      </c>
      <c r="S216" s="89">
        <f t="shared" si="33"/>
        <v>7.4131024130091741E-3</v>
      </c>
      <c r="T216" s="136">
        <f t="shared" si="33"/>
        <v>1.3489628825916484E-12</v>
      </c>
      <c r="U216" s="137">
        <f t="shared" si="34"/>
        <v>0.99946325645198153</v>
      </c>
      <c r="V216" s="88">
        <f t="shared" si="30"/>
        <v>5.1402331673422346</v>
      </c>
      <c r="W216" s="86">
        <f t="shared" si="35"/>
        <v>7.869766832657767</v>
      </c>
      <c r="X216" s="90">
        <f t="shared" si="31"/>
        <v>0.98946325645198152</v>
      </c>
    </row>
    <row r="217" spans="13:24" x14ac:dyDescent="0.25">
      <c r="M217" s="91">
        <v>2.14</v>
      </c>
      <c r="N217" s="89">
        <f t="shared" si="27"/>
        <v>11.86</v>
      </c>
      <c r="O217" s="89">
        <f t="shared" si="28"/>
        <v>4.0002385970156933</v>
      </c>
      <c r="P217" s="97">
        <f t="shared" si="29"/>
        <v>7.260238597015694</v>
      </c>
      <c r="Q217" s="135">
        <f t="shared" si="32"/>
        <v>9.9945076095544694E-5</v>
      </c>
      <c r="R217" s="89">
        <f t="shared" si="32"/>
        <v>5.4923904455312177E-8</v>
      </c>
      <c r="S217" s="89">
        <f t="shared" si="33"/>
        <v>7.244359600749894E-3</v>
      </c>
      <c r="T217" s="136">
        <f t="shared" si="33"/>
        <v>1.3803842646028842E-12</v>
      </c>
      <c r="U217" s="137">
        <f t="shared" si="34"/>
        <v>0.99945076095544694</v>
      </c>
      <c r="V217" s="88">
        <f t="shared" si="30"/>
        <v>5.1202385970156943</v>
      </c>
      <c r="W217" s="86">
        <f t="shared" si="35"/>
        <v>7.8597614029843061</v>
      </c>
      <c r="X217" s="90">
        <f t="shared" si="31"/>
        <v>0.98945076095544693</v>
      </c>
    </row>
    <row r="218" spans="13:24" x14ac:dyDescent="0.25">
      <c r="M218" s="91">
        <v>2.15</v>
      </c>
      <c r="N218" s="89">
        <f t="shared" si="27"/>
        <v>11.85</v>
      </c>
      <c r="O218" s="89">
        <f t="shared" si="28"/>
        <v>4.0002441530922219</v>
      </c>
      <c r="P218" s="97">
        <f t="shared" si="29"/>
        <v>7.2502441530922228</v>
      </c>
      <c r="Q218" s="135">
        <f t="shared" si="32"/>
        <v>9.9943797472484684E-5</v>
      </c>
      <c r="R218" s="89">
        <f t="shared" si="32"/>
        <v>5.6202527515232746E-8</v>
      </c>
      <c r="S218" s="89">
        <f t="shared" si="33"/>
        <v>7.0794578438413795E-3</v>
      </c>
      <c r="T218" s="136">
        <f t="shared" si="33"/>
        <v>1.4125375446227535E-12</v>
      </c>
      <c r="U218" s="137">
        <f t="shared" si="34"/>
        <v>0.99943797472484774</v>
      </c>
      <c r="V218" s="88">
        <f t="shared" si="30"/>
        <v>5.1002441530922233</v>
      </c>
      <c r="W218" s="86">
        <f t="shared" si="35"/>
        <v>7.8497558469077777</v>
      </c>
      <c r="X218" s="90">
        <f t="shared" si="31"/>
        <v>0.98943797472484774</v>
      </c>
    </row>
    <row r="219" spans="13:24" x14ac:dyDescent="0.25">
      <c r="M219" s="91">
        <v>2.16</v>
      </c>
      <c r="N219" s="89">
        <f t="shared" si="27"/>
        <v>11.84</v>
      </c>
      <c r="O219" s="89">
        <f t="shared" si="28"/>
        <v>4.0002498385128158</v>
      </c>
      <c r="P219" s="97">
        <f t="shared" si="29"/>
        <v>7.240249838512816</v>
      </c>
      <c r="Q219" s="135">
        <f t="shared" si="32"/>
        <v>9.9942489100334614E-5</v>
      </c>
      <c r="R219" s="89">
        <f t="shared" si="32"/>
        <v>5.7510899665215878E-8</v>
      </c>
      <c r="S219" s="89">
        <f t="shared" si="33"/>
        <v>6.9183097091893601E-3</v>
      </c>
      <c r="T219" s="136">
        <f t="shared" si="33"/>
        <v>1.4454397707459267E-12</v>
      </c>
      <c r="U219" s="137">
        <f t="shared" si="34"/>
        <v>0.99942489100334786</v>
      </c>
      <c r="V219" s="88">
        <f t="shared" si="30"/>
        <v>5.0802498385128159</v>
      </c>
      <c r="W219" s="86">
        <f t="shared" si="35"/>
        <v>7.8397501614871841</v>
      </c>
      <c r="X219" s="90">
        <f t="shared" si="31"/>
        <v>0.98942489100334785</v>
      </c>
    </row>
    <row r="220" spans="13:24" x14ac:dyDescent="0.25">
      <c r="M220" s="91">
        <v>2.17</v>
      </c>
      <c r="N220" s="89">
        <f t="shared" si="27"/>
        <v>11.83</v>
      </c>
      <c r="O220" s="89">
        <f t="shared" si="28"/>
        <v>4.0002556562868188</v>
      </c>
      <c r="P220" s="97">
        <f t="shared" si="29"/>
        <v>7.2302556562868192</v>
      </c>
      <c r="Q220" s="135">
        <f t="shared" si="32"/>
        <v>9.9941150287743903E-5</v>
      </c>
      <c r="R220" s="89">
        <f t="shared" si="32"/>
        <v>5.884971225587722E-8</v>
      </c>
      <c r="S220" s="89">
        <f t="shared" si="33"/>
        <v>6.7608297539198132E-3</v>
      </c>
      <c r="T220" s="136">
        <f t="shared" si="33"/>
        <v>1.4791083881682012E-12</v>
      </c>
      <c r="U220" s="137">
        <f t="shared" si="34"/>
        <v>0.99941150287744129</v>
      </c>
      <c r="V220" s="88">
        <f t="shared" si="30"/>
        <v>5.0602556562868193</v>
      </c>
      <c r="W220" s="86">
        <f t="shared" si="35"/>
        <v>7.8297443437131813</v>
      </c>
      <c r="X220" s="90">
        <f t="shared" si="31"/>
        <v>0.98941150287744128</v>
      </c>
    </row>
    <row r="221" spans="13:24" x14ac:dyDescent="0.25">
      <c r="M221" s="91">
        <v>2.1800000000000002</v>
      </c>
      <c r="N221" s="89">
        <f t="shared" si="27"/>
        <v>11.82</v>
      </c>
      <c r="O221" s="89">
        <f t="shared" si="28"/>
        <v>4.0002616094935091</v>
      </c>
      <c r="P221" s="97">
        <f t="shared" si="29"/>
        <v>7.2202616094935097</v>
      </c>
      <c r="Q221" s="135">
        <f t="shared" si="32"/>
        <v>9.9939780327333491E-5</v>
      </c>
      <c r="R221" s="89">
        <f t="shared" si="32"/>
        <v>6.021967266640024E-8</v>
      </c>
      <c r="S221" s="89">
        <f t="shared" si="33"/>
        <v>6.6069344800759565E-3</v>
      </c>
      <c r="T221" s="136">
        <f t="shared" si="33"/>
        <v>1.5135612484362015E-12</v>
      </c>
      <c r="U221" s="137">
        <f t="shared" si="34"/>
        <v>0.99939780327333594</v>
      </c>
      <c r="V221" s="88">
        <f t="shared" si="30"/>
        <v>5.0402616094935091</v>
      </c>
      <c r="W221" s="86">
        <f t="shared" si="35"/>
        <v>7.8197383905064912</v>
      </c>
      <c r="X221" s="90">
        <f t="shared" si="31"/>
        <v>0.98939780327333593</v>
      </c>
    </row>
    <row r="222" spans="13:24" x14ac:dyDescent="0.25">
      <c r="M222" s="91">
        <v>2.19</v>
      </c>
      <c r="N222" s="89">
        <f t="shared" si="27"/>
        <v>11.81</v>
      </c>
      <c r="O222" s="89">
        <f t="shared" si="28"/>
        <v>4.00026770128372</v>
      </c>
      <c r="P222" s="97">
        <f t="shared" si="29"/>
        <v>7.21026770128372</v>
      </c>
      <c r="Q222" s="135">
        <f t="shared" si="32"/>
        <v>9.9938378495325445E-5</v>
      </c>
      <c r="R222" s="89">
        <f t="shared" si="32"/>
        <v>6.1621504674358619E-8</v>
      </c>
      <c r="S222" s="89">
        <f t="shared" si="33"/>
        <v>6.4565422903465524E-3</v>
      </c>
      <c r="T222" s="136">
        <f t="shared" si="33"/>
        <v>1.5488166189124747E-12</v>
      </c>
      <c r="U222" s="137">
        <f t="shared" si="34"/>
        <v>0.99938378495325642</v>
      </c>
      <c r="V222" s="88">
        <f t="shared" si="30"/>
        <v>5.0202677012837196</v>
      </c>
      <c r="W222" s="86">
        <f t="shared" si="35"/>
        <v>7.8097322987162805</v>
      </c>
      <c r="X222" s="90">
        <f t="shared" si="31"/>
        <v>0.98938378495325641</v>
      </c>
    </row>
    <row r="223" spans="13:24" x14ac:dyDescent="0.25">
      <c r="M223" s="91">
        <v>2.2000000000000002</v>
      </c>
      <c r="N223" s="89">
        <f t="shared" si="27"/>
        <v>11.8</v>
      </c>
      <c r="O223" s="89">
        <f t="shared" si="28"/>
        <v>4.0002739348814966</v>
      </c>
      <c r="P223" s="97">
        <f t="shared" si="29"/>
        <v>7.2002739348814968</v>
      </c>
      <c r="Q223" s="135">
        <f t="shared" si="32"/>
        <v>9.9936944051165868E-5</v>
      </c>
      <c r="R223" s="89">
        <f t="shared" si="32"/>
        <v>6.3055948833989277E-8</v>
      </c>
      <c r="S223" s="89">
        <f t="shared" si="33"/>
        <v>6.3095734448019251E-3</v>
      </c>
      <c r="T223" s="136">
        <f t="shared" si="33"/>
        <v>1.5848931924611065E-12</v>
      </c>
      <c r="U223" s="137">
        <f t="shared" si="34"/>
        <v>0.9993694405116601</v>
      </c>
      <c r="V223" s="88">
        <f t="shared" si="30"/>
        <v>5.0002739348814966</v>
      </c>
      <c r="W223" s="86">
        <f t="shared" si="35"/>
        <v>7.7997260651185041</v>
      </c>
      <c r="X223" s="90">
        <f t="shared" si="31"/>
        <v>0.98936944051166009</v>
      </c>
    </row>
    <row r="224" spans="13:24" x14ac:dyDescent="0.25">
      <c r="M224" s="91">
        <v>2.21</v>
      </c>
      <c r="N224" s="89">
        <f t="shared" si="27"/>
        <v>11.79</v>
      </c>
      <c r="O224" s="89">
        <f t="shared" si="28"/>
        <v>4.0002803135857956</v>
      </c>
      <c r="P224" s="97">
        <f t="shared" si="29"/>
        <v>7.1902803135857969</v>
      </c>
      <c r="Q224" s="135">
        <f t="shared" si="32"/>
        <v>9.9935476237136909E-5</v>
      </c>
      <c r="R224" s="89">
        <f t="shared" si="32"/>
        <v>6.4523762863099547E-8</v>
      </c>
      <c r="S224" s="89">
        <f t="shared" si="33"/>
        <v>6.1659500186148197E-3</v>
      </c>
      <c r="T224" s="136">
        <f t="shared" si="33"/>
        <v>1.6218100973589284E-12</v>
      </c>
      <c r="U224" s="137">
        <f t="shared" si="34"/>
        <v>0.999354762371369</v>
      </c>
      <c r="V224" s="88">
        <f t="shared" si="30"/>
        <v>4.9802803135857969</v>
      </c>
      <c r="W224" s="86">
        <f t="shared" si="35"/>
        <v>7.7897196864142035</v>
      </c>
      <c r="X224" s="90">
        <f t="shared" si="31"/>
        <v>0.98935476237136899</v>
      </c>
    </row>
    <row r="225" spans="13:24" x14ac:dyDescent="0.25">
      <c r="M225" s="91">
        <v>2.2200000000000002</v>
      </c>
      <c r="N225" s="89">
        <f t="shared" si="27"/>
        <v>11.78</v>
      </c>
      <c r="O225" s="89">
        <f t="shared" si="28"/>
        <v>4.0002868407722207</v>
      </c>
      <c r="P225" s="97">
        <f t="shared" si="29"/>
        <v>7.1802868407722213</v>
      </c>
      <c r="Q225" s="135">
        <f t="shared" si="32"/>
        <v>9.9933974277961103E-5</v>
      </c>
      <c r="R225" s="89">
        <f t="shared" si="32"/>
        <v>6.6025722038808425E-8</v>
      </c>
      <c r="S225" s="89">
        <f t="shared" si="33"/>
        <v>6.0255958607435718E-3</v>
      </c>
      <c r="T225" s="136">
        <f t="shared" si="33"/>
        <v>1.6595869074375588E-12</v>
      </c>
      <c r="U225" s="137">
        <f t="shared" si="34"/>
        <v>0.99933974277961191</v>
      </c>
      <c r="V225" s="88">
        <f t="shared" si="30"/>
        <v>4.9602868407722216</v>
      </c>
      <c r="W225" s="86">
        <f t="shared" si="35"/>
        <v>7.7797131592277786</v>
      </c>
      <c r="X225" s="90">
        <f t="shared" si="31"/>
        <v>0.9893397427796119</v>
      </c>
    </row>
    <row r="226" spans="13:24" x14ac:dyDescent="0.25">
      <c r="M226" s="91">
        <v>2.23</v>
      </c>
      <c r="N226" s="89">
        <f t="shared" si="27"/>
        <v>11.77</v>
      </c>
      <c r="O226" s="89">
        <f t="shared" si="28"/>
        <v>4.0002935198947958</v>
      </c>
      <c r="P226" s="97">
        <f t="shared" si="29"/>
        <v>7.1702935198947966</v>
      </c>
      <c r="Q226" s="135">
        <f t="shared" si="32"/>
        <v>9.9932437380397665E-5</v>
      </c>
      <c r="R226" s="89">
        <f t="shared" si="32"/>
        <v>6.7562619602312041E-8</v>
      </c>
      <c r="S226" s="89">
        <f t="shared" si="33"/>
        <v>5.8884365535558899E-3</v>
      </c>
      <c r="T226" s="136">
        <f t="shared" si="33"/>
        <v>1.6982436524617421E-12</v>
      </c>
      <c r="U226" s="137">
        <f t="shared" si="34"/>
        <v>0.99932437380397687</v>
      </c>
      <c r="V226" s="88">
        <f t="shared" si="30"/>
        <v>4.9402935198947961</v>
      </c>
      <c r="W226" s="86">
        <f t="shared" si="35"/>
        <v>7.7697064801052038</v>
      </c>
      <c r="X226" s="90">
        <f t="shared" si="31"/>
        <v>0.98932437380397686</v>
      </c>
    </row>
    <row r="227" spans="13:24" x14ac:dyDescent="0.25">
      <c r="M227" s="91">
        <v>2.2400000000000002</v>
      </c>
      <c r="N227" s="89">
        <f t="shared" si="27"/>
        <v>11.76</v>
      </c>
      <c r="O227" s="89">
        <f t="shared" si="28"/>
        <v>4.0003003544877869</v>
      </c>
      <c r="P227" s="97">
        <f t="shared" si="29"/>
        <v>7.1603003544877879</v>
      </c>
      <c r="Q227" s="135">
        <f t="shared" si="32"/>
        <v>9.9930864732827147E-5</v>
      </c>
      <c r="R227" s="89">
        <f t="shared" si="32"/>
        <v>6.9135267172880343E-8</v>
      </c>
      <c r="S227" s="89">
        <f t="shared" si="33"/>
        <v>5.7543993733715649E-3</v>
      </c>
      <c r="T227" s="136">
        <f t="shared" si="33"/>
        <v>1.737800828749373E-12</v>
      </c>
      <c r="U227" s="137">
        <f t="shared" si="34"/>
        <v>0.99930864732827118</v>
      </c>
      <c r="V227" s="88">
        <f t="shared" si="30"/>
        <v>4.9203003544877877</v>
      </c>
      <c r="W227" s="86">
        <f t="shared" si="35"/>
        <v>7.7596996455122129</v>
      </c>
      <c r="X227" s="90">
        <f t="shared" si="31"/>
        <v>0.98930864732827117</v>
      </c>
    </row>
    <row r="228" spans="13:24" x14ac:dyDescent="0.25">
      <c r="M228" s="91">
        <v>2.25</v>
      </c>
      <c r="N228" s="89">
        <f t="shared" si="27"/>
        <v>11.75</v>
      </c>
      <c r="O228" s="89">
        <f t="shared" si="28"/>
        <v>4.0003073481675573</v>
      </c>
      <c r="P228" s="97">
        <f t="shared" si="29"/>
        <v>7.1503073481675576</v>
      </c>
      <c r="Q228" s="135">
        <f t="shared" si="32"/>
        <v>9.9929255504828502E-5</v>
      </c>
      <c r="R228" s="89">
        <f t="shared" si="32"/>
        <v>7.0744495171288747E-8</v>
      </c>
      <c r="S228" s="89">
        <f t="shared" si="33"/>
        <v>5.6234132519034866E-3</v>
      </c>
      <c r="T228" s="136">
        <f t="shared" si="33"/>
        <v>1.7782794100389204E-12</v>
      </c>
      <c r="U228" s="137">
        <f t="shared" si="34"/>
        <v>0.99929255504828718</v>
      </c>
      <c r="V228" s="88">
        <f t="shared" si="30"/>
        <v>4.9003073481675576</v>
      </c>
      <c r="W228" s="86">
        <f t="shared" si="35"/>
        <v>7.7496926518324427</v>
      </c>
      <c r="X228" s="90">
        <f t="shared" si="31"/>
        <v>0.98929255504828717</v>
      </c>
    </row>
    <row r="229" spans="13:24" x14ac:dyDescent="0.25">
      <c r="M229" s="91">
        <v>2.2599999999999998</v>
      </c>
      <c r="N229" s="89">
        <f t="shared" si="27"/>
        <v>11.74</v>
      </c>
      <c r="O229" s="89">
        <f t="shared" si="28"/>
        <v>4.0003145046344688</v>
      </c>
      <c r="P229" s="97">
        <f t="shared" si="29"/>
        <v>7.1403145046344694</v>
      </c>
      <c r="Q229" s="135">
        <f t="shared" si="32"/>
        <v>9.9927608846747033E-5</v>
      </c>
      <c r="R229" s="89">
        <f t="shared" si="32"/>
        <v>7.2391153252891244E-8</v>
      </c>
      <c r="S229" s="89">
        <f t="shared" si="33"/>
        <v>5.4954087385762473E-3</v>
      </c>
      <c r="T229" s="136">
        <f t="shared" si="33"/>
        <v>1.8197008586099809E-12</v>
      </c>
      <c r="U229" s="137">
        <f t="shared" si="34"/>
        <v>0.99927608846747107</v>
      </c>
      <c r="V229" s="88">
        <f t="shared" si="30"/>
        <v>4.8803145046344696</v>
      </c>
      <c r="W229" s="86">
        <f t="shared" si="35"/>
        <v>7.7396854953655314</v>
      </c>
      <c r="X229" s="90">
        <f t="shared" si="31"/>
        <v>0.98927608846747106</v>
      </c>
    </row>
    <row r="230" spans="13:24" x14ac:dyDescent="0.25">
      <c r="M230" s="91">
        <v>2.27</v>
      </c>
      <c r="N230" s="89">
        <f t="shared" si="27"/>
        <v>11.73</v>
      </c>
      <c r="O230" s="89">
        <f t="shared" si="28"/>
        <v>4.0003218276748322</v>
      </c>
      <c r="P230" s="97">
        <f t="shared" si="29"/>
        <v>7.130321827674833</v>
      </c>
      <c r="Q230" s="135">
        <f t="shared" si="32"/>
        <v>9.9925923889249328E-5</v>
      </c>
      <c r="R230" s="89">
        <f t="shared" si="32"/>
        <v>7.4076110750556526E-8</v>
      </c>
      <c r="S230" s="89">
        <f t="shared" si="33"/>
        <v>5.3703179637025244E-3</v>
      </c>
      <c r="T230" s="136">
        <f t="shared" si="33"/>
        <v>1.8620871366628578E-12</v>
      </c>
      <c r="U230" s="137">
        <f t="shared" si="34"/>
        <v>0.99925923889249446</v>
      </c>
      <c r="V230" s="88">
        <f t="shared" si="30"/>
        <v>4.8603218276748326</v>
      </c>
      <c r="W230" s="86">
        <f t="shared" si="35"/>
        <v>7.7296781723251682</v>
      </c>
      <c r="X230" s="90">
        <f t="shared" si="31"/>
        <v>0.98925923889249445</v>
      </c>
    </row>
    <row r="231" spans="13:24" x14ac:dyDescent="0.25">
      <c r="M231" s="91">
        <v>2.2799999999999998</v>
      </c>
      <c r="N231" s="89">
        <f t="shared" si="27"/>
        <v>11.72</v>
      </c>
      <c r="O231" s="89">
        <f t="shared" si="28"/>
        <v>4.0003293211628925</v>
      </c>
      <c r="P231" s="97">
        <f t="shared" si="29"/>
        <v>7.1203293211628935</v>
      </c>
      <c r="Q231" s="135">
        <f t="shared" si="32"/>
        <v>9.99241997428722E-5</v>
      </c>
      <c r="R231" s="89">
        <f t="shared" si="32"/>
        <v>7.5800257127679612E-8</v>
      </c>
      <c r="S231" s="89">
        <f t="shared" si="33"/>
        <v>5.2480746024977237E-3</v>
      </c>
      <c r="T231" s="136">
        <f t="shared" si="33"/>
        <v>1.905460717963237E-12</v>
      </c>
      <c r="U231" s="137">
        <f t="shared" si="34"/>
        <v>0.99924199742872322</v>
      </c>
      <c r="V231" s="88">
        <f t="shared" si="30"/>
        <v>4.8403293211628942</v>
      </c>
      <c r="W231" s="86">
        <f t="shared" si="35"/>
        <v>7.7196706788371081</v>
      </c>
      <c r="X231" s="90">
        <f t="shared" si="31"/>
        <v>0.98924199742872321</v>
      </c>
    </row>
    <row r="232" spans="13:24" x14ac:dyDescent="0.25">
      <c r="M232" s="91">
        <v>2.29</v>
      </c>
      <c r="N232" s="89">
        <f t="shared" si="27"/>
        <v>11.71</v>
      </c>
      <c r="O232" s="89">
        <f t="shared" si="28"/>
        <v>4.0003369890628653</v>
      </c>
      <c r="P232" s="97">
        <f t="shared" si="29"/>
        <v>7.1103369890628665</v>
      </c>
      <c r="Q232" s="135">
        <f t="shared" si="32"/>
        <v>9.9922435497558503E-5</v>
      </c>
      <c r="R232" s="89">
        <f t="shared" si="32"/>
        <v>7.7564502441495913E-8</v>
      </c>
      <c r="S232" s="89">
        <f t="shared" si="33"/>
        <v>5.1286138399136471E-3</v>
      </c>
      <c r="T232" s="136">
        <f t="shared" si="33"/>
        <v>1.9498445997580347E-12</v>
      </c>
      <c r="U232" s="137">
        <f t="shared" si="34"/>
        <v>0.99922435497558504</v>
      </c>
      <c r="V232" s="88">
        <f t="shared" si="30"/>
        <v>4.8203369890628665</v>
      </c>
      <c r="W232" s="86">
        <f t="shared" si="35"/>
        <v>7.7096630109371356</v>
      </c>
      <c r="X232" s="90">
        <f t="shared" si="31"/>
        <v>0.98922435497558503</v>
      </c>
    </row>
    <row r="233" spans="13:24" x14ac:dyDescent="0.25">
      <c r="M233" s="91">
        <v>2.2999999999999998</v>
      </c>
      <c r="N233" s="89">
        <f t="shared" si="27"/>
        <v>11.7</v>
      </c>
      <c r="O233" s="89">
        <f t="shared" si="28"/>
        <v>4.0003448354310249</v>
      </c>
      <c r="P233" s="97">
        <f t="shared" si="29"/>
        <v>7.1003448354310255</v>
      </c>
      <c r="Q233" s="135">
        <f t="shared" si="32"/>
        <v>9.9920630222183039E-5</v>
      </c>
      <c r="R233" s="89">
        <f t="shared" si="32"/>
        <v>7.9369777816924288E-8</v>
      </c>
      <c r="S233" s="89">
        <f t="shared" si="33"/>
        <v>5.0118723362727212E-3</v>
      </c>
      <c r="T233" s="136">
        <f t="shared" si="33"/>
        <v>1.9952623149688759E-12</v>
      </c>
      <c r="U233" s="137">
        <f t="shared" si="34"/>
        <v>0.99920630222183071</v>
      </c>
      <c r="V233" s="88">
        <f t="shared" si="30"/>
        <v>4.8003448354310256</v>
      </c>
      <c r="W233" s="86">
        <f t="shared" si="35"/>
        <v>7.6996551645689744</v>
      </c>
      <c r="X233" s="90">
        <f t="shared" si="31"/>
        <v>0.9892063022218307</v>
      </c>
    </row>
    <row r="234" spans="13:24" x14ac:dyDescent="0.25">
      <c r="M234" s="91">
        <v>2.31</v>
      </c>
      <c r="N234" s="89">
        <f t="shared" si="27"/>
        <v>11.69</v>
      </c>
      <c r="O234" s="89">
        <f t="shared" si="28"/>
        <v>4.0003528644178292</v>
      </c>
      <c r="P234" s="97">
        <f t="shared" si="29"/>
        <v>7.09035286441783</v>
      </c>
      <c r="Q234" s="135">
        <f t="shared" si="32"/>
        <v>9.9918782964068703E-5</v>
      </c>
      <c r="R234" s="89">
        <f t="shared" si="32"/>
        <v>8.1217035931172356E-8</v>
      </c>
      <c r="S234" s="89">
        <f t="shared" si="33"/>
        <v>4.8977881936844566E-3</v>
      </c>
      <c r="T234" s="136">
        <f t="shared" si="33"/>
        <v>2.0417379446695251E-12</v>
      </c>
      <c r="U234" s="137">
        <f t="shared" si="34"/>
        <v>0.99918782964068831</v>
      </c>
      <c r="V234" s="88">
        <f t="shared" si="30"/>
        <v>4.7803528644178304</v>
      </c>
      <c r="W234" s="86">
        <f t="shared" si="35"/>
        <v>7.6896471355821703</v>
      </c>
      <c r="X234" s="90">
        <f t="shared" si="31"/>
        <v>0.9891878296406883</v>
      </c>
    </row>
    <row r="235" spans="13:24" x14ac:dyDescent="0.25">
      <c r="M235" s="91">
        <v>2.3199999999999998</v>
      </c>
      <c r="N235" s="89">
        <f t="shared" si="27"/>
        <v>11.68</v>
      </c>
      <c r="O235" s="89">
        <f t="shared" si="28"/>
        <v>4.0003610802701015</v>
      </c>
      <c r="P235" s="97">
        <f t="shared" si="29"/>
        <v>7.0803610802701025</v>
      </c>
      <c r="Q235" s="135">
        <f t="shared" si="32"/>
        <v>9.9916892748490622E-5</v>
      </c>
      <c r="R235" s="89">
        <f t="shared" si="32"/>
        <v>8.3107251509345622E-8</v>
      </c>
      <c r="S235" s="89">
        <f t="shared" si="33"/>
        <v>4.7863009232263836E-3</v>
      </c>
      <c r="T235" s="136">
        <f t="shared" si="33"/>
        <v>2.0892961308540349E-12</v>
      </c>
      <c r="U235" s="137">
        <f t="shared" si="34"/>
        <v>0.9991689274849066</v>
      </c>
      <c r="V235" s="88">
        <f t="shared" si="30"/>
        <v>4.7603610802701031</v>
      </c>
      <c r="W235" s="86">
        <f t="shared" si="35"/>
        <v>7.6796389197298982</v>
      </c>
      <c r="X235" s="90">
        <f t="shared" si="31"/>
        <v>0.98916892748490659</v>
      </c>
    </row>
    <row r="236" spans="13:24" x14ac:dyDescent="0.25">
      <c r="M236" s="91">
        <v>2.33</v>
      </c>
      <c r="N236" s="89">
        <f t="shared" si="27"/>
        <v>11.67</v>
      </c>
      <c r="O236" s="89">
        <f t="shared" si="28"/>
        <v>4.0003694873332636</v>
      </c>
      <c r="P236" s="97">
        <f t="shared" si="29"/>
        <v>7.0703694873332648</v>
      </c>
      <c r="Q236" s="135">
        <f t="shared" si="32"/>
        <v>9.9914958578168684E-5</v>
      </c>
      <c r="R236" s="89">
        <f t="shared" si="32"/>
        <v>8.5041421831293982E-8</v>
      </c>
      <c r="S236" s="89">
        <f t="shared" si="33"/>
        <v>4.6773514128719777E-3</v>
      </c>
      <c r="T236" s="136">
        <f t="shared" si="33"/>
        <v>2.1379620895022273E-12</v>
      </c>
      <c r="U236" s="137">
        <f t="shared" si="34"/>
        <v>0.99914958578168711</v>
      </c>
      <c r="V236" s="88">
        <f t="shared" si="30"/>
        <v>4.7403694873332647</v>
      </c>
      <c r="W236" s="86">
        <f t="shared" si="35"/>
        <v>7.6696305126667363</v>
      </c>
      <c r="X236" s="90">
        <f t="shared" si="31"/>
        <v>0.9891495857816871</v>
      </c>
    </row>
    <row r="237" spans="13:24" x14ac:dyDescent="0.25">
      <c r="M237" s="91">
        <v>2.34</v>
      </c>
      <c r="N237" s="89">
        <f t="shared" si="27"/>
        <v>11.66</v>
      </c>
      <c r="O237" s="89">
        <f t="shared" si="28"/>
        <v>4.0003780900536121</v>
      </c>
      <c r="P237" s="97">
        <f t="shared" si="29"/>
        <v>7.0603780900536126</v>
      </c>
      <c r="Q237" s="135">
        <f t="shared" si="32"/>
        <v>9.9912979432749844E-5</v>
      </c>
      <c r="R237" s="89">
        <f t="shared" si="32"/>
        <v>8.702056724995577E-8</v>
      </c>
      <c r="S237" s="89">
        <f t="shared" si="33"/>
        <v>4.5708818961487504E-3</v>
      </c>
      <c r="T237" s="136">
        <f t="shared" si="33"/>
        <v>2.1877616239495474E-12</v>
      </c>
      <c r="U237" s="137">
        <f t="shared" si="34"/>
        <v>0.99912979432750038</v>
      </c>
      <c r="V237" s="88">
        <f t="shared" si="30"/>
        <v>4.7203780900536128</v>
      </c>
      <c r="W237" s="86">
        <f t="shared" si="35"/>
        <v>7.659621909946388</v>
      </c>
      <c r="X237" s="90">
        <f t="shared" si="31"/>
        <v>0.98912979432750037</v>
      </c>
    </row>
    <row r="238" spans="13:24" x14ac:dyDescent="0.25">
      <c r="M238" s="91">
        <v>2.35</v>
      </c>
      <c r="N238" s="89">
        <f t="shared" si="27"/>
        <v>11.65</v>
      </c>
      <c r="O238" s="89">
        <f t="shared" si="28"/>
        <v>4.0003868929806554</v>
      </c>
      <c r="P238" s="97">
        <f t="shared" si="29"/>
        <v>7.0503868929806552</v>
      </c>
      <c r="Q238" s="135">
        <f t="shared" si="32"/>
        <v>9.9910954268278476E-5</v>
      </c>
      <c r="R238" s="89">
        <f t="shared" si="32"/>
        <v>8.9045731721440837E-8</v>
      </c>
      <c r="S238" s="89">
        <f t="shared" si="33"/>
        <v>4.4668359215096279E-3</v>
      </c>
      <c r="T238" s="136">
        <f t="shared" si="33"/>
        <v>2.2387211385683343E-12</v>
      </c>
      <c r="U238" s="137">
        <f t="shared" si="34"/>
        <v>0.99910954268278562</v>
      </c>
      <c r="V238" s="88">
        <f t="shared" si="30"/>
        <v>4.7003868929806547</v>
      </c>
      <c r="W238" s="86">
        <f t="shared" si="35"/>
        <v>7.6496131070193449</v>
      </c>
      <c r="X238" s="90">
        <f t="shared" si="31"/>
        <v>0.98910954268278561</v>
      </c>
    </row>
    <row r="239" spans="13:24" x14ac:dyDescent="0.25">
      <c r="M239" s="91">
        <v>2.36</v>
      </c>
      <c r="N239" s="89">
        <f t="shared" si="27"/>
        <v>11.64</v>
      </c>
      <c r="O239" s="89">
        <f t="shared" si="28"/>
        <v>4.0003959007695</v>
      </c>
      <c r="P239" s="97">
        <f t="shared" si="29"/>
        <v>7.0403959007695009</v>
      </c>
      <c r="Q239" s="135">
        <f t="shared" si="32"/>
        <v>9.9908882016652931E-5</v>
      </c>
      <c r="R239" s="89">
        <f t="shared" si="32"/>
        <v>9.111798334711794E-8</v>
      </c>
      <c r="S239" s="89">
        <f t="shared" si="33"/>
        <v>4.3651583224016566E-3</v>
      </c>
      <c r="T239" s="136">
        <f t="shared" si="33"/>
        <v>2.2908676527677675E-12</v>
      </c>
      <c r="U239" s="137">
        <f t="shared" si="34"/>
        <v>0.99908882016652889</v>
      </c>
      <c r="V239" s="88">
        <f t="shared" si="30"/>
        <v>4.6803959007695006</v>
      </c>
      <c r="W239" s="86">
        <f t="shared" si="35"/>
        <v>7.6396040992305005</v>
      </c>
      <c r="X239" s="90">
        <f t="shared" si="31"/>
        <v>0.98908882016652888</v>
      </c>
    </row>
    <row r="240" spans="13:24" x14ac:dyDescent="0.25">
      <c r="M240" s="91">
        <v>2.37</v>
      </c>
      <c r="N240" s="89">
        <f t="shared" si="27"/>
        <v>11.629999999999999</v>
      </c>
      <c r="O240" s="89">
        <f t="shared" si="28"/>
        <v>4.0004051181832949</v>
      </c>
      <c r="P240" s="97">
        <f t="shared" si="29"/>
        <v>7.0304051181832952</v>
      </c>
      <c r="Q240" s="135">
        <f t="shared" si="32"/>
        <v>9.9906761585072054E-5</v>
      </c>
      <c r="R240" s="89">
        <f t="shared" si="32"/>
        <v>9.3238414927967829E-8</v>
      </c>
      <c r="S240" s="89">
        <f t="shared" si="33"/>
        <v>4.2657951880159251E-3</v>
      </c>
      <c r="T240" s="136">
        <f t="shared" si="33"/>
        <v>2.3442288153199247E-12</v>
      </c>
      <c r="U240" s="137">
        <f t="shared" si="34"/>
        <v>0.99906761585072035</v>
      </c>
      <c r="V240" s="88">
        <f t="shared" si="30"/>
        <v>4.6604051181832951</v>
      </c>
      <c r="W240" s="86">
        <f t="shared" si="35"/>
        <v>7.6295948818167041</v>
      </c>
      <c r="X240" s="90">
        <f t="shared" si="31"/>
        <v>0.98906761585072034</v>
      </c>
    </row>
    <row r="241" spans="13:24" x14ac:dyDescent="0.25">
      <c r="M241" s="91">
        <v>2.38</v>
      </c>
      <c r="N241" s="89">
        <f t="shared" si="27"/>
        <v>11.620000000000001</v>
      </c>
      <c r="O241" s="89">
        <f t="shared" si="28"/>
        <v>4.0004145500957247</v>
      </c>
      <c r="P241" s="97">
        <f t="shared" si="29"/>
        <v>7.0204145500957251</v>
      </c>
      <c r="Q241" s="135">
        <f t="shared" si="32"/>
        <v>9.9904591855468441E-5</v>
      </c>
      <c r="R241" s="89">
        <f t="shared" si="32"/>
        <v>9.5408144531469601E-8</v>
      </c>
      <c r="S241" s="89">
        <f t="shared" si="33"/>
        <v>4.1686938347033527E-3</v>
      </c>
      <c r="T241" s="136">
        <f t="shared" si="33"/>
        <v>2.3988329190194755E-12</v>
      </c>
      <c r="U241" s="137">
        <f t="shared" si="34"/>
        <v>0.99904591855468527</v>
      </c>
      <c r="V241" s="88">
        <f t="shared" si="30"/>
        <v>4.6404145500957252</v>
      </c>
      <c r="W241" s="86">
        <f t="shared" si="35"/>
        <v>7.6195854499042763</v>
      </c>
      <c r="X241" s="90">
        <f t="shared" si="31"/>
        <v>0.98904591855468527</v>
      </c>
    </row>
    <row r="242" spans="13:24" x14ac:dyDescent="0.25">
      <c r="M242" s="91">
        <v>2.39</v>
      </c>
      <c r="N242" s="89">
        <f t="shared" si="27"/>
        <v>11.61</v>
      </c>
      <c r="O242" s="89">
        <f t="shared" si="28"/>
        <v>4.00042420149357</v>
      </c>
      <c r="P242" s="97">
        <f t="shared" si="29"/>
        <v>7.0104242014935707</v>
      </c>
      <c r="Q242" s="135">
        <f t="shared" si="32"/>
        <v>9.9902371683928556E-5</v>
      </c>
      <c r="R242" s="89">
        <f t="shared" si="32"/>
        <v>9.7628316071296498E-8</v>
      </c>
      <c r="S242" s="89">
        <f t="shared" si="33"/>
        <v>4.0738027780411225E-3</v>
      </c>
      <c r="T242" s="136">
        <f t="shared" si="33"/>
        <v>2.4547089156850233E-12</v>
      </c>
      <c r="U242" s="137">
        <f t="shared" si="34"/>
        <v>0.99902371683928703</v>
      </c>
      <c r="V242" s="88">
        <f t="shared" si="30"/>
        <v>4.6204242014935701</v>
      </c>
      <c r="W242" s="86">
        <f t="shared" si="35"/>
        <v>7.6095757985064294</v>
      </c>
      <c r="X242" s="90">
        <f t="shared" si="31"/>
        <v>0.98902371683928703</v>
      </c>
    </row>
    <row r="243" spans="13:24" x14ac:dyDescent="0.25">
      <c r="M243" s="91">
        <v>2.4</v>
      </c>
      <c r="N243" s="89">
        <f t="shared" si="27"/>
        <v>11.6</v>
      </c>
      <c r="O243" s="89">
        <f t="shared" si="28"/>
        <v>4.0004340774793183</v>
      </c>
      <c r="P243" s="97">
        <f t="shared" si="29"/>
        <v>7.0004340774793192</v>
      </c>
      <c r="Q243" s="135">
        <f t="shared" si="32"/>
        <v>9.9900099900099805E-5</v>
      </c>
      <c r="R243" s="89">
        <f t="shared" si="32"/>
        <v>9.9900099900099472E-8</v>
      </c>
      <c r="S243" s="89">
        <f t="shared" si="33"/>
        <v>3.9810717055349717E-3</v>
      </c>
      <c r="T243" s="136">
        <f t="shared" si="33"/>
        <v>2.5118864315095726E-12</v>
      </c>
      <c r="U243" s="137">
        <f t="shared" si="34"/>
        <v>0.99900099900099892</v>
      </c>
      <c r="V243" s="88">
        <f t="shared" si="30"/>
        <v>4.6004340774793189</v>
      </c>
      <c r="W243" s="86">
        <f t="shared" si="35"/>
        <v>7.5995659225206813</v>
      </c>
      <c r="X243" s="90">
        <f t="shared" si="31"/>
        <v>0.98900099900099891</v>
      </c>
    </row>
    <row r="244" spans="13:24" x14ac:dyDescent="0.25">
      <c r="M244" s="91">
        <v>2.41</v>
      </c>
      <c r="N244" s="89">
        <f t="shared" si="27"/>
        <v>11.59</v>
      </c>
      <c r="O244" s="89">
        <f t="shared" si="28"/>
        <v>4.0004441832738422</v>
      </c>
      <c r="P244" s="97">
        <f t="shared" si="29"/>
        <v>6.9904441832738424</v>
      </c>
      <c r="Q244" s="135">
        <f t="shared" si="32"/>
        <v>9.9897775306584174E-5</v>
      </c>
      <c r="R244" s="89">
        <f t="shared" si="32"/>
        <v>1.0222469341566496E-7</v>
      </c>
      <c r="S244" s="89">
        <f t="shared" si="33"/>
        <v>3.8904514499428023E-3</v>
      </c>
      <c r="T244" s="136">
        <f t="shared" si="33"/>
        <v>2.5703957827688561E-12</v>
      </c>
      <c r="U244" s="137">
        <f t="shared" si="34"/>
        <v>0.99897775306584335</v>
      </c>
      <c r="V244" s="88">
        <f t="shared" si="30"/>
        <v>4.5804441832738423</v>
      </c>
      <c r="W244" s="86">
        <f t="shared" si="35"/>
        <v>7.5895558167261576</v>
      </c>
      <c r="X244" s="90">
        <f t="shared" si="31"/>
        <v>0.98897775306584335</v>
      </c>
    </row>
    <row r="245" spans="13:24" x14ac:dyDescent="0.25">
      <c r="M245" s="91">
        <v>2.42</v>
      </c>
      <c r="N245" s="89">
        <f t="shared" si="27"/>
        <v>11.58</v>
      </c>
      <c r="O245" s="89">
        <f t="shared" si="28"/>
        <v>4.0004545242191289</v>
      </c>
      <c r="P245" s="97">
        <f t="shared" si="29"/>
        <v>6.9804545242191294</v>
      </c>
      <c r="Q245" s="135">
        <f t="shared" si="32"/>
        <v>9.9895396678319117E-5</v>
      </c>
      <c r="R245" s="89">
        <f t="shared" si="32"/>
        <v>1.0460332168073676E-7</v>
      </c>
      <c r="S245" s="89">
        <f t="shared" si="33"/>
        <v>3.8018939632056123E-3</v>
      </c>
      <c r="T245" s="136">
        <f t="shared" si="33"/>
        <v>2.6302679918953739E-12</v>
      </c>
      <c r="U245" s="137">
        <f t="shared" si="34"/>
        <v>0.99895396678319259</v>
      </c>
      <c r="V245" s="88">
        <f t="shared" si="30"/>
        <v>4.5604545242191294</v>
      </c>
      <c r="W245" s="86">
        <f t="shared" si="35"/>
        <v>7.5795454757808711</v>
      </c>
      <c r="X245" s="90">
        <f t="shared" si="31"/>
        <v>0.98895396678319258</v>
      </c>
    </row>
    <row r="246" spans="13:24" x14ac:dyDescent="0.25">
      <c r="M246" s="91">
        <v>2.4300000000000002</v>
      </c>
      <c r="N246" s="89">
        <f t="shared" si="27"/>
        <v>11.57</v>
      </c>
      <c r="O246" s="89">
        <f t="shared" si="28"/>
        <v>4.0004651057810827</v>
      </c>
      <c r="P246" s="97">
        <f t="shared" si="29"/>
        <v>6.9704651057810834</v>
      </c>
      <c r="Q246" s="135">
        <f t="shared" si="32"/>
        <v>9.9892962761943138E-5</v>
      </c>
      <c r="R246" s="89">
        <f t="shared" si="32"/>
        <v>1.070372380568034E-7</v>
      </c>
      <c r="S246" s="89">
        <f t="shared" si="33"/>
        <v>3.7153522909717223E-3</v>
      </c>
      <c r="T246" s="136">
        <f t="shared" si="33"/>
        <v>2.6915348039269074E-12</v>
      </c>
      <c r="U246" s="137">
        <f t="shared" si="34"/>
        <v>0.99892962761943205</v>
      </c>
      <c r="V246" s="88">
        <f t="shared" si="30"/>
        <v>4.5404651057810828</v>
      </c>
      <c r="W246" s="86">
        <f t="shared" si="35"/>
        <v>7.5695348942189176</v>
      </c>
      <c r="X246" s="90">
        <f t="shared" si="31"/>
        <v>0.98892962761943204</v>
      </c>
    </row>
    <row r="247" spans="13:24" x14ac:dyDescent="0.25">
      <c r="M247" s="91">
        <v>2.44</v>
      </c>
      <c r="N247" s="89">
        <f t="shared" si="27"/>
        <v>11.56</v>
      </c>
      <c r="O247" s="89">
        <f t="shared" si="28"/>
        <v>4.0004759335523881</v>
      </c>
      <c r="P247" s="97">
        <f t="shared" si="29"/>
        <v>6.9604759335523889</v>
      </c>
      <c r="Q247" s="135">
        <f t="shared" si="32"/>
        <v>9.9890472275147626E-5</v>
      </c>
      <c r="R247" s="89">
        <f t="shared" si="32"/>
        <v>1.0952772485214448E-7</v>
      </c>
      <c r="S247" s="89">
        <f t="shared" si="33"/>
        <v>3.630780547701011E-3</v>
      </c>
      <c r="T247" s="136">
        <f t="shared" si="33"/>
        <v>2.7542287033381574E-12</v>
      </c>
      <c r="U247" s="137">
        <f t="shared" si="34"/>
        <v>0.99890472275147857</v>
      </c>
      <c r="V247" s="88">
        <f t="shared" si="30"/>
        <v>4.5204759335523885</v>
      </c>
      <c r="W247" s="86">
        <f t="shared" si="35"/>
        <v>7.5595240664476124</v>
      </c>
      <c r="X247" s="90">
        <f t="shared" si="31"/>
        <v>0.98890472275147856</v>
      </c>
    </row>
    <row r="248" spans="13:24" x14ac:dyDescent="0.25">
      <c r="M248" s="91">
        <v>2.4500000000000002</v>
      </c>
      <c r="N248" s="89">
        <f t="shared" si="27"/>
        <v>11.55</v>
      </c>
      <c r="O248" s="89">
        <f t="shared" si="28"/>
        <v>4.0004870132554311</v>
      </c>
      <c r="P248" s="97">
        <f t="shared" si="29"/>
        <v>6.9504870132554313</v>
      </c>
      <c r="Q248" s="135">
        <f t="shared" si="32"/>
        <v>9.9887923906015455E-5</v>
      </c>
      <c r="R248" s="89">
        <f t="shared" si="32"/>
        <v>1.1207609398445957E-7</v>
      </c>
      <c r="S248" s="89">
        <f t="shared" si="33"/>
        <v>3.5481338923357528E-3</v>
      </c>
      <c r="T248" s="136">
        <f t="shared" si="33"/>
        <v>2.8183829312644444E-12</v>
      </c>
      <c r="U248" s="137">
        <f t="shared" si="34"/>
        <v>0.99887923906015541</v>
      </c>
      <c r="V248" s="88">
        <f t="shared" si="30"/>
        <v>4.5004870132554311</v>
      </c>
      <c r="W248" s="86">
        <f t="shared" si="35"/>
        <v>7.5495129867445696</v>
      </c>
      <c r="X248" s="90">
        <f t="shared" si="31"/>
        <v>0.9888792390601554</v>
      </c>
    </row>
    <row r="249" spans="13:24" x14ac:dyDescent="0.25">
      <c r="M249" s="91">
        <v>2.46</v>
      </c>
      <c r="N249" s="89">
        <f t="shared" si="27"/>
        <v>11.54</v>
      </c>
      <c r="O249" s="89">
        <f t="shared" si="28"/>
        <v>4.0004983507453016</v>
      </c>
      <c r="P249" s="97">
        <f t="shared" si="29"/>
        <v>6.940498350745302</v>
      </c>
      <c r="Q249" s="135">
        <f t="shared" si="32"/>
        <v>9.9885316312341496E-5</v>
      </c>
      <c r="R249" s="89">
        <f t="shared" si="32"/>
        <v>1.1468368765837651E-7</v>
      </c>
      <c r="S249" s="89">
        <f t="shared" si="33"/>
        <v>3.4673685045253149E-3</v>
      </c>
      <c r="T249" s="136">
        <f t="shared" si="33"/>
        <v>2.884031503126606E-12</v>
      </c>
      <c r="U249" s="137">
        <f t="shared" si="34"/>
        <v>0.99885316312341632</v>
      </c>
      <c r="V249" s="88">
        <f t="shared" si="30"/>
        <v>4.480498350745302</v>
      </c>
      <c r="W249" s="86">
        <f t="shared" si="35"/>
        <v>7.5395016492546976</v>
      </c>
      <c r="X249" s="90">
        <f t="shared" si="31"/>
        <v>0.98885316312341631</v>
      </c>
    </row>
    <row r="250" spans="13:24" x14ac:dyDescent="0.25">
      <c r="M250" s="91">
        <v>2.4700000000000002</v>
      </c>
      <c r="N250" s="89">
        <f t="shared" si="27"/>
        <v>11.53</v>
      </c>
      <c r="O250" s="89">
        <f t="shared" si="28"/>
        <v>4.0005099520128518</v>
      </c>
      <c r="P250" s="97">
        <f t="shared" si="29"/>
        <v>6.9305099520128524</v>
      </c>
      <c r="Q250" s="135">
        <f t="shared" si="32"/>
        <v>9.9882648120941725E-5</v>
      </c>
      <c r="R250" s="89">
        <f t="shared" si="32"/>
        <v>1.1735187905817958E-7</v>
      </c>
      <c r="S250" s="89">
        <f t="shared" si="33"/>
        <v>3.3884415613920213E-3</v>
      </c>
      <c r="T250" s="136">
        <f t="shared" si="33"/>
        <v>2.9512092266663859E-12</v>
      </c>
      <c r="U250" s="137">
        <f t="shared" si="34"/>
        <v>0.99882648120941819</v>
      </c>
      <c r="V250" s="88">
        <f t="shared" si="30"/>
        <v>4.4605099520128526</v>
      </c>
      <c r="W250" s="86">
        <f t="shared" si="35"/>
        <v>7.5294900479871476</v>
      </c>
      <c r="X250" s="90">
        <f t="shared" si="31"/>
        <v>0.98882648120941818</v>
      </c>
    </row>
    <row r="251" spans="13:24" x14ac:dyDescent="0.25">
      <c r="M251" s="91">
        <v>2.48</v>
      </c>
      <c r="N251" s="89">
        <f t="shared" si="27"/>
        <v>11.52</v>
      </c>
      <c r="O251" s="89">
        <f t="shared" si="28"/>
        <v>4.0005218231878308</v>
      </c>
      <c r="P251" s="97">
        <f t="shared" si="29"/>
        <v>6.9205218231878307</v>
      </c>
      <c r="Q251" s="135">
        <f t="shared" si="32"/>
        <v>9.9879917926943776E-5</v>
      </c>
      <c r="R251" s="89">
        <f t="shared" si="32"/>
        <v>1.2008207305607062E-7</v>
      </c>
      <c r="S251" s="89">
        <f t="shared" si="33"/>
        <v>3.3113112148259105E-3</v>
      </c>
      <c r="T251" s="136">
        <f t="shared" si="33"/>
        <v>3.0199517204020161E-12</v>
      </c>
      <c r="U251" s="137">
        <f t="shared" si="34"/>
        <v>0.99879917926943929</v>
      </c>
      <c r="V251" s="88">
        <f t="shared" si="30"/>
        <v>4.4405218231878312</v>
      </c>
      <c r="W251" s="86">
        <f t="shared" si="35"/>
        <v>7.5194781768121688</v>
      </c>
      <c r="X251" s="90">
        <f t="shared" si="31"/>
        <v>0.98879917926943928</v>
      </c>
    </row>
    <row r="252" spans="13:24" x14ac:dyDescent="0.25">
      <c r="M252" s="91">
        <v>2.4900000000000002</v>
      </c>
      <c r="N252" s="89">
        <f t="shared" si="27"/>
        <v>11.51</v>
      </c>
      <c r="O252" s="89">
        <f t="shared" si="28"/>
        <v>4.0005339705420884</v>
      </c>
      <c r="P252" s="97">
        <f t="shared" si="29"/>
        <v>6.9105339705420894</v>
      </c>
      <c r="Q252" s="135">
        <f t="shared" si="32"/>
        <v>9.9877124293063776E-5</v>
      </c>
      <c r="R252" s="89">
        <f t="shared" si="32"/>
        <v>1.228757069363025E-7</v>
      </c>
      <c r="S252" s="89">
        <f t="shared" si="33"/>
        <v>3.2359365692962794E-3</v>
      </c>
      <c r="T252" s="136">
        <f t="shared" si="33"/>
        <v>3.0902954325135792E-12</v>
      </c>
      <c r="U252" s="137">
        <f t="shared" si="34"/>
        <v>0.99877124293063702</v>
      </c>
      <c r="V252" s="88">
        <f t="shared" si="30"/>
        <v>4.4205339705420892</v>
      </c>
      <c r="W252" s="86">
        <f t="shared" si="35"/>
        <v>7.5094660294579114</v>
      </c>
      <c r="X252" s="90">
        <f t="shared" si="31"/>
        <v>0.98877124293063701</v>
      </c>
    </row>
    <row r="253" spans="13:24" x14ac:dyDescent="0.25">
      <c r="M253" s="91">
        <v>2.5</v>
      </c>
      <c r="N253" s="89">
        <f t="shared" si="27"/>
        <v>11.5</v>
      </c>
      <c r="O253" s="89">
        <f t="shared" si="28"/>
        <v>4.0005464004928575</v>
      </c>
      <c r="P253" s="97">
        <f t="shared" si="29"/>
        <v>6.9005464004928578</v>
      </c>
      <c r="Q253" s="135">
        <f t="shared" si="32"/>
        <v>9.9874265748864347E-5</v>
      </c>
      <c r="R253" s="89">
        <f t="shared" si="32"/>
        <v>1.2573425113552905E-7</v>
      </c>
      <c r="S253" s="89">
        <f t="shared" si="33"/>
        <v>3.1622776601683764E-3</v>
      </c>
      <c r="T253" s="136">
        <f t="shared" si="33"/>
        <v>3.1622776601683669E-12</v>
      </c>
      <c r="U253" s="137">
        <f t="shared" si="34"/>
        <v>0.99874265748864466</v>
      </c>
      <c r="V253" s="88">
        <f t="shared" si="30"/>
        <v>4.4005464004928578</v>
      </c>
      <c r="W253" s="86">
        <f t="shared" si="35"/>
        <v>7.4994535995071425</v>
      </c>
      <c r="X253" s="90">
        <f t="shared" si="31"/>
        <v>0.98874265748864465</v>
      </c>
    </row>
    <row r="254" spans="13:24" x14ac:dyDescent="0.25">
      <c r="M254" s="91">
        <v>2.5099999999999998</v>
      </c>
      <c r="N254" s="89">
        <f t="shared" si="27"/>
        <v>11.49</v>
      </c>
      <c r="O254" s="89">
        <f t="shared" si="28"/>
        <v>4.0005591196060992</v>
      </c>
      <c r="P254" s="97">
        <f t="shared" si="29"/>
        <v>6.8905591196061007</v>
      </c>
      <c r="Q254" s="135">
        <f t="shared" si="32"/>
        <v>9.9871340790000365E-5</v>
      </c>
      <c r="R254" s="89">
        <f t="shared" si="32"/>
        <v>1.2865920999970961E-7</v>
      </c>
      <c r="S254" s="89">
        <f t="shared" si="33"/>
        <v>3.0902954325135908E-3</v>
      </c>
      <c r="T254" s="136">
        <f t="shared" si="33"/>
        <v>3.2359365692962695E-12</v>
      </c>
      <c r="U254" s="137">
        <f t="shared" si="34"/>
        <v>0.99871340790000296</v>
      </c>
      <c r="V254" s="88">
        <f t="shared" si="30"/>
        <v>4.3805591196061009</v>
      </c>
      <c r="W254" s="86">
        <f t="shared" si="35"/>
        <v>7.489440880393901</v>
      </c>
      <c r="X254" s="90">
        <f t="shared" si="31"/>
        <v>0.98871340790000295</v>
      </c>
    </row>
    <row r="255" spans="13:24" x14ac:dyDescent="0.25">
      <c r="M255" s="91">
        <v>2.52</v>
      </c>
      <c r="N255" s="89">
        <f t="shared" si="27"/>
        <v>11.48</v>
      </c>
      <c r="O255" s="89">
        <f t="shared" si="28"/>
        <v>4.000572134599941</v>
      </c>
      <c r="P255" s="97">
        <f t="shared" si="29"/>
        <v>6.8805721345999418</v>
      </c>
      <c r="Q255" s="135">
        <f t="shared" si="32"/>
        <v>9.986834787744209E-5</v>
      </c>
      <c r="R255" s="89">
        <f t="shared" si="32"/>
        <v>1.3165212255793312E-7</v>
      </c>
      <c r="S255" s="89">
        <f t="shared" si="33"/>
        <v>3.0199517204020135E-3</v>
      </c>
      <c r="T255" s="136">
        <f t="shared" si="33"/>
        <v>3.3113112148258976E-12</v>
      </c>
      <c r="U255" s="137">
        <f t="shared" si="34"/>
        <v>0.99868347877442076</v>
      </c>
      <c r="V255" s="88">
        <f t="shared" si="30"/>
        <v>4.3605721345999413</v>
      </c>
      <c r="W255" s="86">
        <f t="shared" si="35"/>
        <v>7.4794278654000594</v>
      </c>
      <c r="X255" s="90">
        <f t="shared" si="31"/>
        <v>0.98868347877442075</v>
      </c>
    </row>
    <row r="256" spans="13:24" x14ac:dyDescent="0.25">
      <c r="M256" s="91">
        <v>2.5299999999999998</v>
      </c>
      <c r="N256" s="89">
        <f t="shared" si="27"/>
        <v>11.47</v>
      </c>
      <c r="O256" s="89">
        <f t="shared" si="28"/>
        <v>4.0005854523481776</v>
      </c>
      <c r="P256" s="97">
        <f t="shared" si="29"/>
        <v>6.8705854523481786</v>
      </c>
      <c r="Q256" s="135">
        <f t="shared" si="32"/>
        <v>9.9865285436686379E-5</v>
      </c>
      <c r="R256" s="89">
        <f t="shared" si="32"/>
        <v>1.3471456331351035E-7</v>
      </c>
      <c r="S256" s="89">
        <f t="shared" si="33"/>
        <v>2.9512092266663864E-3</v>
      </c>
      <c r="T256" s="136">
        <f t="shared" si="33"/>
        <v>3.3884415613920115E-12</v>
      </c>
      <c r="U256" s="137">
        <f t="shared" si="34"/>
        <v>0.99865285436686491</v>
      </c>
      <c r="V256" s="88">
        <f t="shared" si="30"/>
        <v>4.3405854523481793</v>
      </c>
      <c r="W256" s="86">
        <f t="shared" si="35"/>
        <v>7.469414547651823</v>
      </c>
      <c r="X256" s="90">
        <f t="shared" si="31"/>
        <v>0.9886528543668649</v>
      </c>
    </row>
    <row r="257" spans="13:24" x14ac:dyDescent="0.25">
      <c r="M257" s="91">
        <v>2.54</v>
      </c>
      <c r="N257" s="89">
        <f t="shared" si="27"/>
        <v>11.46</v>
      </c>
      <c r="O257" s="89">
        <f t="shared" si="28"/>
        <v>4.0005990798838624</v>
      </c>
      <c r="P257" s="97">
        <f t="shared" si="29"/>
        <v>6.8605990798838627</v>
      </c>
      <c r="Q257" s="135">
        <f t="shared" si="32"/>
        <v>9.986215185694717E-5</v>
      </c>
      <c r="R257" s="89">
        <f t="shared" si="32"/>
        <v>1.3784814305271324E-7</v>
      </c>
      <c r="S257" s="89">
        <f t="shared" si="33"/>
        <v>2.8840315031266042E-3</v>
      </c>
      <c r="T257" s="136">
        <f t="shared" si="33"/>
        <v>3.4673685045253019E-12</v>
      </c>
      <c r="U257" s="137">
        <f t="shared" si="34"/>
        <v>0.9986215185694729</v>
      </c>
      <c r="V257" s="88">
        <f t="shared" si="30"/>
        <v>4.3205990798838627</v>
      </c>
      <c r="W257" s="86">
        <f t="shared" si="35"/>
        <v>7.4594009201161384</v>
      </c>
      <c r="X257" s="90">
        <f t="shared" si="31"/>
        <v>0.98862151856947289</v>
      </c>
    </row>
    <row r="258" spans="13:24" x14ac:dyDescent="0.25">
      <c r="M258" s="91">
        <v>2.5499999999999998</v>
      </c>
      <c r="N258" s="89">
        <f t="shared" si="27"/>
        <v>11.45</v>
      </c>
      <c r="O258" s="89">
        <f t="shared" si="28"/>
        <v>4.0006130244029752</v>
      </c>
      <c r="P258" s="97">
        <f t="shared" si="29"/>
        <v>6.8506130244029757</v>
      </c>
      <c r="Q258" s="135">
        <f t="shared" si="32"/>
        <v>9.9858945490328301E-5</v>
      </c>
      <c r="R258" s="89">
        <f t="shared" si="32"/>
        <v>1.4105450967152561E-7</v>
      </c>
      <c r="S258" s="89">
        <f t="shared" si="33"/>
        <v>2.8183829312644522E-3</v>
      </c>
      <c r="T258" s="136">
        <f t="shared" si="33"/>
        <v>3.5481338923357515E-12</v>
      </c>
      <c r="U258" s="137">
        <f t="shared" si="34"/>
        <v>0.99858945490328477</v>
      </c>
      <c r="V258" s="88">
        <f t="shared" si="30"/>
        <v>4.3006130244029759</v>
      </c>
      <c r="W258" s="86">
        <f t="shared" si="35"/>
        <v>7.4493869755970241</v>
      </c>
      <c r="X258" s="90">
        <f t="shared" si="31"/>
        <v>0.98858945490328476</v>
      </c>
    </row>
    <row r="259" spans="13:24" x14ac:dyDescent="0.25">
      <c r="M259" s="91">
        <v>2.56</v>
      </c>
      <c r="N259" s="89">
        <f t="shared" ref="N259:N322" si="36">14-M259</f>
        <v>11.44</v>
      </c>
      <c r="O259" s="89">
        <f t="shared" ref="O259:O322" si="37">-LOG(10^-$B$3/(1+10^(M259-$A$3)))</f>
        <v>4.0006272932681775</v>
      </c>
      <c r="P259" s="97">
        <f t="shared" ref="P259:P322" si="38">-LOG(10^-$B$3/(1+10^($A$3-M259)))</f>
        <v>6.8406272932681782</v>
      </c>
      <c r="Q259" s="135">
        <f t="shared" si="32"/>
        <v>9.985566465097915E-5</v>
      </c>
      <c r="R259" s="89">
        <f t="shared" si="32"/>
        <v>1.4433534902079309E-7</v>
      </c>
      <c r="S259" s="89">
        <f t="shared" si="33"/>
        <v>2.7542287033381651E-3</v>
      </c>
      <c r="T259" s="136">
        <f t="shared" si="33"/>
        <v>3.6307805477010101E-12</v>
      </c>
      <c r="U259" s="137">
        <f t="shared" si="34"/>
        <v>0.99855664650979215</v>
      </c>
      <c r="V259" s="88">
        <f t="shared" ref="V259:V322" si="39">ABS(P259-M259)</f>
        <v>4.2806272932681786</v>
      </c>
      <c r="W259" s="86">
        <f t="shared" si="35"/>
        <v>7.439372706731822</v>
      </c>
      <c r="X259" s="90">
        <f t="shared" ref="X259:X322" si="40">ABS($J$2-U259)</f>
        <v>0.98855664650979214</v>
      </c>
    </row>
    <row r="260" spans="13:24" x14ac:dyDescent="0.25">
      <c r="M260" s="91">
        <v>2.57</v>
      </c>
      <c r="N260" s="89">
        <f t="shared" si="36"/>
        <v>11.43</v>
      </c>
      <c r="O260" s="89">
        <f t="shared" si="37"/>
        <v>4.0006418940126487</v>
      </c>
      <c r="P260" s="97">
        <f t="shared" si="38"/>
        <v>6.8306418940126488</v>
      </c>
      <c r="Q260" s="135">
        <f t="shared" ref="Q260:R323" si="41">10^-O260</f>
        <v>9.9852307614229721E-5</v>
      </c>
      <c r="R260" s="89">
        <f t="shared" si="41"/>
        <v>1.4769238577015914E-7</v>
      </c>
      <c r="S260" s="89">
        <f t="shared" ref="S260:T323" si="42">10^-M260</f>
        <v>2.6915348039269148E-3</v>
      </c>
      <c r="T260" s="136">
        <f t="shared" si="42"/>
        <v>3.7153522909717219E-12</v>
      </c>
      <c r="U260" s="137">
        <f t="shared" ref="U260:U323" si="43">Q260/(Q260+R260)</f>
        <v>0.9985230761422984</v>
      </c>
      <c r="V260" s="88">
        <f t="shared" si="39"/>
        <v>4.2606418940126485</v>
      </c>
      <c r="W260" s="86">
        <f t="shared" ref="W260:W323" si="44">ABS(O260-N260)</f>
        <v>7.429358105987351</v>
      </c>
      <c r="X260" s="90">
        <f t="shared" si="40"/>
        <v>0.9885230761422984</v>
      </c>
    </row>
    <row r="261" spans="13:24" x14ac:dyDescent="0.25">
      <c r="M261" s="91">
        <v>2.58</v>
      </c>
      <c r="N261" s="89">
        <f t="shared" si="36"/>
        <v>11.42</v>
      </c>
      <c r="O261" s="89">
        <f t="shared" si="37"/>
        <v>4.0006568343440119</v>
      </c>
      <c r="P261" s="97">
        <f t="shared" si="38"/>
        <v>6.820656834344013</v>
      </c>
      <c r="Q261" s="135">
        <f t="shared" si="41"/>
        <v>9.984887261570876E-5</v>
      </c>
      <c r="R261" s="89">
        <f t="shared" si="41"/>
        <v>1.5112738429117958E-7</v>
      </c>
      <c r="S261" s="89">
        <f t="shared" si="42"/>
        <v>2.6302679918953791E-3</v>
      </c>
      <c r="T261" s="136">
        <f t="shared" si="42"/>
        <v>3.8018939632056084E-12</v>
      </c>
      <c r="U261" s="137">
        <f t="shared" si="43"/>
        <v>0.99848872615708828</v>
      </c>
      <c r="V261" s="88">
        <f t="shared" si="39"/>
        <v>4.240656834344013</v>
      </c>
      <c r="W261" s="86">
        <f t="shared" si="44"/>
        <v>7.4193431656559881</v>
      </c>
      <c r="X261" s="90">
        <f t="shared" si="40"/>
        <v>0.98848872615708827</v>
      </c>
    </row>
    <row r="262" spans="13:24" x14ac:dyDescent="0.25">
      <c r="M262" s="91">
        <v>2.59</v>
      </c>
      <c r="N262" s="89">
        <f t="shared" si="36"/>
        <v>11.41</v>
      </c>
      <c r="O262" s="89">
        <f t="shared" si="37"/>
        <v>4.0006721221483525</v>
      </c>
      <c r="P262" s="97">
        <f t="shared" si="38"/>
        <v>6.810672122148353</v>
      </c>
      <c r="Q262" s="135">
        <f t="shared" si="41"/>
        <v>9.9845357850439863E-5</v>
      </c>
      <c r="R262" s="89">
        <f t="shared" si="41"/>
        <v>1.5464214956002481E-7</v>
      </c>
      <c r="S262" s="89">
        <f t="shared" si="42"/>
        <v>2.5703957827688637E-3</v>
      </c>
      <c r="T262" s="136">
        <f t="shared" si="42"/>
        <v>3.890451449942802E-12</v>
      </c>
      <c r="U262" s="137">
        <f t="shared" si="43"/>
        <v>0.99845357850439975</v>
      </c>
      <c r="V262" s="88">
        <f t="shared" si="39"/>
        <v>4.2206721221483532</v>
      </c>
      <c r="W262" s="86">
        <f t="shared" si="44"/>
        <v>7.4093278778516476</v>
      </c>
      <c r="X262" s="90">
        <f t="shared" si="40"/>
        <v>0.98845357850439974</v>
      </c>
    </row>
    <row r="263" spans="13:24" x14ac:dyDescent="0.25">
      <c r="M263" s="91">
        <v>2.6</v>
      </c>
      <c r="N263" s="89">
        <f t="shared" si="36"/>
        <v>11.4</v>
      </c>
      <c r="O263" s="89">
        <f t="shared" si="37"/>
        <v>4.0006877654943187</v>
      </c>
      <c r="P263" s="97">
        <f t="shared" si="38"/>
        <v>6.8006877654943194</v>
      </c>
      <c r="Q263" s="135">
        <f t="shared" si="41"/>
        <v>9.9841761471919762E-5</v>
      </c>
      <c r="R263" s="89">
        <f t="shared" si="41"/>
        <v>1.5823852808017164E-7</v>
      </c>
      <c r="S263" s="89">
        <f t="shared" si="42"/>
        <v>2.5118864315095777E-3</v>
      </c>
      <c r="T263" s="136">
        <f t="shared" si="42"/>
        <v>3.9810717055349533E-12</v>
      </c>
      <c r="U263" s="137">
        <f t="shared" si="43"/>
        <v>0.99841761471919821</v>
      </c>
      <c r="V263" s="88">
        <f t="shared" si="39"/>
        <v>4.2006877654943189</v>
      </c>
      <c r="W263" s="86">
        <f t="shared" si="44"/>
        <v>7.3993122345056817</v>
      </c>
      <c r="X263" s="90">
        <f t="shared" si="40"/>
        <v>0.9884176147191982</v>
      </c>
    </row>
    <row r="264" spans="13:24" x14ac:dyDescent="0.25">
      <c r="M264" s="91">
        <v>2.61</v>
      </c>
      <c r="N264" s="89">
        <f t="shared" si="36"/>
        <v>11.39</v>
      </c>
      <c r="O264" s="89">
        <f t="shared" si="37"/>
        <v>4.0007037726373271</v>
      </c>
      <c r="P264" s="97">
        <f t="shared" si="38"/>
        <v>6.7907037726373281</v>
      </c>
      <c r="Q264" s="135">
        <f t="shared" si="41"/>
        <v>9.983808159117452E-5</v>
      </c>
      <c r="R264" s="89">
        <f t="shared" si="41"/>
        <v>1.6191840882551096E-7</v>
      </c>
      <c r="S264" s="89">
        <f t="shared" si="42"/>
        <v>2.4547089156850303E-3</v>
      </c>
      <c r="T264" s="136">
        <f t="shared" si="42"/>
        <v>4.0738027780411076E-12</v>
      </c>
      <c r="U264" s="137">
        <f t="shared" si="43"/>
        <v>0.99838081591174488</v>
      </c>
      <c r="V264" s="88">
        <f t="shared" si="39"/>
        <v>4.1807037726373277</v>
      </c>
      <c r="W264" s="86">
        <f t="shared" si="44"/>
        <v>7.3892962273626734</v>
      </c>
      <c r="X264" s="90">
        <f t="shared" si="40"/>
        <v>0.98838081591174487</v>
      </c>
    </row>
    <row r="265" spans="13:24" x14ac:dyDescent="0.25">
      <c r="M265" s="91">
        <v>2.62</v>
      </c>
      <c r="N265" s="89">
        <f t="shared" si="36"/>
        <v>11.379999999999999</v>
      </c>
      <c r="O265" s="89">
        <f t="shared" si="37"/>
        <v>4.0007201520238551</v>
      </c>
      <c r="P265" s="97">
        <f t="shared" si="38"/>
        <v>6.7807201520238563</v>
      </c>
      <c r="Q265" s="135">
        <f t="shared" si="41"/>
        <v>9.9834316275795653E-5</v>
      </c>
      <c r="R265" s="89">
        <f t="shared" si="41"/>
        <v>1.6568372420429074E-7</v>
      </c>
      <c r="S265" s="89">
        <f t="shared" si="42"/>
        <v>2.3988329190194886E-3</v>
      </c>
      <c r="T265" s="136">
        <f t="shared" si="42"/>
        <v>4.1686938347033479E-12</v>
      </c>
      <c r="U265" s="137">
        <f t="shared" si="43"/>
        <v>0.99834316275795698</v>
      </c>
      <c r="V265" s="88">
        <f t="shared" si="39"/>
        <v>4.1607201520238561</v>
      </c>
      <c r="W265" s="86">
        <f t="shared" si="44"/>
        <v>7.3792798479761439</v>
      </c>
      <c r="X265" s="90">
        <f t="shared" si="40"/>
        <v>0.98834316275795697</v>
      </c>
    </row>
    <row r="266" spans="13:24" x14ac:dyDescent="0.25">
      <c r="M266" s="91">
        <v>2.63</v>
      </c>
      <c r="N266" s="89">
        <f t="shared" si="36"/>
        <v>11.370000000000001</v>
      </c>
      <c r="O266" s="89">
        <f t="shared" si="37"/>
        <v>4.0007369122958334</v>
      </c>
      <c r="P266" s="97">
        <f t="shared" si="38"/>
        <v>6.7707369122958339</v>
      </c>
      <c r="Q266" s="135">
        <f t="shared" si="41"/>
        <v>9.9830463548955593E-5</v>
      </c>
      <c r="R266" s="89">
        <f t="shared" si="41"/>
        <v>1.6953645104432705E-7</v>
      </c>
      <c r="S266" s="89">
        <f t="shared" si="42"/>
        <v>2.3442288153199204E-3</v>
      </c>
      <c r="T266" s="136">
        <f t="shared" si="42"/>
        <v>4.2657951880159045E-12</v>
      </c>
      <c r="U266" s="137">
        <f t="shared" si="43"/>
        <v>0.99830463548955672</v>
      </c>
      <c r="V266" s="88">
        <f t="shared" si="39"/>
        <v>4.140736912295834</v>
      </c>
      <c r="W266" s="86">
        <f t="shared" si="44"/>
        <v>7.3692630877041676</v>
      </c>
      <c r="X266" s="90">
        <f t="shared" si="40"/>
        <v>0.98830463548955672</v>
      </c>
    </row>
    <row r="267" spans="13:24" x14ac:dyDescent="0.25">
      <c r="M267" s="91">
        <v>2.64</v>
      </c>
      <c r="N267" s="89">
        <f t="shared" si="36"/>
        <v>11.36</v>
      </c>
      <c r="O267" s="89">
        <f t="shared" si="37"/>
        <v>4.0007540622951367</v>
      </c>
      <c r="P267" s="97">
        <f t="shared" si="38"/>
        <v>6.7607540622951374</v>
      </c>
      <c r="Q267" s="135">
        <f t="shared" si="41"/>
        <v>9.9826521388400014E-5</v>
      </c>
      <c r="R267" s="89">
        <f t="shared" si="41"/>
        <v>1.7347861159992846E-7</v>
      </c>
      <c r="S267" s="89">
        <f t="shared" si="42"/>
        <v>2.2908676527677715E-3</v>
      </c>
      <c r="T267" s="136">
        <f t="shared" si="42"/>
        <v>4.3651583224016522E-12</v>
      </c>
      <c r="U267" s="137">
        <f t="shared" si="43"/>
        <v>0.9982652138840008</v>
      </c>
      <c r="V267" s="88">
        <f t="shared" si="39"/>
        <v>4.1207540622951377</v>
      </c>
      <c r="W267" s="86">
        <f t="shared" si="44"/>
        <v>7.3592459377048627</v>
      </c>
      <c r="X267" s="90">
        <f t="shared" si="40"/>
        <v>0.98826521388400079</v>
      </c>
    </row>
    <row r="268" spans="13:24" x14ac:dyDescent="0.25">
      <c r="M268" s="91">
        <v>2.65</v>
      </c>
      <c r="N268" s="89">
        <f t="shared" si="36"/>
        <v>11.35</v>
      </c>
      <c r="O268" s="89">
        <f t="shared" si="37"/>
        <v>4.0007716110681812</v>
      </c>
      <c r="P268" s="97">
        <f t="shared" si="38"/>
        <v>6.7507716110681821</v>
      </c>
      <c r="Q268" s="135">
        <f t="shared" si="41"/>
        <v>9.9822487725418897E-5</v>
      </c>
      <c r="R268" s="89">
        <f t="shared" si="41"/>
        <v>1.7751227458097516E-7</v>
      </c>
      <c r="S268" s="89">
        <f t="shared" si="42"/>
        <v>2.2387211385683386E-3</v>
      </c>
      <c r="T268" s="136">
        <f t="shared" si="42"/>
        <v>4.4668359215096234E-12</v>
      </c>
      <c r="U268" s="137">
        <f t="shared" si="43"/>
        <v>0.99822487725419029</v>
      </c>
      <c r="V268" s="88">
        <f t="shared" si="39"/>
        <v>4.1007716110681827</v>
      </c>
      <c r="W268" s="86">
        <f t="shared" si="44"/>
        <v>7.3492283889318184</v>
      </c>
      <c r="X268" s="90">
        <f t="shared" si="40"/>
        <v>0.98822487725419028</v>
      </c>
    </row>
    <row r="269" spans="13:24" x14ac:dyDescent="0.25">
      <c r="M269" s="91">
        <v>2.66</v>
      </c>
      <c r="N269" s="89">
        <f t="shared" si="36"/>
        <v>11.34</v>
      </c>
      <c r="O269" s="89">
        <f t="shared" si="37"/>
        <v>4.00078956787062</v>
      </c>
      <c r="P269" s="97">
        <f t="shared" si="38"/>
        <v>6.7407895678706211</v>
      </c>
      <c r="Q269" s="135">
        <f t="shared" si="41"/>
        <v>9.9818360443795334E-5</v>
      </c>
      <c r="R269" s="89">
        <f t="shared" si="41"/>
        <v>1.8163955620461477E-7</v>
      </c>
      <c r="S269" s="89">
        <f t="shared" si="42"/>
        <v>2.1877616239495499E-3</v>
      </c>
      <c r="T269" s="136">
        <f t="shared" si="42"/>
        <v>4.5708818961487419E-12</v>
      </c>
      <c r="U269" s="137">
        <f t="shared" si="43"/>
        <v>0.99818360443795384</v>
      </c>
      <c r="V269" s="88">
        <f t="shared" si="39"/>
        <v>4.080789567870621</v>
      </c>
      <c r="W269" s="86">
        <f t="shared" si="44"/>
        <v>7.3392104321293798</v>
      </c>
      <c r="X269" s="90">
        <f t="shared" si="40"/>
        <v>0.98818360443795383</v>
      </c>
    </row>
    <row r="270" spans="13:24" x14ac:dyDescent="0.25">
      <c r="M270" s="91">
        <v>2.67</v>
      </c>
      <c r="N270" s="89">
        <f t="shared" si="36"/>
        <v>11.33</v>
      </c>
      <c r="O270" s="89">
        <f t="shared" si="37"/>
        <v>4.0008079421721483</v>
      </c>
      <c r="P270" s="97">
        <f t="shared" si="38"/>
        <v>6.7308079421721487</v>
      </c>
      <c r="Q270" s="135">
        <f t="shared" si="41"/>
        <v>9.9814137378729923E-5</v>
      </c>
      <c r="R270" s="89">
        <f t="shared" si="41"/>
        <v>1.8586262127003286E-7</v>
      </c>
      <c r="S270" s="89">
        <f t="shared" si="42"/>
        <v>2.1379620895022318E-3</v>
      </c>
      <c r="T270" s="136">
        <f t="shared" si="42"/>
        <v>4.6773514128719737E-12</v>
      </c>
      <c r="U270" s="137">
        <f t="shared" si="43"/>
        <v>0.99814137378729972</v>
      </c>
      <c r="V270" s="88">
        <f t="shared" si="39"/>
        <v>4.0608079421721488</v>
      </c>
      <c r="W270" s="86">
        <f t="shared" si="44"/>
        <v>7.3291920578278518</v>
      </c>
      <c r="X270" s="90">
        <f t="shared" si="40"/>
        <v>0.98814137378729971</v>
      </c>
    </row>
    <row r="271" spans="13:24" x14ac:dyDescent="0.25">
      <c r="M271" s="91">
        <v>2.68</v>
      </c>
      <c r="N271" s="89">
        <f t="shared" si="36"/>
        <v>11.32</v>
      </c>
      <c r="O271" s="89">
        <f t="shared" si="37"/>
        <v>4.0008267436614151</v>
      </c>
      <c r="P271" s="97">
        <f t="shared" si="38"/>
        <v>6.7208267436614157</v>
      </c>
      <c r="Q271" s="135">
        <f t="shared" si="41"/>
        <v>9.9809816315743076E-5</v>
      </c>
      <c r="R271" s="89">
        <f t="shared" si="41"/>
        <v>1.9018368425677552E-7</v>
      </c>
      <c r="S271" s="89">
        <f t="shared" si="42"/>
        <v>2.0892961308540373E-3</v>
      </c>
      <c r="T271" s="136">
        <f t="shared" si="42"/>
        <v>4.7863009232263738E-12</v>
      </c>
      <c r="U271" s="137">
        <f t="shared" si="43"/>
        <v>0.99809816315743216</v>
      </c>
      <c r="V271" s="88">
        <f t="shared" si="39"/>
        <v>4.040826743661416</v>
      </c>
      <c r="W271" s="86">
        <f t="shared" si="44"/>
        <v>7.3191732563385852</v>
      </c>
      <c r="X271" s="90">
        <f t="shared" si="40"/>
        <v>0.98809816315743215</v>
      </c>
    </row>
    <row r="272" spans="13:24" x14ac:dyDescent="0.25">
      <c r="M272" s="91">
        <v>2.69</v>
      </c>
      <c r="N272" s="89">
        <f t="shared" si="36"/>
        <v>11.31</v>
      </c>
      <c r="O272" s="89">
        <f t="shared" si="37"/>
        <v>4.0008459822510485</v>
      </c>
      <c r="P272" s="97">
        <f t="shared" si="38"/>
        <v>6.7108459822510493</v>
      </c>
      <c r="Q272" s="135">
        <f t="shared" si="41"/>
        <v>9.9805394989552863E-5</v>
      </c>
      <c r="R272" s="89">
        <f t="shared" si="41"/>
        <v>1.9460501044709784E-7</v>
      </c>
      <c r="S272" s="89">
        <f t="shared" si="42"/>
        <v>2.0417379446695293E-3</v>
      </c>
      <c r="T272" s="136">
        <f t="shared" si="42"/>
        <v>4.8977881936844518E-12</v>
      </c>
      <c r="U272" s="137">
        <f t="shared" si="43"/>
        <v>0.99805394989552898</v>
      </c>
      <c r="V272" s="88">
        <f t="shared" si="39"/>
        <v>4.0208459822510498</v>
      </c>
      <c r="W272" s="86">
        <f t="shared" si="44"/>
        <v>7.309154017748952</v>
      </c>
      <c r="X272" s="90">
        <f t="shared" si="40"/>
        <v>0.98805394989552897</v>
      </c>
    </row>
    <row r="273" spans="13:24" x14ac:dyDescent="0.25">
      <c r="M273" s="91">
        <v>2.7</v>
      </c>
      <c r="N273" s="89">
        <f t="shared" si="36"/>
        <v>11.3</v>
      </c>
      <c r="O273" s="89">
        <f t="shared" si="37"/>
        <v>4.0008656680827936</v>
      </c>
      <c r="P273" s="97">
        <f t="shared" si="38"/>
        <v>6.7008656680827938</v>
      </c>
      <c r="Q273" s="135">
        <f t="shared" si="41"/>
        <v>9.980087108292713E-5</v>
      </c>
      <c r="R273" s="89">
        <f t="shared" si="41"/>
        <v>1.9912891707283139E-7</v>
      </c>
      <c r="S273" s="89">
        <f t="shared" si="42"/>
        <v>1.9952623149688781E-3</v>
      </c>
      <c r="T273" s="136">
        <f t="shared" si="42"/>
        <v>5.0118723362726945E-12</v>
      </c>
      <c r="U273" s="137">
        <f t="shared" si="43"/>
        <v>0.99800871082927167</v>
      </c>
      <c r="V273" s="88">
        <f t="shared" si="39"/>
        <v>4.0008656680827936</v>
      </c>
      <c r="W273" s="86">
        <f t="shared" si="44"/>
        <v>7.2991343319172071</v>
      </c>
      <c r="X273" s="90">
        <f t="shared" si="40"/>
        <v>0.98800871082927166</v>
      </c>
    </row>
    <row r="274" spans="13:24" x14ac:dyDescent="0.25">
      <c r="M274" s="91">
        <v>2.71</v>
      </c>
      <c r="N274" s="89">
        <f t="shared" si="36"/>
        <v>11.29</v>
      </c>
      <c r="O274" s="89">
        <f t="shared" si="37"/>
        <v>4.000885811532763</v>
      </c>
      <c r="P274" s="97">
        <f t="shared" si="38"/>
        <v>6.6908858115327634</v>
      </c>
      <c r="Q274" s="135">
        <f t="shared" si="41"/>
        <v>9.9796242225512629E-5</v>
      </c>
      <c r="R274" s="89">
        <f t="shared" si="41"/>
        <v>2.0375777448726009E-7</v>
      </c>
      <c r="S274" s="89">
        <f t="shared" si="42"/>
        <v>1.9498445997580441E-3</v>
      </c>
      <c r="T274" s="136">
        <f t="shared" si="42"/>
        <v>5.128613839913655E-12</v>
      </c>
      <c r="U274" s="137">
        <f t="shared" si="43"/>
        <v>0.99796242225512743</v>
      </c>
      <c r="V274" s="88">
        <f t="shared" si="39"/>
        <v>3.9808858115327634</v>
      </c>
      <c r="W274" s="86">
        <f t="shared" si="44"/>
        <v>7.2891141884672361</v>
      </c>
      <c r="X274" s="90">
        <f t="shared" si="40"/>
        <v>0.98796242225512743</v>
      </c>
    </row>
    <row r="275" spans="13:24" x14ac:dyDescent="0.25">
      <c r="M275" s="91">
        <v>2.72</v>
      </c>
      <c r="N275" s="89">
        <f t="shared" si="36"/>
        <v>11.28</v>
      </c>
      <c r="O275" s="89">
        <f t="shared" si="37"/>
        <v>4.0009064232168114</v>
      </c>
      <c r="P275" s="97">
        <f t="shared" si="38"/>
        <v>6.6809064232168121</v>
      </c>
      <c r="Q275" s="135">
        <f t="shared" si="41"/>
        <v>9.979150599263731E-5</v>
      </c>
      <c r="R275" s="89">
        <f t="shared" si="41"/>
        <v>2.0849400736251458E-7</v>
      </c>
      <c r="S275" s="89">
        <f t="shared" si="42"/>
        <v>1.905460717963246E-3</v>
      </c>
      <c r="T275" s="136">
        <f t="shared" si="42"/>
        <v>5.2480746024977136E-12</v>
      </c>
      <c r="U275" s="137">
        <f t="shared" si="43"/>
        <v>0.99791505992637486</v>
      </c>
      <c r="V275" s="88">
        <f t="shared" si="39"/>
        <v>3.9609064232168119</v>
      </c>
      <c r="W275" s="86">
        <f t="shared" si="44"/>
        <v>7.2790935767831879</v>
      </c>
      <c r="X275" s="90">
        <f t="shared" si="40"/>
        <v>0.98791505992637485</v>
      </c>
    </row>
    <row r="276" spans="13:24" x14ac:dyDescent="0.25">
      <c r="M276" s="91">
        <v>2.73</v>
      </c>
      <c r="N276" s="89">
        <f t="shared" si="36"/>
        <v>11.27</v>
      </c>
      <c r="O276" s="89">
        <f t="shared" si="37"/>
        <v>4.0009275139960279</v>
      </c>
      <c r="P276" s="97">
        <f t="shared" si="38"/>
        <v>6.6709275139960287</v>
      </c>
      <c r="Q276" s="135">
        <f t="shared" si="41"/>
        <v>9.9786659904086856E-5</v>
      </c>
      <c r="R276" s="89">
        <f t="shared" si="41"/>
        <v>2.1334009591298992E-7</v>
      </c>
      <c r="S276" s="89">
        <f t="shared" si="42"/>
        <v>1.8620871366628665E-3</v>
      </c>
      <c r="T276" s="136">
        <f t="shared" si="42"/>
        <v>5.3703179637025143E-12</v>
      </c>
      <c r="U276" s="137">
        <f t="shared" si="43"/>
        <v>0.99786659904087016</v>
      </c>
      <c r="V276" s="88">
        <f t="shared" si="39"/>
        <v>3.9409275139960287</v>
      </c>
      <c r="W276" s="86">
        <f t="shared" si="44"/>
        <v>7.2690724860039717</v>
      </c>
      <c r="X276" s="90">
        <f t="shared" si="40"/>
        <v>0.98786659904087015</v>
      </c>
    </row>
    <row r="277" spans="13:24" x14ac:dyDescent="0.25">
      <c r="M277" s="91">
        <v>2.74</v>
      </c>
      <c r="N277" s="89">
        <f t="shared" si="36"/>
        <v>11.26</v>
      </c>
      <c r="O277" s="89">
        <f t="shared" si="37"/>
        <v>4.0009490949823521</v>
      </c>
      <c r="P277" s="97">
        <f t="shared" si="38"/>
        <v>6.6609490949823522</v>
      </c>
      <c r="Q277" s="135">
        <f t="shared" si="41"/>
        <v>9.9781701422854504E-5</v>
      </c>
      <c r="R277" s="89">
        <f t="shared" si="41"/>
        <v>2.1829857714531368E-7</v>
      </c>
      <c r="S277" s="89">
        <f t="shared" si="42"/>
        <v>1.8197008586099809E-3</v>
      </c>
      <c r="T277" s="136">
        <f t="shared" si="42"/>
        <v>5.4954087385762314E-12</v>
      </c>
      <c r="U277" s="137">
        <f t="shared" si="43"/>
        <v>0.99781701422854685</v>
      </c>
      <c r="V277" s="88">
        <f t="shared" si="39"/>
        <v>3.920949094982352</v>
      </c>
      <c r="W277" s="86">
        <f t="shared" si="44"/>
        <v>7.2590509050176477</v>
      </c>
      <c r="X277" s="90">
        <f t="shared" si="40"/>
        <v>0.98781701422854684</v>
      </c>
    </row>
    <row r="278" spans="13:24" x14ac:dyDescent="0.25">
      <c r="M278" s="91">
        <v>2.75</v>
      </c>
      <c r="N278" s="89">
        <f t="shared" si="36"/>
        <v>11.25</v>
      </c>
      <c r="O278" s="89">
        <f t="shared" si="37"/>
        <v>4.000971177544316</v>
      </c>
      <c r="P278" s="97">
        <f t="shared" si="38"/>
        <v>6.6509711775443172</v>
      </c>
      <c r="Q278" s="135">
        <f t="shared" si="41"/>
        <v>9.9776627953864676E-5</v>
      </c>
      <c r="R278" s="89">
        <f t="shared" si="41"/>
        <v>2.2337204613538446E-7</v>
      </c>
      <c r="S278" s="89">
        <f t="shared" si="42"/>
        <v>1.7782794100389223E-3</v>
      </c>
      <c r="T278" s="136">
        <f t="shared" si="42"/>
        <v>5.6234132519034759E-12</v>
      </c>
      <c r="U278" s="137">
        <f t="shared" si="43"/>
        <v>0.99776627953864616</v>
      </c>
      <c r="V278" s="88">
        <f t="shared" si="39"/>
        <v>3.9009711775443172</v>
      </c>
      <c r="W278" s="86">
        <f t="shared" si="44"/>
        <v>7.249028822455684</v>
      </c>
      <c r="X278" s="90">
        <f t="shared" si="40"/>
        <v>0.98776627953864615</v>
      </c>
    </row>
    <row r="279" spans="13:24" x14ac:dyDescent="0.25">
      <c r="M279" s="91">
        <v>2.76</v>
      </c>
      <c r="N279" s="89">
        <f t="shared" si="36"/>
        <v>11.24</v>
      </c>
      <c r="O279" s="89">
        <f t="shared" si="37"/>
        <v>4.0009937733129188</v>
      </c>
      <c r="P279" s="97">
        <f t="shared" si="38"/>
        <v>6.6409937733129194</v>
      </c>
      <c r="Q279" s="135">
        <f t="shared" si="41"/>
        <v>9.977143684266678E-5</v>
      </c>
      <c r="R279" s="89">
        <f t="shared" si="41"/>
        <v>2.2856315733302783E-7</v>
      </c>
      <c r="S279" s="89">
        <f t="shared" si="42"/>
        <v>1.737800828749375E-3</v>
      </c>
      <c r="T279" s="136">
        <f t="shared" si="42"/>
        <v>5.7543993733715538E-12</v>
      </c>
      <c r="U279" s="137">
        <f t="shared" si="43"/>
        <v>0.99771436842666983</v>
      </c>
      <c r="V279" s="88">
        <f t="shared" si="39"/>
        <v>3.8809937733129196</v>
      </c>
      <c r="W279" s="86">
        <f t="shared" si="44"/>
        <v>7.2390062266870814</v>
      </c>
      <c r="X279" s="90">
        <f t="shared" si="40"/>
        <v>0.98771436842666982</v>
      </c>
    </row>
    <row r="280" spans="13:24" x14ac:dyDescent="0.25">
      <c r="M280" s="91">
        <v>2.77</v>
      </c>
      <c r="N280" s="89">
        <f t="shared" si="36"/>
        <v>11.23</v>
      </c>
      <c r="O280" s="89">
        <f t="shared" si="37"/>
        <v>4.0010168941876261</v>
      </c>
      <c r="P280" s="97">
        <f t="shared" si="38"/>
        <v>6.6310168941876269</v>
      </c>
      <c r="Q280" s="135">
        <f t="shared" si="41"/>
        <v>9.9766125374105188E-5</v>
      </c>
      <c r="R280" s="89">
        <f t="shared" si="41"/>
        <v>2.3387462589479664E-7</v>
      </c>
      <c r="S280" s="89">
        <f t="shared" si="42"/>
        <v>1.6982436524617425E-3</v>
      </c>
      <c r="T280" s="136">
        <f t="shared" si="42"/>
        <v>5.8884365535558725E-12</v>
      </c>
      <c r="U280" s="137">
        <f t="shared" si="43"/>
        <v>0.99766125374105197</v>
      </c>
      <c r="V280" s="88">
        <f t="shared" si="39"/>
        <v>3.8610168941876268</v>
      </c>
      <c r="W280" s="86">
        <f t="shared" si="44"/>
        <v>7.2289831058123744</v>
      </c>
      <c r="X280" s="90">
        <f t="shared" si="40"/>
        <v>0.98766125374105196</v>
      </c>
    </row>
    <row r="281" spans="13:24" x14ac:dyDescent="0.25">
      <c r="M281" s="91">
        <v>2.78</v>
      </c>
      <c r="N281" s="89">
        <f t="shared" si="36"/>
        <v>11.22</v>
      </c>
      <c r="O281" s="89">
        <f t="shared" si="37"/>
        <v>4.0010405523425137</v>
      </c>
      <c r="P281" s="97">
        <f t="shared" si="38"/>
        <v>6.6210405523425138</v>
      </c>
      <c r="Q281" s="135">
        <f t="shared" si="41"/>
        <v>9.9760690770954333E-5</v>
      </c>
      <c r="R281" s="89">
        <f t="shared" si="41"/>
        <v>2.3930922904548916E-7</v>
      </c>
      <c r="S281" s="89">
        <f t="shared" si="42"/>
        <v>1.6595869074375606E-3</v>
      </c>
      <c r="T281" s="136">
        <f t="shared" si="42"/>
        <v>6.0255958607435596E-12</v>
      </c>
      <c r="U281" s="137">
        <f t="shared" si="43"/>
        <v>0.99760690770954508</v>
      </c>
      <c r="V281" s="88">
        <f t="shared" si="39"/>
        <v>3.841040552342514</v>
      </c>
      <c r="W281" s="86">
        <f t="shared" si="44"/>
        <v>7.218959447657487</v>
      </c>
      <c r="X281" s="90">
        <f t="shared" si="40"/>
        <v>0.98760690770954507</v>
      </c>
    </row>
    <row r="282" spans="13:24" x14ac:dyDescent="0.25">
      <c r="M282" s="91">
        <v>2.79</v>
      </c>
      <c r="N282" s="89">
        <f t="shared" si="36"/>
        <v>11.21</v>
      </c>
      <c r="O282" s="89">
        <f t="shared" si="37"/>
        <v>4.0010647602325387</v>
      </c>
      <c r="P282" s="97">
        <f t="shared" si="38"/>
        <v>6.6110647602325399</v>
      </c>
      <c r="Q282" s="135">
        <f t="shared" si="41"/>
        <v>9.9755130192530987E-5</v>
      </c>
      <c r="R282" s="89">
        <f t="shared" si="41"/>
        <v>2.4486980746892589E-7</v>
      </c>
      <c r="S282" s="89">
        <f t="shared" si="42"/>
        <v>1.6218100973589284E-3</v>
      </c>
      <c r="T282" s="136">
        <f t="shared" si="42"/>
        <v>6.1659500186148026E-12</v>
      </c>
      <c r="U282" s="137">
        <f t="shared" si="43"/>
        <v>0.99755130192531072</v>
      </c>
      <c r="V282" s="88">
        <f t="shared" si="39"/>
        <v>3.8210647602325398</v>
      </c>
      <c r="W282" s="86">
        <f t="shared" si="44"/>
        <v>7.2089352397674622</v>
      </c>
      <c r="X282" s="90">
        <f t="shared" si="40"/>
        <v>0.98755130192531071</v>
      </c>
    </row>
    <row r="283" spans="13:24" x14ac:dyDescent="0.25">
      <c r="M283" s="91">
        <v>2.8</v>
      </c>
      <c r="N283" s="89">
        <f t="shared" si="36"/>
        <v>11.2</v>
      </c>
      <c r="O283" s="89">
        <f t="shared" si="37"/>
        <v>4.0010895305999616</v>
      </c>
      <c r="P283" s="97">
        <f t="shared" si="38"/>
        <v>6.6010895305999622</v>
      </c>
      <c r="Q283" s="135">
        <f t="shared" si="41"/>
        <v>9.97494407332713E-5</v>
      </c>
      <c r="R283" s="89">
        <f t="shared" si="41"/>
        <v>2.5055926672857272E-7</v>
      </c>
      <c r="S283" s="89">
        <f t="shared" si="42"/>
        <v>1.5848931924611134E-3</v>
      </c>
      <c r="T283" s="136">
        <f t="shared" si="42"/>
        <v>6.3095734448019345E-12</v>
      </c>
      <c r="U283" s="137">
        <f t="shared" si="43"/>
        <v>0.99749440733271433</v>
      </c>
      <c r="V283" s="88">
        <f t="shared" si="39"/>
        <v>3.8010895305999624</v>
      </c>
      <c r="W283" s="86">
        <f t="shared" si="44"/>
        <v>7.1989104694000376</v>
      </c>
      <c r="X283" s="90">
        <f t="shared" si="40"/>
        <v>0.98749440733271432</v>
      </c>
    </row>
    <row r="284" spans="13:24" x14ac:dyDescent="0.25">
      <c r="M284" s="91">
        <v>2.81</v>
      </c>
      <c r="N284" s="89">
        <f t="shared" si="36"/>
        <v>11.19</v>
      </c>
      <c r="O284" s="89">
        <f t="shared" si="37"/>
        <v>4.0011148764809006</v>
      </c>
      <c r="P284" s="97">
        <f t="shared" si="38"/>
        <v>6.5911148764809004</v>
      </c>
      <c r="Q284" s="135">
        <f t="shared" si="41"/>
        <v>9.9743619421281232E-5</v>
      </c>
      <c r="R284" s="89">
        <f t="shared" si="41"/>
        <v>2.5638057871856378E-7</v>
      </c>
      <c r="S284" s="89">
        <f t="shared" si="42"/>
        <v>1.5488166189124802E-3</v>
      </c>
      <c r="T284" s="136">
        <f t="shared" si="42"/>
        <v>6.4565422903465579E-12</v>
      </c>
      <c r="U284" s="137">
        <f t="shared" si="43"/>
        <v>0.99743619421281426</v>
      </c>
      <c r="V284" s="88">
        <f t="shared" si="39"/>
        <v>3.7811148764809004</v>
      </c>
      <c r="W284" s="86">
        <f t="shared" si="44"/>
        <v>7.1888851235190989</v>
      </c>
      <c r="X284" s="90">
        <f t="shared" si="40"/>
        <v>0.98743619421281426</v>
      </c>
    </row>
    <row r="285" spans="13:24" x14ac:dyDescent="0.25">
      <c r="M285" s="91">
        <v>2.82</v>
      </c>
      <c r="N285" s="89">
        <f t="shared" si="36"/>
        <v>11.18</v>
      </c>
      <c r="O285" s="89">
        <f t="shared" si="37"/>
        <v>4.0011408112120428</v>
      </c>
      <c r="P285" s="97">
        <f t="shared" si="38"/>
        <v>6.5811408112120438</v>
      </c>
      <c r="Q285" s="135">
        <f t="shared" si="41"/>
        <v>9.9737663216854208E-5</v>
      </c>
      <c r="R285" s="89">
        <f t="shared" si="41"/>
        <v>2.6233678314573205E-7</v>
      </c>
      <c r="S285" s="89">
        <f t="shared" si="42"/>
        <v>1.5135612484362072E-3</v>
      </c>
      <c r="T285" s="136">
        <f t="shared" si="42"/>
        <v>6.6069344800759387E-12</v>
      </c>
      <c r="U285" s="137">
        <f t="shared" si="43"/>
        <v>0.99737663216854267</v>
      </c>
      <c r="V285" s="88">
        <f t="shared" si="39"/>
        <v>3.7611408112120439</v>
      </c>
      <c r="W285" s="86">
        <f t="shared" si="44"/>
        <v>7.1788591887879569</v>
      </c>
      <c r="X285" s="90">
        <f t="shared" si="40"/>
        <v>0.98737663216854266</v>
      </c>
    </row>
    <row r="286" spans="13:24" x14ac:dyDescent="0.25">
      <c r="M286" s="91">
        <v>2.83</v>
      </c>
      <c r="N286" s="89">
        <f t="shared" si="36"/>
        <v>11.17</v>
      </c>
      <c r="O286" s="89">
        <f t="shared" si="37"/>
        <v>4.0011673484374999</v>
      </c>
      <c r="P286" s="97">
        <f t="shared" si="38"/>
        <v>6.5711673484375002</v>
      </c>
      <c r="Q286" s="135">
        <f t="shared" si="41"/>
        <v>9.9731569010956609E-5</v>
      </c>
      <c r="R286" s="89">
        <f t="shared" si="41"/>
        <v>2.6843098904322866E-7</v>
      </c>
      <c r="S286" s="89">
        <f t="shared" si="42"/>
        <v>1.4791083881682066E-3</v>
      </c>
      <c r="T286" s="136">
        <f t="shared" si="42"/>
        <v>6.7608297539197943E-12</v>
      </c>
      <c r="U286" s="137">
        <f t="shared" si="43"/>
        <v>0.99731569010956767</v>
      </c>
      <c r="V286" s="88">
        <f t="shared" si="39"/>
        <v>3.7411673484375001</v>
      </c>
      <c r="W286" s="86">
        <f t="shared" si="44"/>
        <v>7.1688326515625</v>
      </c>
      <c r="X286" s="90">
        <f t="shared" si="40"/>
        <v>0.98731569010956766</v>
      </c>
    </row>
    <row r="287" spans="13:24" x14ac:dyDescent="0.25">
      <c r="M287" s="91">
        <v>2.84</v>
      </c>
      <c r="N287" s="89">
        <f t="shared" si="36"/>
        <v>11.16</v>
      </c>
      <c r="O287" s="89">
        <f t="shared" si="37"/>
        <v>4.0011945021158164</v>
      </c>
      <c r="P287" s="97">
        <f t="shared" si="38"/>
        <v>6.5611945021158169</v>
      </c>
      <c r="Q287" s="135">
        <f t="shared" si="41"/>
        <v>9.9725333623683636E-5</v>
      </c>
      <c r="R287" s="89">
        <f t="shared" si="41"/>
        <v>2.7466637631632365E-7</v>
      </c>
      <c r="S287" s="89">
        <f t="shared" si="42"/>
        <v>1.4454397707459271E-3</v>
      </c>
      <c r="T287" s="136">
        <f t="shared" si="42"/>
        <v>6.9183097091893405E-12</v>
      </c>
      <c r="U287" s="137">
        <f t="shared" si="43"/>
        <v>0.99725333623683676</v>
      </c>
      <c r="V287" s="88">
        <f t="shared" si="39"/>
        <v>3.721194502115817</v>
      </c>
      <c r="W287" s="86">
        <f t="shared" si="44"/>
        <v>7.1588054978841837</v>
      </c>
      <c r="X287" s="90">
        <f t="shared" si="40"/>
        <v>0.98725333623683675</v>
      </c>
    </row>
    <row r="288" spans="13:24" x14ac:dyDescent="0.25">
      <c r="M288" s="91">
        <v>2.85</v>
      </c>
      <c r="N288" s="89">
        <f t="shared" si="36"/>
        <v>11.15</v>
      </c>
      <c r="O288" s="89">
        <f t="shared" si="37"/>
        <v>4.0012222865271383</v>
      </c>
      <c r="P288" s="97">
        <f t="shared" si="38"/>
        <v>6.551222286527139</v>
      </c>
      <c r="Q288" s="135">
        <f t="shared" si="41"/>
        <v>9.9718953802678883E-5</v>
      </c>
      <c r="R288" s="89">
        <f t="shared" si="41"/>
        <v>2.8104619732101814E-7</v>
      </c>
      <c r="S288" s="89">
        <f t="shared" si="42"/>
        <v>1.4125375446227527E-3</v>
      </c>
      <c r="T288" s="136">
        <f t="shared" si="42"/>
        <v>7.0794578438413538E-12</v>
      </c>
      <c r="U288" s="137">
        <f t="shared" si="43"/>
        <v>0.99718953802678989</v>
      </c>
      <c r="V288" s="88">
        <f t="shared" si="39"/>
        <v>3.7012222865271389</v>
      </c>
      <c r="W288" s="86">
        <f t="shared" si="44"/>
        <v>7.1487777134728621</v>
      </c>
      <c r="X288" s="90">
        <f t="shared" si="40"/>
        <v>0.98718953802678988</v>
      </c>
    </row>
    <row r="289" spans="13:24" x14ac:dyDescent="0.25">
      <c r="M289" s="91">
        <v>2.86</v>
      </c>
      <c r="N289" s="89">
        <f t="shared" si="36"/>
        <v>11.14</v>
      </c>
      <c r="O289" s="89">
        <f t="shared" si="37"/>
        <v>4.0012507162805351</v>
      </c>
      <c r="P289" s="97">
        <f t="shared" si="38"/>
        <v>6.541250716280536</v>
      </c>
      <c r="Q289" s="135">
        <f t="shared" si="41"/>
        <v>9.9712426221523865E-5</v>
      </c>
      <c r="R289" s="89">
        <f t="shared" si="41"/>
        <v>2.875737784760616E-7</v>
      </c>
      <c r="S289" s="89">
        <f t="shared" si="42"/>
        <v>1.3803842646028844E-3</v>
      </c>
      <c r="T289" s="136">
        <f t="shared" si="42"/>
        <v>7.2443596007498734E-12</v>
      </c>
      <c r="U289" s="137">
        <f t="shared" si="43"/>
        <v>0.99712426221523942</v>
      </c>
      <c r="V289" s="88">
        <f t="shared" si="39"/>
        <v>3.6812507162805361</v>
      </c>
      <c r="W289" s="86">
        <f t="shared" si="44"/>
        <v>7.1387492837194655</v>
      </c>
      <c r="X289" s="90">
        <f t="shared" si="40"/>
        <v>0.98712426221523941</v>
      </c>
    </row>
    <row r="290" spans="13:24" x14ac:dyDescent="0.25">
      <c r="M290" s="91">
        <v>2.87</v>
      </c>
      <c r="N290" s="89">
        <f t="shared" si="36"/>
        <v>11.129999999999999</v>
      </c>
      <c r="O290" s="89">
        <f t="shared" si="37"/>
        <v>4.0012798063214898</v>
      </c>
      <c r="P290" s="97">
        <f t="shared" si="38"/>
        <v>6.5312798063214901</v>
      </c>
      <c r="Q290" s="135">
        <f t="shared" si="41"/>
        <v>9.9705747478091056E-5</v>
      </c>
      <c r="R290" s="89">
        <f t="shared" si="41"/>
        <v>2.9425252190901026E-7</v>
      </c>
      <c r="S290" s="89">
        <f t="shared" si="42"/>
        <v>1.3489628825916523E-3</v>
      </c>
      <c r="T290" s="136">
        <f t="shared" si="42"/>
        <v>7.4131024130091739E-12</v>
      </c>
      <c r="U290" s="137">
        <f t="shared" si="43"/>
        <v>0.99705747478090978</v>
      </c>
      <c r="V290" s="88">
        <f t="shared" si="39"/>
        <v>3.66127980632149</v>
      </c>
      <c r="W290" s="86">
        <f t="shared" si="44"/>
        <v>7.1287201936785092</v>
      </c>
      <c r="X290" s="90">
        <f t="shared" si="40"/>
        <v>0.98705747478090977</v>
      </c>
    </row>
    <row r="291" spans="13:24" x14ac:dyDescent="0.25">
      <c r="M291" s="91">
        <v>2.88</v>
      </c>
      <c r="N291" s="89">
        <f t="shared" si="36"/>
        <v>11.120000000000001</v>
      </c>
      <c r="O291" s="89">
        <f t="shared" si="37"/>
        <v>4.0013095719395553</v>
      </c>
      <c r="P291" s="97">
        <f t="shared" si="38"/>
        <v>6.5213095719395557</v>
      </c>
      <c r="Q291" s="135">
        <f t="shared" si="41"/>
        <v>9.9698914092862987E-5</v>
      </c>
      <c r="R291" s="89">
        <f t="shared" si="41"/>
        <v>3.0108590713695414E-7</v>
      </c>
      <c r="S291" s="89">
        <f t="shared" si="42"/>
        <v>1.3182567385564071E-3</v>
      </c>
      <c r="T291" s="136">
        <f t="shared" si="42"/>
        <v>7.5857757502918081E-12</v>
      </c>
      <c r="U291" s="137">
        <f t="shared" si="43"/>
        <v>0.99698914092863045</v>
      </c>
      <c r="V291" s="88">
        <f t="shared" si="39"/>
        <v>3.6413095719395558</v>
      </c>
      <c r="W291" s="86">
        <f t="shared" si="44"/>
        <v>7.1186904280604457</v>
      </c>
      <c r="X291" s="90">
        <f t="shared" si="40"/>
        <v>0.98698914092863044</v>
      </c>
    </row>
    <row r="292" spans="13:24" x14ac:dyDescent="0.25">
      <c r="M292" s="91">
        <v>2.89</v>
      </c>
      <c r="N292" s="89">
        <f t="shared" si="36"/>
        <v>11.11</v>
      </c>
      <c r="O292" s="89">
        <f t="shared" si="37"/>
        <v>4.0013400287761751</v>
      </c>
      <c r="P292" s="97">
        <f t="shared" si="38"/>
        <v>6.5113400287761749</v>
      </c>
      <c r="Q292" s="135">
        <f t="shared" si="41"/>
        <v>9.9691922507217268E-5</v>
      </c>
      <c r="R292" s="89">
        <f t="shared" si="41"/>
        <v>3.0807749278255256E-7</v>
      </c>
      <c r="S292" s="89">
        <f t="shared" si="42"/>
        <v>1.288249551693133E-3</v>
      </c>
      <c r="T292" s="136">
        <f t="shared" si="42"/>
        <v>7.762471166286914E-12</v>
      </c>
      <c r="U292" s="137">
        <f t="shared" si="43"/>
        <v>0.99691922507217456</v>
      </c>
      <c r="V292" s="88">
        <f t="shared" si="39"/>
        <v>3.6213400287761748</v>
      </c>
      <c r="W292" s="86">
        <f t="shared" si="44"/>
        <v>7.1086599712238243</v>
      </c>
      <c r="X292" s="90">
        <f t="shared" si="40"/>
        <v>0.98691922507217456</v>
      </c>
    </row>
    <row r="293" spans="13:24" x14ac:dyDescent="0.25">
      <c r="M293" s="91">
        <v>2.9</v>
      </c>
      <c r="N293" s="89">
        <f t="shared" si="36"/>
        <v>11.1</v>
      </c>
      <c r="O293" s="89">
        <f t="shared" si="37"/>
        <v>4.0013711928326829</v>
      </c>
      <c r="P293" s="97">
        <f t="shared" si="38"/>
        <v>6.5013711928326838</v>
      </c>
      <c r="Q293" s="135">
        <f t="shared" si="41"/>
        <v>9.9684769081673932E-5</v>
      </c>
      <c r="R293" s="89">
        <f t="shared" si="41"/>
        <v>3.1523091832602022E-7</v>
      </c>
      <c r="S293" s="89">
        <f t="shared" si="42"/>
        <v>1.2589254117941662E-3</v>
      </c>
      <c r="T293" s="136">
        <f t="shared" si="42"/>
        <v>7.9432823472428101E-12</v>
      </c>
      <c r="U293" s="137">
        <f t="shared" si="43"/>
        <v>0.99684769081673985</v>
      </c>
      <c r="V293" s="88">
        <f t="shared" si="39"/>
        <v>3.6013711928326839</v>
      </c>
      <c r="W293" s="86">
        <f t="shared" si="44"/>
        <v>7.0986288071673167</v>
      </c>
      <c r="X293" s="90">
        <f t="shared" si="40"/>
        <v>0.98684769081673984</v>
      </c>
    </row>
    <row r="294" spans="13:24" x14ac:dyDescent="0.25">
      <c r="M294" s="91">
        <v>2.91</v>
      </c>
      <c r="N294" s="89">
        <f t="shared" si="36"/>
        <v>11.09</v>
      </c>
      <c r="O294" s="89">
        <f t="shared" si="37"/>
        <v>4.0014030804784806</v>
      </c>
      <c r="P294" s="97">
        <f t="shared" si="38"/>
        <v>6.4914030804784808</v>
      </c>
      <c r="Q294" s="135">
        <f t="shared" si="41"/>
        <v>9.967745009410622E-5</v>
      </c>
      <c r="R294" s="89">
        <f t="shared" si="41"/>
        <v>3.2254990589372322E-7</v>
      </c>
      <c r="S294" s="89">
        <f t="shared" si="42"/>
        <v>1.2302687708123808E-3</v>
      </c>
      <c r="T294" s="136">
        <f t="shared" si="42"/>
        <v>8.1283051616409864E-12</v>
      </c>
      <c r="U294" s="137">
        <f t="shared" si="43"/>
        <v>0.99677450094106279</v>
      </c>
      <c r="V294" s="88">
        <f t="shared" si="39"/>
        <v>3.5814030804784807</v>
      </c>
      <c r="W294" s="86">
        <f t="shared" si="44"/>
        <v>7.0885969195215193</v>
      </c>
      <c r="X294" s="90">
        <f t="shared" si="40"/>
        <v>0.98677450094106278</v>
      </c>
    </row>
    <row r="295" spans="13:24" x14ac:dyDescent="0.25">
      <c r="M295" s="91">
        <v>2.92</v>
      </c>
      <c r="N295" s="89">
        <f t="shared" si="36"/>
        <v>11.08</v>
      </c>
      <c r="O295" s="89">
        <f t="shared" si="37"/>
        <v>4.001435708459387</v>
      </c>
      <c r="P295" s="97">
        <f t="shared" si="38"/>
        <v>6.4814357084593874</v>
      </c>
      <c r="Q295" s="135">
        <f t="shared" si="41"/>
        <v>9.9669961737915879E-5</v>
      </c>
      <c r="R295" s="89">
        <f t="shared" si="41"/>
        <v>3.3003826208402986E-7</v>
      </c>
      <c r="S295" s="89">
        <f t="shared" si="42"/>
        <v>1.2022644346174124E-3</v>
      </c>
      <c r="T295" s="136">
        <f t="shared" si="42"/>
        <v>8.3176377110266746E-12</v>
      </c>
      <c r="U295" s="137">
        <f t="shared" si="43"/>
        <v>0.99669961737915969</v>
      </c>
      <c r="V295" s="88">
        <f t="shared" si="39"/>
        <v>3.5614357084593875</v>
      </c>
      <c r="W295" s="86">
        <f t="shared" si="44"/>
        <v>7.0785642915406131</v>
      </c>
      <c r="X295" s="90">
        <f t="shared" si="40"/>
        <v>0.98669961737915968</v>
      </c>
    </row>
    <row r="296" spans="13:24" x14ac:dyDescent="0.25">
      <c r="M296" s="91">
        <v>2.93</v>
      </c>
      <c r="N296" s="89">
        <f t="shared" si="36"/>
        <v>11.07</v>
      </c>
      <c r="O296" s="89">
        <f t="shared" si="37"/>
        <v>4.0014690939061843</v>
      </c>
      <c r="P296" s="97">
        <f t="shared" si="38"/>
        <v>6.471469093906185</v>
      </c>
      <c r="Q296" s="135">
        <f t="shared" si="41"/>
        <v>9.9662300120168933E-5</v>
      </c>
      <c r="R296" s="89">
        <f t="shared" si="41"/>
        <v>3.3769987983110481E-7</v>
      </c>
      <c r="S296" s="89">
        <f t="shared" si="42"/>
        <v>1.174897554939528E-3</v>
      </c>
      <c r="T296" s="136">
        <f t="shared" si="42"/>
        <v>8.5113803820237273E-12</v>
      </c>
      <c r="U296" s="137">
        <f t="shared" si="43"/>
        <v>0.99662300120168901</v>
      </c>
      <c r="V296" s="88">
        <f t="shared" si="39"/>
        <v>3.5414690939061848</v>
      </c>
      <c r="W296" s="86">
        <f t="shared" si="44"/>
        <v>7.068530906093816</v>
      </c>
      <c r="X296" s="90">
        <f t="shared" si="40"/>
        <v>0.986623001201689</v>
      </c>
    </row>
    <row r="297" spans="13:24" x14ac:dyDescent="0.25">
      <c r="M297" s="91">
        <v>2.94</v>
      </c>
      <c r="N297" s="89">
        <f t="shared" si="36"/>
        <v>11.06</v>
      </c>
      <c r="O297" s="89">
        <f t="shared" si="37"/>
        <v>4.0015032543433442</v>
      </c>
      <c r="P297" s="97">
        <f t="shared" si="38"/>
        <v>6.4615032543433442</v>
      </c>
      <c r="Q297" s="135">
        <f t="shared" si="41"/>
        <v>9.9654461259692542E-5</v>
      </c>
      <c r="R297" s="89">
        <f t="shared" si="41"/>
        <v>3.4553874030729634E-7</v>
      </c>
      <c r="S297" s="89">
        <f t="shared" si="42"/>
        <v>1.1481536214968825E-3</v>
      </c>
      <c r="T297" s="136">
        <f t="shared" si="42"/>
        <v>8.7096358995607668E-12</v>
      </c>
      <c r="U297" s="137">
        <f t="shared" si="43"/>
        <v>0.99654461259692695</v>
      </c>
      <c r="V297" s="88">
        <f t="shared" si="39"/>
        <v>3.5215032543433442</v>
      </c>
      <c r="W297" s="86">
        <f t="shared" si="44"/>
        <v>7.0584967456566563</v>
      </c>
      <c r="X297" s="90">
        <f t="shared" si="40"/>
        <v>0.98654461259692694</v>
      </c>
    </row>
    <row r="298" spans="13:24" x14ac:dyDescent="0.25">
      <c r="M298" s="91">
        <v>2.95</v>
      </c>
      <c r="N298" s="89">
        <f t="shared" si="36"/>
        <v>11.05</v>
      </c>
      <c r="O298" s="89">
        <f t="shared" si="37"/>
        <v>4.001538207697946</v>
      </c>
      <c r="P298" s="97">
        <f t="shared" si="38"/>
        <v>6.4515382076979462</v>
      </c>
      <c r="Q298" s="135">
        <f t="shared" si="41"/>
        <v>9.9646441085135106E-5</v>
      </c>
      <c r="R298" s="89">
        <f t="shared" si="41"/>
        <v>3.53558914864806E-7</v>
      </c>
      <c r="S298" s="89">
        <f t="shared" si="42"/>
        <v>1.1220184543019622E-3</v>
      </c>
      <c r="T298" s="136">
        <f t="shared" si="42"/>
        <v>8.9125093813374152E-12</v>
      </c>
      <c r="U298" s="137">
        <f t="shared" si="43"/>
        <v>0.99646441085135196</v>
      </c>
      <c r="V298" s="88">
        <f t="shared" si="39"/>
        <v>3.501538207697946</v>
      </c>
      <c r="W298" s="86">
        <f t="shared" si="44"/>
        <v>7.0484617923020547</v>
      </c>
      <c r="X298" s="90">
        <f t="shared" si="40"/>
        <v>0.98646441085135195</v>
      </c>
    </row>
    <row r="299" spans="13:24" x14ac:dyDescent="0.25">
      <c r="M299" s="91">
        <v>2.96</v>
      </c>
      <c r="N299" s="89">
        <f t="shared" si="36"/>
        <v>11.04</v>
      </c>
      <c r="O299" s="89">
        <f t="shared" si="37"/>
        <v>4.0015739723087984</v>
      </c>
      <c r="P299" s="97">
        <f t="shared" si="38"/>
        <v>6.4415739723087997</v>
      </c>
      <c r="Q299" s="135">
        <f t="shared" si="41"/>
        <v>9.9638235432982744E-5</v>
      </c>
      <c r="R299" s="89">
        <f t="shared" si="41"/>
        <v>3.6176456701732635E-7</v>
      </c>
      <c r="S299" s="89">
        <f t="shared" si="42"/>
        <v>1.0964781961431849E-3</v>
      </c>
      <c r="T299" s="136">
        <f t="shared" si="42"/>
        <v>9.1201083935590882E-12</v>
      </c>
      <c r="U299" s="137">
        <f t="shared" si="43"/>
        <v>0.99638235432982669</v>
      </c>
      <c r="V299" s="88">
        <f t="shared" si="39"/>
        <v>3.4815739723087997</v>
      </c>
      <c r="W299" s="86">
        <f t="shared" si="44"/>
        <v>7.0384260276912007</v>
      </c>
      <c r="X299" s="90">
        <f t="shared" si="40"/>
        <v>0.98638235432982668</v>
      </c>
    </row>
    <row r="300" spans="13:24" x14ac:dyDescent="0.25">
      <c r="M300" s="91">
        <v>2.97</v>
      </c>
      <c r="N300" s="89">
        <f t="shared" si="36"/>
        <v>11.03</v>
      </c>
      <c r="O300" s="89">
        <f t="shared" si="37"/>
        <v>4.001610566935752</v>
      </c>
      <c r="P300" s="97">
        <f t="shared" si="38"/>
        <v>6.4316105669357526</v>
      </c>
      <c r="Q300" s="135">
        <f t="shared" si="41"/>
        <v>9.9629840045537679E-5</v>
      </c>
      <c r="R300" s="89">
        <f t="shared" si="41"/>
        <v>3.7015995446233432E-7</v>
      </c>
      <c r="S300" s="89">
        <f t="shared" si="42"/>
        <v>1.0715193052376053E-3</v>
      </c>
      <c r="T300" s="136">
        <f t="shared" si="42"/>
        <v>9.3325430079698992E-12</v>
      </c>
      <c r="U300" s="137">
        <f t="shared" si="43"/>
        <v>0.99629840045537665</v>
      </c>
      <c r="V300" s="88">
        <f t="shared" si="39"/>
        <v>3.4616105669357524</v>
      </c>
      <c r="W300" s="86">
        <f t="shared" si="44"/>
        <v>7.0283894330642473</v>
      </c>
      <c r="X300" s="90">
        <f t="shared" si="40"/>
        <v>0.98629840045537664</v>
      </c>
    </row>
    <row r="301" spans="13:24" x14ac:dyDescent="0.25">
      <c r="M301" s="91">
        <v>2.98</v>
      </c>
      <c r="N301" s="89">
        <f t="shared" si="36"/>
        <v>11.02</v>
      </c>
      <c r="O301" s="89">
        <f t="shared" si="37"/>
        <v>4.0016480107692232</v>
      </c>
      <c r="P301" s="97">
        <f t="shared" si="38"/>
        <v>6.421648010769224</v>
      </c>
      <c r="Q301" s="135">
        <f t="shared" si="41"/>
        <v>9.9621250568855162E-5</v>
      </c>
      <c r="R301" s="89">
        <f t="shared" si="41"/>
        <v>3.7874943114472344E-7</v>
      </c>
      <c r="S301" s="89">
        <f t="shared" si="42"/>
        <v>1.0471285480508988E-3</v>
      </c>
      <c r="T301" s="136">
        <f t="shared" si="42"/>
        <v>9.5499258602143472E-12</v>
      </c>
      <c r="U301" s="137">
        <f t="shared" si="43"/>
        <v>0.9962125056885528</v>
      </c>
      <c r="V301" s="88">
        <f t="shared" si="39"/>
        <v>3.441648010769224</v>
      </c>
      <c r="W301" s="86">
        <f t="shared" si="44"/>
        <v>7.0183519892307764</v>
      </c>
      <c r="X301" s="90">
        <f t="shared" si="40"/>
        <v>0.98621250568855279</v>
      </c>
    </row>
    <row r="302" spans="13:24" x14ac:dyDescent="0.25">
      <c r="M302" s="91">
        <v>2.99</v>
      </c>
      <c r="N302" s="89">
        <f t="shared" si="36"/>
        <v>11.01</v>
      </c>
      <c r="O302" s="89">
        <f t="shared" si="37"/>
        <v>4.0016863234399205</v>
      </c>
      <c r="P302" s="97">
        <f t="shared" si="38"/>
        <v>6.4116863234399215</v>
      </c>
      <c r="Q302" s="135">
        <f t="shared" si="41"/>
        <v>9.9612462550637557E-5</v>
      </c>
      <c r="R302" s="89">
        <f t="shared" si="41"/>
        <v>3.8753744936249992E-7</v>
      </c>
      <c r="S302" s="89">
        <f t="shared" si="42"/>
        <v>1.0232929922807533E-3</v>
      </c>
      <c r="T302" s="136">
        <f t="shared" si="42"/>
        <v>9.7723722095580929E-12</v>
      </c>
      <c r="U302" s="137">
        <f t="shared" si="43"/>
        <v>0.99612462550637493</v>
      </c>
      <c r="V302" s="88">
        <f t="shared" si="39"/>
        <v>3.4216863234399213</v>
      </c>
      <c r="W302" s="86">
        <f t="shared" si="44"/>
        <v>7.0083136765600793</v>
      </c>
      <c r="X302" s="90">
        <f t="shared" si="40"/>
        <v>0.98612462550637492</v>
      </c>
    </row>
    <row r="303" spans="13:24" x14ac:dyDescent="0.25">
      <c r="M303" s="91">
        <v>3</v>
      </c>
      <c r="N303" s="89">
        <f t="shared" si="36"/>
        <v>11</v>
      </c>
      <c r="O303" s="89">
        <f t="shared" si="37"/>
        <v>4.0017255250287924</v>
      </c>
      <c r="P303" s="97">
        <f t="shared" si="38"/>
        <v>6.4017255250287937</v>
      </c>
      <c r="Q303" s="135">
        <f t="shared" si="41"/>
        <v>9.9603471438084793E-5</v>
      </c>
      <c r="R303" s="89">
        <f t="shared" si="41"/>
        <v>3.9652856191521871E-7</v>
      </c>
      <c r="S303" s="89">
        <f t="shared" si="42"/>
        <v>1E-3</v>
      </c>
      <c r="T303" s="136">
        <f t="shared" si="42"/>
        <v>9.9999999999999994E-12</v>
      </c>
      <c r="U303" s="137">
        <f t="shared" si="43"/>
        <v>0.99603471438084779</v>
      </c>
      <c r="V303" s="88">
        <f t="shared" si="39"/>
        <v>3.4017255250287937</v>
      </c>
      <c r="W303" s="86">
        <f t="shared" si="44"/>
        <v>6.9982744749712076</v>
      </c>
      <c r="X303" s="90">
        <f t="shared" si="40"/>
        <v>0.98603471438084778</v>
      </c>
    </row>
    <row r="304" spans="13:24" x14ac:dyDescent="0.25">
      <c r="M304" s="91">
        <v>3.01</v>
      </c>
      <c r="N304" s="89">
        <f t="shared" si="36"/>
        <v>10.99</v>
      </c>
      <c r="O304" s="89">
        <f t="shared" si="37"/>
        <v>4.0017656360771818</v>
      </c>
      <c r="P304" s="97">
        <f t="shared" si="38"/>
        <v>6.3917656360771824</v>
      </c>
      <c r="Q304" s="135">
        <f t="shared" si="41"/>
        <v>9.9594272575704055E-5</v>
      </c>
      <c r="R304" s="89">
        <f t="shared" si="41"/>
        <v>4.0572742429588761E-7</v>
      </c>
      <c r="S304" s="89">
        <f t="shared" si="42"/>
        <v>9.7723722095581023E-4</v>
      </c>
      <c r="T304" s="136">
        <f t="shared" si="42"/>
        <v>1.0232929922807526E-11</v>
      </c>
      <c r="U304" s="137">
        <f t="shared" si="43"/>
        <v>0.99594272575704113</v>
      </c>
      <c r="V304" s="88">
        <f t="shared" si="39"/>
        <v>3.3817656360771826</v>
      </c>
      <c r="W304" s="86">
        <f t="shared" si="44"/>
        <v>6.9882343639228184</v>
      </c>
      <c r="X304" s="90">
        <f t="shared" si="40"/>
        <v>0.98594272575704112</v>
      </c>
    </row>
    <row r="305" spans="13:24" x14ac:dyDescent="0.25">
      <c r="M305" s="91">
        <v>3.02</v>
      </c>
      <c r="N305" s="89">
        <f t="shared" si="36"/>
        <v>10.98</v>
      </c>
      <c r="O305" s="89">
        <f t="shared" si="37"/>
        <v>4.0018066775972079</v>
      </c>
      <c r="P305" s="97">
        <f t="shared" si="38"/>
        <v>6.3818066775972087</v>
      </c>
      <c r="Q305" s="135">
        <f t="shared" si="41"/>
        <v>9.9584861203072845E-5</v>
      </c>
      <c r="R305" s="89">
        <f t="shared" si="41"/>
        <v>4.1513879692703809E-7</v>
      </c>
      <c r="S305" s="89">
        <f t="shared" si="42"/>
        <v>9.5499258602143547E-4</v>
      </c>
      <c r="T305" s="136">
        <f t="shared" si="42"/>
        <v>1.0471285480508978E-11</v>
      </c>
      <c r="U305" s="137">
        <f t="shared" si="43"/>
        <v>0.99584861203072961</v>
      </c>
      <c r="V305" s="88">
        <f t="shared" si="39"/>
        <v>3.3618066775972086</v>
      </c>
      <c r="W305" s="86">
        <f t="shared" si="44"/>
        <v>6.9781933224027926</v>
      </c>
      <c r="X305" s="90">
        <f t="shared" si="40"/>
        <v>0.9858486120307296</v>
      </c>
    </row>
    <row r="306" spans="13:24" x14ac:dyDescent="0.25">
      <c r="M306" s="91">
        <v>3.03</v>
      </c>
      <c r="N306" s="89">
        <f t="shared" si="36"/>
        <v>10.97</v>
      </c>
      <c r="O306" s="89">
        <f t="shared" si="37"/>
        <v>4.0018486710823744</v>
      </c>
      <c r="P306" s="97">
        <f t="shared" si="38"/>
        <v>6.3718486710823754</v>
      </c>
      <c r="Q306" s="135">
        <f t="shared" si="41"/>
        <v>9.9575232452558281E-5</v>
      </c>
      <c r="R306" s="89">
        <f t="shared" si="41"/>
        <v>4.2476754744168947E-7</v>
      </c>
      <c r="S306" s="89">
        <f t="shared" si="42"/>
        <v>9.3325430079699062E-4</v>
      </c>
      <c r="T306" s="136">
        <f t="shared" si="42"/>
        <v>1.0715193052376007E-11</v>
      </c>
      <c r="U306" s="137">
        <f t="shared" si="43"/>
        <v>0.99575232452558304</v>
      </c>
      <c r="V306" s="88">
        <f t="shared" si="39"/>
        <v>3.3418486710823756</v>
      </c>
      <c r="W306" s="86">
        <f t="shared" si="44"/>
        <v>6.9681513289176262</v>
      </c>
      <c r="X306" s="90">
        <f t="shared" si="40"/>
        <v>0.98575232452558303</v>
      </c>
    </row>
    <row r="307" spans="13:24" x14ac:dyDescent="0.25">
      <c r="M307" s="91">
        <v>3.04</v>
      </c>
      <c r="N307" s="89">
        <f t="shared" si="36"/>
        <v>10.96</v>
      </c>
      <c r="O307" s="89">
        <f t="shared" si="37"/>
        <v>4.0018916385184067</v>
      </c>
      <c r="P307" s="97">
        <f t="shared" si="38"/>
        <v>6.3618916385184079</v>
      </c>
      <c r="Q307" s="135">
        <f t="shared" si="41"/>
        <v>9.9565381346990091E-5</v>
      </c>
      <c r="R307" s="89">
        <f t="shared" si="41"/>
        <v>4.3461865300990694E-7</v>
      </c>
      <c r="S307" s="89">
        <f t="shared" si="42"/>
        <v>9.1201083935590866E-4</v>
      </c>
      <c r="T307" s="136">
        <f t="shared" si="42"/>
        <v>1.0964781961431789E-11</v>
      </c>
      <c r="U307" s="137">
        <f t="shared" si="43"/>
        <v>0.99565381346990089</v>
      </c>
      <c r="V307" s="88">
        <f t="shared" si="39"/>
        <v>3.3218916385184079</v>
      </c>
      <c r="W307" s="86">
        <f t="shared" si="44"/>
        <v>6.9581083614815942</v>
      </c>
      <c r="X307" s="90">
        <f t="shared" si="40"/>
        <v>0.98565381346990089</v>
      </c>
    </row>
    <row r="308" spans="13:24" x14ac:dyDescent="0.25">
      <c r="M308" s="91">
        <v>3.05</v>
      </c>
      <c r="N308" s="89">
        <f t="shared" si="36"/>
        <v>10.95</v>
      </c>
      <c r="O308" s="89">
        <f t="shared" si="37"/>
        <v>4.0019356023943207</v>
      </c>
      <c r="P308" s="97">
        <f t="shared" si="38"/>
        <v>6.3519356023943212</v>
      </c>
      <c r="Q308" s="135">
        <f t="shared" si="41"/>
        <v>9.9555302797288306E-5</v>
      </c>
      <c r="R308" s="89">
        <f t="shared" si="41"/>
        <v>4.4469720271169462E-7</v>
      </c>
      <c r="S308" s="89">
        <f t="shared" si="42"/>
        <v>8.9125093813374539E-4</v>
      </c>
      <c r="T308" s="136">
        <f t="shared" si="42"/>
        <v>1.1220184543019613E-11</v>
      </c>
      <c r="U308" s="137">
        <f t="shared" si="43"/>
        <v>0.99555302797288303</v>
      </c>
      <c r="V308" s="88">
        <f t="shared" si="39"/>
        <v>3.3019356023943214</v>
      </c>
      <c r="W308" s="86">
        <f t="shared" si="44"/>
        <v>6.9480643976056786</v>
      </c>
      <c r="X308" s="90">
        <f t="shared" si="40"/>
        <v>0.98555302797288302</v>
      </c>
    </row>
    <row r="309" spans="13:24" x14ac:dyDescent="0.25">
      <c r="M309" s="91">
        <v>3.06</v>
      </c>
      <c r="N309" s="89">
        <f t="shared" si="36"/>
        <v>10.94</v>
      </c>
      <c r="O309" s="89">
        <f t="shared" si="37"/>
        <v>4.0019805857137376</v>
      </c>
      <c r="P309" s="97">
        <f t="shared" si="38"/>
        <v>6.3419805857137383</v>
      </c>
      <c r="Q309" s="135">
        <f t="shared" si="41"/>
        <v>9.9544991600042916E-5</v>
      </c>
      <c r="R309" s="89">
        <f t="shared" si="41"/>
        <v>4.5500839995691521E-7</v>
      </c>
      <c r="S309" s="89">
        <f t="shared" si="42"/>
        <v>8.7096358995607975E-4</v>
      </c>
      <c r="T309" s="136">
        <f t="shared" si="42"/>
        <v>1.1481536214968803E-11</v>
      </c>
      <c r="U309" s="137">
        <f t="shared" si="43"/>
        <v>0.99544991600043087</v>
      </c>
      <c r="V309" s="88">
        <f t="shared" si="39"/>
        <v>3.2819805857137383</v>
      </c>
      <c r="W309" s="86">
        <f t="shared" si="44"/>
        <v>6.9380194142862619</v>
      </c>
      <c r="X309" s="90">
        <f t="shared" si="40"/>
        <v>0.98544991600043086</v>
      </c>
    </row>
    <row r="310" spans="13:24" x14ac:dyDescent="0.25">
      <c r="M310" s="91">
        <v>3.07</v>
      </c>
      <c r="N310" s="89">
        <f t="shared" si="36"/>
        <v>10.93</v>
      </c>
      <c r="O310" s="89">
        <f t="shared" si="37"/>
        <v>4.0020266120064383</v>
      </c>
      <c r="P310" s="97">
        <f t="shared" si="38"/>
        <v>6.3320266120064392</v>
      </c>
      <c r="Q310" s="135">
        <f t="shared" si="41"/>
        <v>9.9534442435046959E-5</v>
      </c>
      <c r="R310" s="89">
        <f t="shared" si="41"/>
        <v>4.6555756495299063E-7</v>
      </c>
      <c r="S310" s="89">
        <f t="shared" si="42"/>
        <v>8.5113803820237646E-4</v>
      </c>
      <c r="T310" s="136">
        <f t="shared" si="42"/>
        <v>1.1748975549395269E-11</v>
      </c>
      <c r="U310" s="137">
        <f t="shared" si="43"/>
        <v>0.9953444243504701</v>
      </c>
      <c r="V310" s="88">
        <f t="shared" si="39"/>
        <v>3.2620266120064394</v>
      </c>
      <c r="W310" s="86">
        <f t="shared" si="44"/>
        <v>6.9279733879935614</v>
      </c>
      <c r="X310" s="90">
        <f t="shared" si="40"/>
        <v>0.98534442435047009</v>
      </c>
    </row>
    <row r="311" spans="13:24" x14ac:dyDescent="0.25">
      <c r="M311" s="91">
        <v>3.08</v>
      </c>
      <c r="N311" s="89">
        <f t="shared" si="36"/>
        <v>10.92</v>
      </c>
      <c r="O311" s="89">
        <f t="shared" si="37"/>
        <v>4.0020737053401687</v>
      </c>
      <c r="P311" s="97">
        <f t="shared" si="38"/>
        <v>6.322073705340169</v>
      </c>
      <c r="Q311" s="135">
        <f t="shared" si="41"/>
        <v>9.95236498627788E-5</v>
      </c>
      <c r="R311" s="89">
        <f t="shared" si="41"/>
        <v>4.7635013722107705E-7</v>
      </c>
      <c r="S311" s="89">
        <f t="shared" si="42"/>
        <v>8.3176377110267033E-4</v>
      </c>
      <c r="T311" s="136">
        <f t="shared" si="42"/>
        <v>1.2022644346174101E-11</v>
      </c>
      <c r="U311" s="137">
        <f t="shared" si="43"/>
        <v>0.99523649862778918</v>
      </c>
      <c r="V311" s="88">
        <f t="shared" si="39"/>
        <v>3.2420737053401689</v>
      </c>
      <c r="W311" s="86">
        <f t="shared" si="44"/>
        <v>6.9179262946598312</v>
      </c>
      <c r="X311" s="90">
        <f t="shared" si="40"/>
        <v>0.98523649862778917</v>
      </c>
    </row>
    <row r="312" spans="13:24" x14ac:dyDescent="0.25">
      <c r="M312" s="91">
        <v>3.09</v>
      </c>
      <c r="N312" s="89">
        <f t="shared" si="36"/>
        <v>10.91</v>
      </c>
      <c r="O312" s="89">
        <f t="shared" si="37"/>
        <v>4.0021218903326998</v>
      </c>
      <c r="P312" s="97">
        <f t="shared" si="38"/>
        <v>6.3121218903327003</v>
      </c>
      <c r="Q312" s="135">
        <f t="shared" si="41"/>
        <v>9.9512608321838437E-5</v>
      </c>
      <c r="R312" s="89">
        <f t="shared" si="41"/>
        <v>4.8739167816144593E-7</v>
      </c>
      <c r="S312" s="89">
        <f t="shared" si="42"/>
        <v>8.1283051616409872E-4</v>
      </c>
      <c r="T312" s="136">
        <f t="shared" si="42"/>
        <v>1.2302687708123787E-11</v>
      </c>
      <c r="U312" s="137">
        <f t="shared" si="43"/>
        <v>0.99512608321838558</v>
      </c>
      <c r="V312" s="88">
        <f t="shared" si="39"/>
        <v>3.2221218903327005</v>
      </c>
      <c r="W312" s="86">
        <f t="shared" si="44"/>
        <v>6.9078781096673003</v>
      </c>
      <c r="X312" s="90">
        <f t="shared" si="40"/>
        <v>0.98512608321838557</v>
      </c>
    </row>
    <row r="313" spans="13:24" x14ac:dyDescent="0.25">
      <c r="M313" s="91">
        <v>3.1</v>
      </c>
      <c r="N313" s="89">
        <f t="shared" si="36"/>
        <v>10.9</v>
      </c>
      <c r="O313" s="89">
        <f t="shared" si="37"/>
        <v>4.0021711921641447</v>
      </c>
      <c r="P313" s="97">
        <f t="shared" si="38"/>
        <v>6.3021711921641455</v>
      </c>
      <c r="Q313" s="135">
        <f t="shared" si="41"/>
        <v>9.9501312126331273E-5</v>
      </c>
      <c r="R313" s="89">
        <f t="shared" si="41"/>
        <v>4.9868787366879587E-7</v>
      </c>
      <c r="S313" s="89">
        <f t="shared" si="42"/>
        <v>7.9432823472428099E-4</v>
      </c>
      <c r="T313" s="136">
        <f t="shared" si="42"/>
        <v>1.2589254117941641E-11</v>
      </c>
      <c r="U313" s="137">
        <f t="shared" si="43"/>
        <v>0.99501312126331198</v>
      </c>
      <c r="V313" s="88">
        <f t="shared" si="39"/>
        <v>3.2021711921641454</v>
      </c>
      <c r="W313" s="86">
        <f t="shared" si="44"/>
        <v>6.8978288078358556</v>
      </c>
      <c r="X313" s="90">
        <f t="shared" si="40"/>
        <v>0.98501312126331197</v>
      </c>
    </row>
    <row r="314" spans="13:24" x14ac:dyDescent="0.25">
      <c r="M314" s="91">
        <v>3.11</v>
      </c>
      <c r="N314" s="89">
        <f t="shared" si="36"/>
        <v>10.89</v>
      </c>
      <c r="O314" s="89">
        <f t="shared" si="37"/>
        <v>4.0022216365895433</v>
      </c>
      <c r="P314" s="97">
        <f t="shared" si="38"/>
        <v>6.2922216365895434</v>
      </c>
      <c r="Q314" s="135">
        <f t="shared" si="41"/>
        <v>9.9489755463201757E-5</v>
      </c>
      <c r="R314" s="89">
        <f t="shared" si="41"/>
        <v>5.1024453679820053E-7</v>
      </c>
      <c r="S314" s="89">
        <f t="shared" si="42"/>
        <v>7.7624711662869128E-4</v>
      </c>
      <c r="T314" s="136">
        <f t="shared" si="42"/>
        <v>1.2882495516931307E-11</v>
      </c>
      <c r="U314" s="137">
        <f t="shared" si="43"/>
        <v>0.9948975546320179</v>
      </c>
      <c r="V314" s="88">
        <f t="shared" si="39"/>
        <v>3.1822216365895435</v>
      </c>
      <c r="W314" s="86">
        <f t="shared" si="44"/>
        <v>6.8877783634104572</v>
      </c>
      <c r="X314" s="90">
        <f t="shared" si="40"/>
        <v>0.98489755463201789</v>
      </c>
    </row>
    <row r="315" spans="13:24" x14ac:dyDescent="0.25">
      <c r="M315" s="91">
        <v>3.12</v>
      </c>
      <c r="N315" s="89">
        <f t="shared" si="36"/>
        <v>10.879999999999999</v>
      </c>
      <c r="O315" s="89">
        <f t="shared" si="37"/>
        <v>4.0022732499517089</v>
      </c>
      <c r="P315" s="97">
        <f t="shared" si="38"/>
        <v>6.28227324995171</v>
      </c>
      <c r="Q315" s="135">
        <f t="shared" si="41"/>
        <v>9.947793238951756E-5</v>
      </c>
      <c r="R315" s="89">
        <f t="shared" si="41"/>
        <v>5.220676104824115E-7</v>
      </c>
      <c r="S315" s="89">
        <f t="shared" si="42"/>
        <v>7.5857757502918277E-4</v>
      </c>
      <c r="T315" s="136">
        <f t="shared" si="42"/>
        <v>1.3182567385564083E-11</v>
      </c>
      <c r="U315" s="137">
        <f t="shared" si="43"/>
        <v>0.99477932389517587</v>
      </c>
      <c r="V315" s="88">
        <f t="shared" si="39"/>
        <v>3.1622732499517099</v>
      </c>
      <c r="W315" s="86">
        <f t="shared" si="44"/>
        <v>6.8777267500482901</v>
      </c>
      <c r="X315" s="90">
        <f t="shared" si="40"/>
        <v>0.98477932389517586</v>
      </c>
    </row>
    <row r="316" spans="13:24" x14ac:dyDescent="0.25">
      <c r="M316" s="91">
        <v>3.13</v>
      </c>
      <c r="N316" s="89">
        <f t="shared" si="36"/>
        <v>10.870000000000001</v>
      </c>
      <c r="O316" s="89">
        <f t="shared" si="37"/>
        <v>4.0023260591943606</v>
      </c>
      <c r="P316" s="97">
        <f t="shared" si="38"/>
        <v>6.272326059194361</v>
      </c>
      <c r="Q316" s="135">
        <f t="shared" si="41"/>
        <v>9.9465836829698673E-5</v>
      </c>
      <c r="R316" s="89">
        <f t="shared" si="41"/>
        <v>5.3416317030123459E-7</v>
      </c>
      <c r="S316" s="89">
        <f t="shared" si="42"/>
        <v>7.4131024130091731E-4</v>
      </c>
      <c r="T316" s="136">
        <f t="shared" si="42"/>
        <v>1.348962882591645E-11</v>
      </c>
      <c r="U316" s="137">
        <f t="shared" si="43"/>
        <v>0.99465836829698762</v>
      </c>
      <c r="V316" s="88">
        <f t="shared" si="39"/>
        <v>3.1423260591943611</v>
      </c>
      <c r="W316" s="86">
        <f t="shared" si="44"/>
        <v>6.8676739408056404</v>
      </c>
      <c r="X316" s="90">
        <f t="shared" si="40"/>
        <v>0.98465836829698761</v>
      </c>
    </row>
    <row r="317" spans="13:24" x14ac:dyDescent="0.25">
      <c r="M317" s="91">
        <v>3.14</v>
      </c>
      <c r="N317" s="89">
        <f t="shared" si="36"/>
        <v>10.86</v>
      </c>
      <c r="O317" s="89">
        <f t="shared" si="37"/>
        <v>4.0023800918755219</v>
      </c>
      <c r="P317" s="97">
        <f t="shared" si="38"/>
        <v>6.2623800918755226</v>
      </c>
      <c r="Q317" s="135">
        <f t="shared" si="41"/>
        <v>9.9453462572696291E-5</v>
      </c>
      <c r="R317" s="89">
        <f t="shared" si="41"/>
        <v>5.4653742730365899E-7</v>
      </c>
      <c r="S317" s="89">
        <f t="shared" si="42"/>
        <v>7.2443596007498929E-4</v>
      </c>
      <c r="T317" s="136">
        <f t="shared" si="42"/>
        <v>1.380384264602886E-11</v>
      </c>
      <c r="U317" s="137">
        <f t="shared" si="43"/>
        <v>0.99453462572696338</v>
      </c>
      <c r="V317" s="88">
        <f t="shared" si="39"/>
        <v>3.1223800918755225</v>
      </c>
      <c r="W317" s="86">
        <f t="shared" si="44"/>
        <v>6.8576199081244775</v>
      </c>
      <c r="X317" s="90">
        <f t="shared" si="40"/>
        <v>0.98453462572696337</v>
      </c>
    </row>
    <row r="318" spans="13:24" x14ac:dyDescent="0.25">
      <c r="M318" s="91">
        <v>3.15</v>
      </c>
      <c r="N318" s="89">
        <f t="shared" si="36"/>
        <v>10.85</v>
      </c>
      <c r="O318" s="89">
        <f t="shared" si="37"/>
        <v>4.002435376181217</v>
      </c>
      <c r="P318" s="97">
        <f t="shared" si="38"/>
        <v>6.252435376181217</v>
      </c>
      <c r="Q318" s="135">
        <f t="shared" si="41"/>
        <v>9.944080326911634E-5</v>
      </c>
      <c r="R318" s="89">
        <f t="shared" si="41"/>
        <v>5.5919673088347694E-7</v>
      </c>
      <c r="S318" s="89">
        <f t="shared" si="42"/>
        <v>7.079457843841378E-4</v>
      </c>
      <c r="T318" s="136">
        <f t="shared" si="42"/>
        <v>1.4125375446227501E-11</v>
      </c>
      <c r="U318" s="137">
        <f t="shared" si="43"/>
        <v>0.99440803269116529</v>
      </c>
      <c r="V318" s="88">
        <f t="shared" si="39"/>
        <v>3.1024353761812171</v>
      </c>
      <c r="W318" s="86">
        <f t="shared" si="44"/>
        <v>6.8475646238187826</v>
      </c>
      <c r="X318" s="90">
        <f t="shared" si="40"/>
        <v>0.98440803269116528</v>
      </c>
    </row>
    <row r="319" spans="13:24" x14ac:dyDescent="0.25">
      <c r="M319" s="91">
        <v>3.16</v>
      </c>
      <c r="N319" s="89">
        <f t="shared" si="36"/>
        <v>10.84</v>
      </c>
      <c r="O319" s="89">
        <f t="shared" si="37"/>
        <v>4.0024919409394464</v>
      </c>
      <c r="P319" s="97">
        <f t="shared" si="38"/>
        <v>6.2424919409394466</v>
      </c>
      <c r="Q319" s="135">
        <f t="shared" si="41"/>
        <v>9.9427852428290927E-5</v>
      </c>
      <c r="R319" s="89">
        <f t="shared" si="41"/>
        <v>5.7214757170903717E-7</v>
      </c>
      <c r="S319" s="89">
        <f t="shared" si="42"/>
        <v>6.9183097091893579E-4</v>
      </c>
      <c r="T319" s="136">
        <f t="shared" si="42"/>
        <v>1.4454397707459232E-11</v>
      </c>
      <c r="U319" s="137">
        <f t="shared" si="43"/>
        <v>0.99427852428290964</v>
      </c>
      <c r="V319" s="88">
        <f t="shared" si="39"/>
        <v>3.0824919409394465</v>
      </c>
      <c r="W319" s="86">
        <f t="shared" si="44"/>
        <v>6.8375080590605535</v>
      </c>
      <c r="X319" s="90">
        <f t="shared" si="40"/>
        <v>0.98427852428290963</v>
      </c>
    </row>
    <row r="320" spans="13:24" x14ac:dyDescent="0.25">
      <c r="M320" s="91">
        <v>3.17</v>
      </c>
      <c r="N320" s="89">
        <f t="shared" si="36"/>
        <v>10.83</v>
      </c>
      <c r="O320" s="89">
        <f t="shared" si="37"/>
        <v>4.0025498156344677</v>
      </c>
      <c r="P320" s="97">
        <f t="shared" si="38"/>
        <v>6.2325498156344681</v>
      </c>
      <c r="Q320" s="135">
        <f t="shared" si="41"/>
        <v>9.9414603415292038E-5</v>
      </c>
      <c r="R320" s="89">
        <f t="shared" si="41"/>
        <v>5.8539658470786674E-7</v>
      </c>
      <c r="S320" s="89">
        <f t="shared" si="42"/>
        <v>6.7608297539198121E-4</v>
      </c>
      <c r="T320" s="136">
        <f t="shared" si="42"/>
        <v>1.4791083881682027E-11</v>
      </c>
      <c r="U320" s="137">
        <f t="shared" si="43"/>
        <v>0.99414603415292124</v>
      </c>
      <c r="V320" s="88">
        <f t="shared" si="39"/>
        <v>3.0625498156344682</v>
      </c>
      <c r="W320" s="86">
        <f t="shared" si="44"/>
        <v>6.8274501843655324</v>
      </c>
      <c r="X320" s="90">
        <f t="shared" si="40"/>
        <v>0.98414603415292123</v>
      </c>
    </row>
    <row r="321" spans="13:24" x14ac:dyDescent="0.25">
      <c r="M321" s="91">
        <v>3.18</v>
      </c>
      <c r="N321" s="89">
        <f t="shared" si="36"/>
        <v>10.82</v>
      </c>
      <c r="O321" s="89">
        <f t="shared" si="37"/>
        <v>4.0026090304213673</v>
      </c>
      <c r="P321" s="97">
        <f t="shared" si="38"/>
        <v>6.2226090304213679</v>
      </c>
      <c r="Q321" s="135">
        <f t="shared" si="41"/>
        <v>9.9401049447893201E-5</v>
      </c>
      <c r="R321" s="89">
        <f t="shared" si="41"/>
        <v>5.9895055210679168E-7</v>
      </c>
      <c r="S321" s="89">
        <f t="shared" si="42"/>
        <v>6.606934480075955E-4</v>
      </c>
      <c r="T321" s="136">
        <f t="shared" si="42"/>
        <v>1.5135612484362034E-11</v>
      </c>
      <c r="U321" s="137">
        <f t="shared" si="43"/>
        <v>0.99401049447893208</v>
      </c>
      <c r="V321" s="88">
        <f t="shared" si="39"/>
        <v>3.0426090304213678</v>
      </c>
      <c r="W321" s="86">
        <f t="shared" si="44"/>
        <v>6.817390969578633</v>
      </c>
      <c r="X321" s="90">
        <f t="shared" si="40"/>
        <v>0.98401049447893207</v>
      </c>
    </row>
    <row r="322" spans="13:24" x14ac:dyDescent="0.25">
      <c r="M322" s="91">
        <v>3.19</v>
      </c>
      <c r="N322" s="89">
        <f t="shared" si="36"/>
        <v>10.81</v>
      </c>
      <c r="O322" s="89">
        <f t="shared" si="37"/>
        <v>4.0026696161409525</v>
      </c>
      <c r="P322" s="97">
        <f t="shared" si="38"/>
        <v>6.2126696161409525</v>
      </c>
      <c r="Q322" s="135">
        <f t="shared" si="41"/>
        <v>9.9387183593471618E-5</v>
      </c>
      <c r="R322" s="89">
        <f t="shared" si="41"/>
        <v>6.1281640652824097E-7</v>
      </c>
      <c r="S322" s="89">
        <f t="shared" si="42"/>
        <v>6.4565422903465513E-4</v>
      </c>
      <c r="T322" s="136">
        <f t="shared" si="42"/>
        <v>1.5488166189124763E-11</v>
      </c>
      <c r="U322" s="137">
        <f t="shared" si="43"/>
        <v>0.99387183593471762</v>
      </c>
      <c r="V322" s="88">
        <f t="shared" si="39"/>
        <v>3.0226696161409525</v>
      </c>
      <c r="W322" s="86">
        <f t="shared" si="44"/>
        <v>6.807330383859048</v>
      </c>
      <c r="X322" s="90">
        <f t="shared" si="40"/>
        <v>0.98387183593471761</v>
      </c>
    </row>
    <row r="323" spans="13:24" x14ac:dyDescent="0.25">
      <c r="M323" s="91">
        <v>3.2</v>
      </c>
      <c r="N323" s="89">
        <f t="shared" ref="N323:N386" si="45">14-M323</f>
        <v>10.8</v>
      </c>
      <c r="O323" s="89">
        <f t="shared" ref="O323:O386" si="46">-LOG(10^-$B$3/(1+10^(M323-$A$3)))</f>
        <v>4.0027316043349392</v>
      </c>
      <c r="P323" s="97">
        <f t="shared" ref="P323:P386" si="47">-LOG(10^-$B$3/(1+10^($A$3-M323)))</f>
        <v>6.2027316043349394</v>
      </c>
      <c r="Q323" s="135">
        <f t="shared" si="41"/>
        <v>9.9372998765856474E-5</v>
      </c>
      <c r="R323" s="89">
        <f t="shared" si="41"/>
        <v>6.27001234143383E-7</v>
      </c>
      <c r="S323" s="89">
        <f t="shared" si="42"/>
        <v>6.3095734448019244E-4</v>
      </c>
      <c r="T323" s="136">
        <f t="shared" si="42"/>
        <v>1.5848931924611082E-11</v>
      </c>
      <c r="U323" s="137">
        <f t="shared" si="43"/>
        <v>0.99372998765856613</v>
      </c>
      <c r="V323" s="88">
        <f t="shared" ref="V323:V386" si="48">ABS(P323-M323)</f>
        <v>3.0027316043349392</v>
      </c>
      <c r="W323" s="86">
        <f t="shared" si="44"/>
        <v>6.7972683956650615</v>
      </c>
      <c r="X323" s="90">
        <f t="shared" ref="X323:X386" si="49">ABS($J$2-U323)</f>
        <v>0.98372998765856612</v>
      </c>
    </row>
    <row r="324" spans="13:24" x14ac:dyDescent="0.25">
      <c r="M324" s="91">
        <v>3.21</v>
      </c>
      <c r="N324" s="89">
        <f t="shared" si="45"/>
        <v>10.79</v>
      </c>
      <c r="O324" s="89">
        <f t="shared" si="46"/>
        <v>4.0027950272614738</v>
      </c>
      <c r="P324" s="97">
        <f t="shared" si="47"/>
        <v>6.1927950272614742</v>
      </c>
      <c r="Q324" s="135">
        <f t="shared" ref="Q324:R387" si="50">10^-O324</f>
        <v>9.9358487722117216E-5</v>
      </c>
      <c r="R324" s="89">
        <f t="shared" si="50"/>
        <v>6.4151227788272732E-7</v>
      </c>
      <c r="S324" s="89">
        <f t="shared" ref="S324:T387" si="51">10^-M324</f>
        <v>6.1659500186148184E-4</v>
      </c>
      <c r="T324" s="136">
        <f t="shared" si="51"/>
        <v>1.6218100973589298E-11</v>
      </c>
      <c r="U324" s="137">
        <f t="shared" ref="U324:U387" si="52">Q324/(Q324+R324)</f>
        <v>0.99358487722117284</v>
      </c>
      <c r="V324" s="88">
        <f t="shared" si="48"/>
        <v>2.9827950272614743</v>
      </c>
      <c r="W324" s="86">
        <f t="shared" ref="W324:W387" si="53">ABS(O324-N324)</f>
        <v>6.7872049727385253</v>
      </c>
      <c r="X324" s="90">
        <f t="shared" si="49"/>
        <v>0.98358487722117283</v>
      </c>
    </row>
    <row r="325" spans="13:24" x14ac:dyDescent="0.25">
      <c r="M325" s="91">
        <v>3.22</v>
      </c>
      <c r="N325" s="89">
        <f t="shared" si="45"/>
        <v>10.78</v>
      </c>
      <c r="O325" s="89">
        <f t="shared" si="46"/>
        <v>4.0028599179109703</v>
      </c>
      <c r="P325" s="97">
        <f t="shared" si="47"/>
        <v>6.18285991791097</v>
      </c>
      <c r="Q325" s="135">
        <f t="shared" si="50"/>
        <v>9.9343643059295037E-5</v>
      </c>
      <c r="R325" s="89">
        <f t="shared" si="50"/>
        <v>6.563569407048149E-7</v>
      </c>
      <c r="S325" s="89">
        <f t="shared" si="51"/>
        <v>6.0255958607435703E-4</v>
      </c>
      <c r="T325" s="136">
        <f t="shared" si="51"/>
        <v>1.6595869074375605E-11</v>
      </c>
      <c r="U325" s="137">
        <f t="shared" si="52"/>
        <v>0.99343643059295184</v>
      </c>
      <c r="V325" s="88">
        <f t="shared" si="48"/>
        <v>2.9628599179109698</v>
      </c>
      <c r="W325" s="86">
        <f t="shared" si="53"/>
        <v>6.7771400820890291</v>
      </c>
      <c r="X325" s="90">
        <f t="shared" si="49"/>
        <v>0.98343643059295183</v>
      </c>
    </row>
    <row r="326" spans="13:24" x14ac:dyDescent="0.25">
      <c r="M326" s="91">
        <v>3.23</v>
      </c>
      <c r="N326" s="89">
        <f t="shared" si="45"/>
        <v>10.77</v>
      </c>
      <c r="O326" s="89">
        <f t="shared" si="46"/>
        <v>4.0029263100222758</v>
      </c>
      <c r="P326" s="97">
        <f t="shared" si="47"/>
        <v>6.1729263100222767</v>
      </c>
      <c r="Q326" s="135">
        <f t="shared" si="50"/>
        <v>9.9328457211076326E-5</v>
      </c>
      <c r="R326" s="89">
        <f t="shared" si="50"/>
        <v>6.7154278892359471E-7</v>
      </c>
      <c r="S326" s="89">
        <f t="shared" si="51"/>
        <v>5.8884365535558883E-4</v>
      </c>
      <c r="T326" s="136">
        <f t="shared" si="51"/>
        <v>1.6982436524617441E-11</v>
      </c>
      <c r="U326" s="137">
        <f t="shared" si="52"/>
        <v>0.99328457211076404</v>
      </c>
      <c r="V326" s="88">
        <f t="shared" si="48"/>
        <v>2.9429263100222767</v>
      </c>
      <c r="W326" s="86">
        <f t="shared" si="53"/>
        <v>6.7670736899777237</v>
      </c>
      <c r="X326" s="90">
        <f t="shared" si="49"/>
        <v>0.98328457211076403</v>
      </c>
    </row>
    <row r="327" spans="13:24" x14ac:dyDescent="0.25">
      <c r="M327" s="91">
        <v>3.24</v>
      </c>
      <c r="N327" s="89">
        <f t="shared" si="45"/>
        <v>10.76</v>
      </c>
      <c r="O327" s="89">
        <f t="shared" si="46"/>
        <v>4.0029942380991805</v>
      </c>
      <c r="P327" s="97">
        <f t="shared" si="47"/>
        <v>6.1629942380991807</v>
      </c>
      <c r="Q327" s="135">
        <f t="shared" si="50"/>
        <v>9.9312922444404892E-5</v>
      </c>
      <c r="R327" s="89">
        <f t="shared" si="50"/>
        <v>6.8707755559509629E-7</v>
      </c>
      <c r="S327" s="89">
        <f t="shared" si="51"/>
        <v>5.7543993733715632E-4</v>
      </c>
      <c r="T327" s="136">
        <f t="shared" si="51"/>
        <v>1.7378008287493749E-11</v>
      </c>
      <c r="U327" s="137">
        <f t="shared" si="52"/>
        <v>0.99312922444404905</v>
      </c>
      <c r="V327" s="88">
        <f t="shared" si="48"/>
        <v>2.9229942380991805</v>
      </c>
      <c r="W327" s="86">
        <f t="shared" si="53"/>
        <v>6.7570057619008193</v>
      </c>
      <c r="X327" s="90">
        <f t="shared" si="49"/>
        <v>0.98312922444404904</v>
      </c>
    </row>
    <row r="328" spans="13:24" x14ac:dyDescent="0.25">
      <c r="M328" s="91">
        <v>3.25</v>
      </c>
      <c r="N328" s="89">
        <f t="shared" si="45"/>
        <v>10.75</v>
      </c>
      <c r="O328" s="89">
        <f t="shared" si="46"/>
        <v>4.0030637374272589</v>
      </c>
      <c r="P328" s="97">
        <f t="shared" si="47"/>
        <v>6.1530637374272592</v>
      </c>
      <c r="Q328" s="135">
        <f t="shared" si="50"/>
        <v>9.9297030856036023E-5</v>
      </c>
      <c r="R328" s="89">
        <f t="shared" si="50"/>
        <v>7.0296914396392187E-7</v>
      </c>
      <c r="S328" s="89">
        <f t="shared" si="51"/>
        <v>5.6234132519034856E-4</v>
      </c>
      <c r="T328" s="136">
        <f t="shared" si="51"/>
        <v>1.7782794100389159E-11</v>
      </c>
      <c r="U328" s="137">
        <f t="shared" si="52"/>
        <v>0.99297030856036073</v>
      </c>
      <c r="V328" s="88">
        <f t="shared" si="48"/>
        <v>2.9030637374272592</v>
      </c>
      <c r="W328" s="86">
        <f t="shared" si="53"/>
        <v>6.7469362625727411</v>
      </c>
      <c r="X328" s="90">
        <f t="shared" si="49"/>
        <v>0.98297030856036072</v>
      </c>
    </row>
    <row r="329" spans="13:24" x14ac:dyDescent="0.25">
      <c r="M329" s="91">
        <v>3.26</v>
      </c>
      <c r="N329" s="89">
        <f t="shared" si="45"/>
        <v>10.74</v>
      </c>
      <c r="O329" s="89">
        <f t="shared" si="46"/>
        <v>4.0031348440910648</v>
      </c>
      <c r="P329" s="97">
        <f t="shared" si="47"/>
        <v>6.1431348440910654</v>
      </c>
      <c r="Q329" s="135">
        <f t="shared" si="50"/>
        <v>9.9280774369029618E-5</v>
      </c>
      <c r="R329" s="89">
        <f t="shared" si="50"/>
        <v>7.1922563097016384E-7</v>
      </c>
      <c r="S329" s="89">
        <f t="shared" si="51"/>
        <v>5.4954087385762466E-4</v>
      </c>
      <c r="T329" s="136">
        <f t="shared" si="51"/>
        <v>1.8197008586099764E-11</v>
      </c>
      <c r="U329" s="137">
        <f t="shared" si="52"/>
        <v>0.99280774369029823</v>
      </c>
      <c r="V329" s="88">
        <f t="shared" si="48"/>
        <v>2.8831348440910656</v>
      </c>
      <c r="W329" s="86">
        <f t="shared" si="53"/>
        <v>6.7368651559089354</v>
      </c>
      <c r="X329" s="90">
        <f t="shared" si="49"/>
        <v>0.98280774369029822</v>
      </c>
    </row>
    <row r="330" spans="13:24" x14ac:dyDescent="0.25">
      <c r="M330" s="91">
        <v>3.27</v>
      </c>
      <c r="N330" s="89">
        <f t="shared" si="45"/>
        <v>10.73</v>
      </c>
      <c r="O330" s="89">
        <f t="shared" si="46"/>
        <v>4.0032075949916797</v>
      </c>
      <c r="P330" s="97">
        <f t="shared" si="47"/>
        <v>6.1332075949916804</v>
      </c>
      <c r="Q330" s="135">
        <f t="shared" si="50"/>
        <v>9.9264144729182771E-5</v>
      </c>
      <c r="R330" s="89">
        <f t="shared" si="50"/>
        <v>7.3585527081719491E-7</v>
      </c>
      <c r="S330" s="89">
        <f t="shared" si="51"/>
        <v>5.3703179637025239E-4</v>
      </c>
      <c r="T330" s="136">
        <f t="shared" si="51"/>
        <v>1.8620871366628599E-11</v>
      </c>
      <c r="U330" s="137">
        <f t="shared" si="52"/>
        <v>0.99264144729182802</v>
      </c>
      <c r="V330" s="88">
        <f t="shared" si="48"/>
        <v>2.8632075949916804</v>
      </c>
      <c r="W330" s="86">
        <f t="shared" si="53"/>
        <v>6.7267924050083208</v>
      </c>
      <c r="X330" s="90">
        <f t="shared" si="49"/>
        <v>0.98264144729182801</v>
      </c>
    </row>
    <row r="331" spans="13:24" x14ac:dyDescent="0.25">
      <c r="M331" s="91">
        <v>3.28</v>
      </c>
      <c r="N331" s="89">
        <f t="shared" si="45"/>
        <v>10.72</v>
      </c>
      <c r="O331" s="89">
        <f t="shared" si="46"/>
        <v>4.0032820278646204</v>
      </c>
      <c r="P331" s="97">
        <f t="shared" si="47"/>
        <v>6.1232820278646214</v>
      </c>
      <c r="Q331" s="135">
        <f t="shared" si="50"/>
        <v>9.9247133501399043E-5</v>
      </c>
      <c r="R331" s="89">
        <f t="shared" si="50"/>
        <v>7.5286649860088744E-7</v>
      </c>
      <c r="S331" s="89">
        <f t="shared" si="51"/>
        <v>5.2480746024977229E-4</v>
      </c>
      <c r="T331" s="136">
        <f t="shared" si="51"/>
        <v>1.9054607179632392E-11</v>
      </c>
      <c r="U331" s="137">
        <f t="shared" si="52"/>
        <v>0.9924713350139911</v>
      </c>
      <c r="V331" s="88">
        <f t="shared" si="48"/>
        <v>2.8432820278646216</v>
      </c>
      <c r="W331" s="86">
        <f t="shared" si="53"/>
        <v>6.7167179721353802</v>
      </c>
      <c r="X331" s="90">
        <f t="shared" si="49"/>
        <v>0.98247133501399109</v>
      </c>
    </row>
    <row r="332" spans="13:24" x14ac:dyDescent="0.25">
      <c r="M332" s="91">
        <v>3.29</v>
      </c>
      <c r="N332" s="89">
        <f t="shared" si="45"/>
        <v>10.71</v>
      </c>
      <c r="O332" s="89">
        <f t="shared" si="46"/>
        <v>4.0033581812981112</v>
      </c>
      <c r="P332" s="97">
        <f t="shared" si="47"/>
        <v>6.1133581812981115</v>
      </c>
      <c r="Q332" s="135">
        <f t="shared" si="50"/>
        <v>9.9229732065999165E-5</v>
      </c>
      <c r="R332" s="89">
        <f t="shared" si="50"/>
        <v>7.7026793400069393E-7</v>
      </c>
      <c r="S332" s="89">
        <f t="shared" si="51"/>
        <v>5.1286138399136462E-4</v>
      </c>
      <c r="T332" s="136">
        <f t="shared" si="51"/>
        <v>1.9498445997580369E-11</v>
      </c>
      <c r="U332" s="137">
        <f t="shared" si="52"/>
        <v>0.9922973206599931</v>
      </c>
      <c r="V332" s="88">
        <f t="shared" si="48"/>
        <v>2.8233581812981114</v>
      </c>
      <c r="W332" s="86">
        <f t="shared" si="53"/>
        <v>6.7066418187018897</v>
      </c>
      <c r="X332" s="90">
        <f t="shared" si="49"/>
        <v>0.98229732065999309</v>
      </c>
    </row>
    <row r="333" spans="13:24" x14ac:dyDescent="0.25">
      <c r="M333" s="91">
        <v>3.3</v>
      </c>
      <c r="N333" s="89">
        <f t="shared" si="45"/>
        <v>10.7</v>
      </c>
      <c r="O333" s="89">
        <f t="shared" si="46"/>
        <v>4.003436094751728</v>
      </c>
      <c r="P333" s="97">
        <f t="shared" si="47"/>
        <v>6.1034360947517294</v>
      </c>
      <c r="Q333" s="135">
        <f t="shared" si="50"/>
        <v>9.9211931614967051E-5</v>
      </c>
      <c r="R333" s="89">
        <f t="shared" si="50"/>
        <v>7.8806838503302529E-7</v>
      </c>
      <c r="S333" s="89">
        <f t="shared" si="51"/>
        <v>5.0118723362727209E-4</v>
      </c>
      <c r="T333" s="136">
        <f t="shared" si="51"/>
        <v>1.995262314968878E-11</v>
      </c>
      <c r="U333" s="137">
        <f t="shared" si="52"/>
        <v>0.99211931614966975</v>
      </c>
      <c r="V333" s="88">
        <f t="shared" si="48"/>
        <v>2.8034360947517296</v>
      </c>
      <c r="W333" s="86">
        <f t="shared" si="53"/>
        <v>6.6965639052482713</v>
      </c>
      <c r="X333" s="90">
        <f t="shared" si="49"/>
        <v>0.98211931614966974</v>
      </c>
    </row>
    <row r="334" spans="13:24" x14ac:dyDescent="0.25">
      <c r="M334" s="91">
        <v>3.31</v>
      </c>
      <c r="N334" s="89">
        <f t="shared" si="45"/>
        <v>10.69</v>
      </c>
      <c r="O334" s="89">
        <f t="shared" si="46"/>
        <v>4.0035158085754263</v>
      </c>
      <c r="P334" s="97">
        <f t="shared" si="47"/>
        <v>6.0935158085754271</v>
      </c>
      <c r="Q334" s="135">
        <f t="shared" si="50"/>
        <v>9.9193723148132695E-5</v>
      </c>
      <c r="R334" s="89">
        <f t="shared" si="50"/>
        <v>8.0627685186735211E-7</v>
      </c>
      <c r="S334" s="89">
        <f t="shared" si="51"/>
        <v>4.8977881936844566E-4</v>
      </c>
      <c r="T334" s="136">
        <f t="shared" si="51"/>
        <v>2.0417379446695275E-11</v>
      </c>
      <c r="U334" s="137">
        <f t="shared" si="52"/>
        <v>0.99193723148132651</v>
      </c>
      <c r="V334" s="88">
        <f t="shared" si="48"/>
        <v>2.783515808575427</v>
      </c>
      <c r="W334" s="86">
        <f t="shared" si="53"/>
        <v>6.6864841914245732</v>
      </c>
      <c r="X334" s="90">
        <f t="shared" si="49"/>
        <v>0.9819372314813265</v>
      </c>
    </row>
    <row r="335" spans="13:24" x14ac:dyDescent="0.25">
      <c r="M335" s="91">
        <v>3.32</v>
      </c>
      <c r="N335" s="89">
        <f t="shared" si="45"/>
        <v>10.68</v>
      </c>
      <c r="O335" s="89">
        <f t="shared" si="46"/>
        <v>4.0035973640289466</v>
      </c>
      <c r="P335" s="97">
        <f t="shared" si="47"/>
        <v>6.0835973640289476</v>
      </c>
      <c r="Q335" s="135">
        <f t="shared" si="50"/>
        <v>9.9175097469294542E-5</v>
      </c>
      <c r="R335" s="89">
        <f t="shared" si="50"/>
        <v>8.2490253070535123E-7</v>
      </c>
      <c r="S335" s="89">
        <f t="shared" si="51"/>
        <v>4.7863009232263827E-4</v>
      </c>
      <c r="T335" s="136">
        <f t="shared" si="51"/>
        <v>2.0892961308540373E-11</v>
      </c>
      <c r="U335" s="137">
        <f t="shared" si="52"/>
        <v>0.99175097469294649</v>
      </c>
      <c r="V335" s="88">
        <f t="shared" si="48"/>
        <v>2.7635973640289477</v>
      </c>
      <c r="W335" s="86">
        <f t="shared" si="53"/>
        <v>6.6764026359710531</v>
      </c>
      <c r="X335" s="90">
        <f t="shared" si="49"/>
        <v>0.98175097469294648</v>
      </c>
    </row>
    <row r="336" spans="13:24" x14ac:dyDescent="0.25">
      <c r="M336" s="91">
        <v>3.33</v>
      </c>
      <c r="N336" s="89">
        <f t="shared" si="45"/>
        <v>10.67</v>
      </c>
      <c r="O336" s="89">
        <f t="shared" si="46"/>
        <v>4.0036808033016138</v>
      </c>
      <c r="P336" s="97">
        <f t="shared" si="47"/>
        <v>6.073680803301615</v>
      </c>
      <c r="Q336" s="135">
        <f t="shared" si="50"/>
        <v>9.9156045182276388E-5</v>
      </c>
      <c r="R336" s="89">
        <f t="shared" si="50"/>
        <v>8.439548177234864E-7</v>
      </c>
      <c r="S336" s="89">
        <f t="shared" si="51"/>
        <v>4.677351412871977E-4</v>
      </c>
      <c r="T336" s="136">
        <f t="shared" si="51"/>
        <v>2.1379620895022298E-11</v>
      </c>
      <c r="U336" s="137">
        <f t="shared" si="52"/>
        <v>0.9915604518227652</v>
      </c>
      <c r="V336" s="88">
        <f t="shared" si="48"/>
        <v>2.7436808033016149</v>
      </c>
      <c r="W336" s="86">
        <f t="shared" si="53"/>
        <v>6.6663191966983861</v>
      </c>
      <c r="X336" s="90">
        <f t="shared" si="49"/>
        <v>0.98156045182276519</v>
      </c>
    </row>
    <row r="337" spans="13:24" x14ac:dyDescent="0.25">
      <c r="M337" s="91">
        <v>3.34</v>
      </c>
      <c r="N337" s="89">
        <f t="shared" si="45"/>
        <v>10.66</v>
      </c>
      <c r="O337" s="89">
        <f t="shared" si="46"/>
        <v>4.0037661695325379</v>
      </c>
      <c r="P337" s="97">
        <f t="shared" si="47"/>
        <v>6.0637661695325384</v>
      </c>
      <c r="Q337" s="135">
        <f t="shared" si="50"/>
        <v>9.9136556686920608E-5</v>
      </c>
      <c r="R337" s="89">
        <f t="shared" si="50"/>
        <v>8.6344331307924709E-7</v>
      </c>
      <c r="S337" s="89">
        <f t="shared" si="51"/>
        <v>4.5708818961487499E-4</v>
      </c>
      <c r="T337" s="136">
        <f t="shared" si="51"/>
        <v>2.1877616239495499E-11</v>
      </c>
      <c r="U337" s="137">
        <f t="shared" si="52"/>
        <v>0.99136556686920752</v>
      </c>
      <c r="V337" s="88">
        <f t="shared" si="48"/>
        <v>2.7237661695325386</v>
      </c>
      <c r="W337" s="86">
        <f t="shared" si="53"/>
        <v>6.6562338304674622</v>
      </c>
      <c r="X337" s="90">
        <f t="shared" si="49"/>
        <v>0.98136556686920751</v>
      </c>
    </row>
    <row r="338" spans="13:24" x14ac:dyDescent="0.25">
      <c r="M338" s="91">
        <v>3.35</v>
      </c>
      <c r="N338" s="89">
        <f t="shared" si="45"/>
        <v>10.65</v>
      </c>
      <c r="O338" s="89">
        <f t="shared" si="46"/>
        <v>4.003853506831212</v>
      </c>
      <c r="P338" s="97">
        <f t="shared" si="47"/>
        <v>6.0538535068312127</v>
      </c>
      <c r="Q338" s="135">
        <f t="shared" si="50"/>
        <v>9.911662217501869E-5</v>
      </c>
      <c r="R338" s="89">
        <f t="shared" si="50"/>
        <v>8.8337782498133109E-7</v>
      </c>
      <c r="S338" s="89">
        <f t="shared" si="51"/>
        <v>4.4668359215096267E-4</v>
      </c>
      <c r="T338" s="136">
        <f t="shared" si="51"/>
        <v>2.238721138568329E-11</v>
      </c>
      <c r="U338" s="137">
        <f t="shared" si="52"/>
        <v>0.99116622175018676</v>
      </c>
      <c r="V338" s="88">
        <f t="shared" si="48"/>
        <v>2.7038535068312126</v>
      </c>
      <c r="W338" s="86">
        <f t="shared" si="53"/>
        <v>6.6461464931687884</v>
      </c>
      <c r="X338" s="90">
        <f t="shared" si="49"/>
        <v>0.98116622175018675</v>
      </c>
    </row>
    <row r="339" spans="13:24" x14ac:dyDescent="0.25">
      <c r="M339" s="91">
        <v>3.36</v>
      </c>
      <c r="N339" s="89">
        <f t="shared" si="45"/>
        <v>10.64</v>
      </c>
      <c r="O339" s="89">
        <f t="shared" si="46"/>
        <v>4.0039428602985252</v>
      </c>
      <c r="P339" s="97">
        <f t="shared" si="47"/>
        <v>6.0439428602985261</v>
      </c>
      <c r="Q339" s="135">
        <f t="shared" si="50"/>
        <v>9.9096231626176031E-5</v>
      </c>
      <c r="R339" s="89">
        <f t="shared" si="50"/>
        <v>9.0376837382396133E-7</v>
      </c>
      <c r="S339" s="89">
        <f t="shared" si="51"/>
        <v>4.3651583224016562E-4</v>
      </c>
      <c r="T339" s="136">
        <f t="shared" si="51"/>
        <v>2.2908676527677615E-11</v>
      </c>
      <c r="U339" s="137">
        <f t="shared" si="52"/>
        <v>0.99096231626176035</v>
      </c>
      <c r="V339" s="88">
        <f t="shared" si="48"/>
        <v>2.6839428602985262</v>
      </c>
      <c r="W339" s="86">
        <f t="shared" si="53"/>
        <v>6.6360571397014754</v>
      </c>
      <c r="X339" s="90">
        <f t="shared" si="49"/>
        <v>0.98096231626176034</v>
      </c>
    </row>
    <row r="340" spans="13:24" x14ac:dyDescent="0.25">
      <c r="M340" s="91">
        <v>3.37</v>
      </c>
      <c r="N340" s="89">
        <f t="shared" si="45"/>
        <v>10.629999999999999</v>
      </c>
      <c r="O340" s="89">
        <f t="shared" si="46"/>
        <v>4.0040342760481886</v>
      </c>
      <c r="P340" s="97">
        <f t="shared" si="47"/>
        <v>6.0340342760481898</v>
      </c>
      <c r="Q340" s="135">
        <f t="shared" si="50"/>
        <v>9.907537480361464E-5</v>
      </c>
      <c r="R340" s="89">
        <f t="shared" si="50"/>
        <v>9.2462519638546863E-7</v>
      </c>
      <c r="S340" s="89">
        <f t="shared" si="51"/>
        <v>4.2657951880159235E-4</v>
      </c>
      <c r="T340" s="136">
        <f t="shared" si="51"/>
        <v>2.3442288153199185E-11</v>
      </c>
      <c r="U340" s="137">
        <f t="shared" si="52"/>
        <v>0.99075374803614524</v>
      </c>
      <c r="V340" s="88">
        <f t="shared" si="48"/>
        <v>2.6640342760481897</v>
      </c>
      <c r="W340" s="86">
        <f t="shared" si="53"/>
        <v>6.6259657239518104</v>
      </c>
      <c r="X340" s="90">
        <f t="shared" si="49"/>
        <v>0.98075374803614523</v>
      </c>
    </row>
    <row r="341" spans="13:24" x14ac:dyDescent="0.25">
      <c r="M341" s="91">
        <v>3.38</v>
      </c>
      <c r="N341" s="89">
        <f t="shared" si="45"/>
        <v>10.620000000000001</v>
      </c>
      <c r="O341" s="89">
        <f t="shared" si="46"/>
        <v>4.0041278012285906</v>
      </c>
      <c r="P341" s="97">
        <f t="shared" si="47"/>
        <v>6.024127801228591</v>
      </c>
      <c r="Q341" s="135">
        <f t="shared" si="50"/>
        <v>9.9054041249908726E-5</v>
      </c>
      <c r="R341" s="89">
        <f t="shared" si="50"/>
        <v>9.4595875009124144E-7</v>
      </c>
      <c r="S341" s="89">
        <f t="shared" si="51"/>
        <v>4.1686938347033518E-4</v>
      </c>
      <c r="T341" s="136">
        <f t="shared" si="51"/>
        <v>2.3988329190194783E-11</v>
      </c>
      <c r="U341" s="137">
        <f t="shared" si="52"/>
        <v>0.99054041249908764</v>
      </c>
      <c r="V341" s="88">
        <f t="shared" si="48"/>
        <v>2.6441278012285911</v>
      </c>
      <c r="W341" s="86">
        <f t="shared" si="53"/>
        <v>6.6158721987714104</v>
      </c>
      <c r="X341" s="90">
        <f t="shared" si="49"/>
        <v>0.98054041249908763</v>
      </c>
    </row>
    <row r="342" spans="13:24" x14ac:dyDescent="0.25">
      <c r="M342" s="91">
        <v>3.39</v>
      </c>
      <c r="N342" s="89">
        <f t="shared" si="45"/>
        <v>10.61</v>
      </c>
      <c r="O342" s="89">
        <f t="shared" si="46"/>
        <v>4.0042234840450703</v>
      </c>
      <c r="P342" s="97">
        <f t="shared" si="47"/>
        <v>6.014223484045071</v>
      </c>
      <c r="Q342" s="135">
        <f t="shared" si="50"/>
        <v>9.9032220282658823E-5</v>
      </c>
      <c r="R342" s="89">
        <f t="shared" si="50"/>
        <v>9.6777971734109136E-7</v>
      </c>
      <c r="S342" s="89">
        <f t="shared" si="51"/>
        <v>4.0738027780411217E-4</v>
      </c>
      <c r="T342" s="136">
        <f t="shared" si="51"/>
        <v>2.4547089156850264E-11</v>
      </c>
      <c r="U342" s="137">
        <f t="shared" si="52"/>
        <v>0.99032220282658912</v>
      </c>
      <c r="V342" s="88">
        <f t="shared" si="48"/>
        <v>2.6242234840450709</v>
      </c>
      <c r="W342" s="86">
        <f t="shared" si="53"/>
        <v>6.6057765159549291</v>
      </c>
      <c r="X342" s="90">
        <f t="shared" si="49"/>
        <v>0.98032220282658911</v>
      </c>
    </row>
    <row r="343" spans="13:24" x14ac:dyDescent="0.25">
      <c r="M343" s="91">
        <v>3.4</v>
      </c>
      <c r="N343" s="89">
        <f t="shared" si="45"/>
        <v>10.6</v>
      </c>
      <c r="O343" s="89">
        <f t="shared" si="46"/>
        <v>4.0043213737826422</v>
      </c>
      <c r="P343" s="97">
        <f t="shared" si="47"/>
        <v>6.0043213737826431</v>
      </c>
      <c r="Q343" s="135">
        <f t="shared" si="50"/>
        <v>9.900990099009903E-5</v>
      </c>
      <c r="R343" s="89">
        <f t="shared" si="50"/>
        <v>9.9009900990098806E-7</v>
      </c>
      <c r="S343" s="89">
        <f t="shared" si="51"/>
        <v>3.9810717055349708E-4</v>
      </c>
      <c r="T343" s="136">
        <f t="shared" si="51"/>
        <v>2.5118864315095759E-11</v>
      </c>
      <c r="U343" s="137">
        <f t="shared" si="52"/>
        <v>0.99009900990099009</v>
      </c>
      <c r="V343" s="88">
        <f t="shared" si="48"/>
        <v>2.6043213737826432</v>
      </c>
      <c r="W343" s="86">
        <f t="shared" si="53"/>
        <v>6.5956786262173575</v>
      </c>
      <c r="X343" s="90">
        <f t="shared" si="49"/>
        <v>0.98009900990099008</v>
      </c>
    </row>
    <row r="344" spans="13:24" x14ac:dyDescent="0.25">
      <c r="M344" s="91">
        <v>3.41</v>
      </c>
      <c r="N344" s="89">
        <f t="shared" si="45"/>
        <v>10.59</v>
      </c>
      <c r="O344" s="89">
        <f t="shared" si="46"/>
        <v>4.0044215208291494</v>
      </c>
      <c r="P344" s="97">
        <f t="shared" si="47"/>
        <v>5.9944215208291496</v>
      </c>
      <c r="Q344" s="135">
        <f t="shared" si="50"/>
        <v>9.8987072226640744E-5</v>
      </c>
      <c r="R344" s="89">
        <f t="shared" si="50"/>
        <v>1.0129277733591029E-6</v>
      </c>
      <c r="S344" s="89">
        <f t="shared" si="51"/>
        <v>3.8904514499428012E-4</v>
      </c>
      <c r="T344" s="136">
        <f t="shared" si="51"/>
        <v>2.5703957827688591E-11</v>
      </c>
      <c r="U344" s="137">
        <f t="shared" si="52"/>
        <v>0.98987072226640904</v>
      </c>
      <c r="V344" s="88">
        <f t="shared" si="48"/>
        <v>2.5844215208291494</v>
      </c>
      <c r="W344" s="86">
        <f t="shared" si="53"/>
        <v>6.5855784791708505</v>
      </c>
      <c r="X344" s="90">
        <f t="shared" si="49"/>
        <v>0.97987072226640903</v>
      </c>
    </row>
    <row r="345" spans="13:24" x14ac:dyDescent="0.25">
      <c r="M345" s="91">
        <v>3.42</v>
      </c>
      <c r="N345" s="89">
        <f t="shared" si="45"/>
        <v>10.58</v>
      </c>
      <c r="O345" s="89">
        <f t="shared" si="46"/>
        <v>4.0045239766988718</v>
      </c>
      <c r="P345" s="97">
        <f t="shared" si="47"/>
        <v>5.9845239766988731</v>
      </c>
      <c r="Q345" s="135">
        <f t="shared" si="50"/>
        <v>9.8963722608354048E-5</v>
      </c>
      <c r="R345" s="89">
        <f t="shared" si="50"/>
        <v>1.0362773916459731E-6</v>
      </c>
      <c r="S345" s="89">
        <f t="shared" si="51"/>
        <v>3.8018939632056113E-4</v>
      </c>
      <c r="T345" s="136">
        <f t="shared" si="51"/>
        <v>2.6302679918953769E-11</v>
      </c>
      <c r="U345" s="137">
        <f t="shared" si="52"/>
        <v>0.98963722608354032</v>
      </c>
      <c r="V345" s="88">
        <f t="shared" si="48"/>
        <v>2.5645239766988732</v>
      </c>
      <c r="W345" s="86">
        <f t="shared" si="53"/>
        <v>6.5754760233011282</v>
      </c>
      <c r="X345" s="90">
        <f t="shared" si="49"/>
        <v>0.97963722608354031</v>
      </c>
    </row>
    <row r="346" spans="13:24" x14ac:dyDescent="0.25">
      <c r="M346" s="91">
        <v>3.43</v>
      </c>
      <c r="N346" s="89">
        <f t="shared" si="45"/>
        <v>10.57</v>
      </c>
      <c r="O346" s="89">
        <f t="shared" si="46"/>
        <v>4.0046287940565932</v>
      </c>
      <c r="P346" s="97">
        <f t="shared" si="47"/>
        <v>5.974628794056593</v>
      </c>
      <c r="Q346" s="135">
        <f t="shared" si="50"/>
        <v>9.8939840508381261E-5</v>
      </c>
      <c r="R346" s="89">
        <f t="shared" si="50"/>
        <v>1.0601594916186021E-6</v>
      </c>
      <c r="S346" s="89">
        <f t="shared" si="51"/>
        <v>3.7153522909717215E-4</v>
      </c>
      <c r="T346" s="136">
        <f t="shared" si="51"/>
        <v>2.6915348039269103E-11</v>
      </c>
      <c r="U346" s="137">
        <f t="shared" si="52"/>
        <v>0.98939840508381394</v>
      </c>
      <c r="V346" s="88">
        <f t="shared" si="48"/>
        <v>2.5446287940565928</v>
      </c>
      <c r="W346" s="86">
        <f t="shared" si="53"/>
        <v>6.5653712059434071</v>
      </c>
      <c r="X346" s="90">
        <f t="shared" si="49"/>
        <v>0.97939840508381393</v>
      </c>
    </row>
    <row r="347" spans="13:24" x14ac:dyDescent="0.25">
      <c r="M347" s="91">
        <v>3.44</v>
      </c>
      <c r="N347" s="89">
        <f t="shared" si="45"/>
        <v>10.56</v>
      </c>
      <c r="O347" s="89">
        <f t="shared" si="46"/>
        <v>4.004736026742119</v>
      </c>
      <c r="P347" s="97">
        <f t="shared" si="47"/>
        <v>5.9647360267421199</v>
      </c>
      <c r="Q347" s="135">
        <f t="shared" si="50"/>
        <v>9.8915414052291813E-5</v>
      </c>
      <c r="R347" s="89">
        <f t="shared" si="50"/>
        <v>1.084585947708129E-6</v>
      </c>
      <c r="S347" s="89">
        <f t="shared" si="51"/>
        <v>3.6307805477010102E-4</v>
      </c>
      <c r="T347" s="136">
        <f t="shared" si="51"/>
        <v>2.7542287033381602E-11</v>
      </c>
      <c r="U347" s="137">
        <f t="shared" si="52"/>
        <v>0.98915414052291872</v>
      </c>
      <c r="V347" s="88">
        <f t="shared" si="48"/>
        <v>2.5247360267421199</v>
      </c>
      <c r="W347" s="86">
        <f t="shared" si="53"/>
        <v>6.5552639732578815</v>
      </c>
      <c r="X347" s="90">
        <f t="shared" si="49"/>
        <v>0.97915414052291871</v>
      </c>
    </row>
    <row r="348" spans="13:24" x14ac:dyDescent="0.25">
      <c r="M348" s="91">
        <v>3.45</v>
      </c>
      <c r="N348" s="89">
        <f t="shared" si="45"/>
        <v>10.55</v>
      </c>
      <c r="O348" s="89">
        <f t="shared" si="46"/>
        <v>4.0048457297952771</v>
      </c>
      <c r="P348" s="97">
        <f t="shared" si="47"/>
        <v>5.9548457297952773</v>
      </c>
      <c r="Q348" s="135">
        <f t="shared" si="50"/>
        <v>9.8890431113369067E-5</v>
      </c>
      <c r="R348" s="89">
        <f t="shared" si="50"/>
        <v>1.1095688866307705E-6</v>
      </c>
      <c r="S348" s="89">
        <f t="shared" si="51"/>
        <v>3.5481338923357516E-4</v>
      </c>
      <c r="T348" s="136">
        <f t="shared" si="51"/>
        <v>2.8183829312644474E-11</v>
      </c>
      <c r="U348" s="137">
        <f t="shared" si="52"/>
        <v>0.98890431113369226</v>
      </c>
      <c r="V348" s="88">
        <f t="shared" si="48"/>
        <v>2.5048457297952771</v>
      </c>
      <c r="W348" s="86">
        <f t="shared" si="53"/>
        <v>6.5451542702047236</v>
      </c>
      <c r="X348" s="90">
        <f t="shared" si="49"/>
        <v>0.97890431113369225</v>
      </c>
    </row>
    <row r="349" spans="13:24" x14ac:dyDescent="0.25">
      <c r="M349" s="91">
        <v>3.46</v>
      </c>
      <c r="N349" s="89">
        <f t="shared" si="45"/>
        <v>10.54</v>
      </c>
      <c r="O349" s="89">
        <f t="shared" si="46"/>
        <v>4.0049579594813745</v>
      </c>
      <c r="P349" s="97">
        <f t="shared" si="47"/>
        <v>5.9449579594813748</v>
      </c>
      <c r="Q349" s="135">
        <f t="shared" si="50"/>
        <v>9.8864879307838572E-5</v>
      </c>
      <c r="R349" s="89">
        <f t="shared" si="50"/>
        <v>1.1351206921614697E-6</v>
      </c>
      <c r="S349" s="89">
        <f t="shared" si="51"/>
        <v>3.4673685045253142E-4</v>
      </c>
      <c r="T349" s="136">
        <f t="shared" si="51"/>
        <v>2.8840315031266094E-11</v>
      </c>
      <c r="U349" s="137">
        <f t="shared" si="52"/>
        <v>0.98864879307838527</v>
      </c>
      <c r="V349" s="88">
        <f t="shared" si="48"/>
        <v>2.4849579594813749</v>
      </c>
      <c r="W349" s="86">
        <f t="shared" si="53"/>
        <v>6.5350420405186247</v>
      </c>
      <c r="X349" s="90">
        <f t="shared" si="49"/>
        <v>0.97864879307838526</v>
      </c>
    </row>
    <row r="350" spans="13:24" x14ac:dyDescent="0.25">
      <c r="M350" s="91">
        <v>3.47</v>
      </c>
      <c r="N350" s="89">
        <f t="shared" si="45"/>
        <v>10.53</v>
      </c>
      <c r="O350" s="89">
        <f t="shared" si="46"/>
        <v>4.0050727733171554</v>
      </c>
      <c r="P350" s="97">
        <f t="shared" si="47"/>
        <v>5.935072773317156</v>
      </c>
      <c r="Q350" s="135">
        <f t="shared" si="50"/>
        <v>9.8838745990030089E-5</v>
      </c>
      <c r="R350" s="89">
        <f t="shared" si="50"/>
        <v>1.1612540099697544E-6</v>
      </c>
      <c r="S350" s="89">
        <f t="shared" si="51"/>
        <v>3.3884415613920208E-4</v>
      </c>
      <c r="T350" s="136">
        <f t="shared" si="51"/>
        <v>2.9512092266663787E-11</v>
      </c>
      <c r="U350" s="137">
        <f t="shared" si="52"/>
        <v>0.98838745990030241</v>
      </c>
      <c r="V350" s="88">
        <f t="shared" si="48"/>
        <v>2.4650727733171558</v>
      </c>
      <c r="W350" s="86">
        <f t="shared" si="53"/>
        <v>6.524927226682844</v>
      </c>
      <c r="X350" s="90">
        <f t="shared" si="49"/>
        <v>0.9783874599003024</v>
      </c>
    </row>
    <row r="351" spans="13:24" x14ac:dyDescent="0.25">
      <c r="M351" s="91">
        <v>3.48</v>
      </c>
      <c r="N351" s="89">
        <f t="shared" si="45"/>
        <v>10.52</v>
      </c>
      <c r="O351" s="89">
        <f t="shared" si="46"/>
        <v>4.0051902300972246</v>
      </c>
      <c r="P351" s="97">
        <f t="shared" si="47"/>
        <v>5.9251902300972255</v>
      </c>
      <c r="Q351" s="135">
        <f t="shared" si="50"/>
        <v>9.8812018247482845E-5</v>
      </c>
      <c r="R351" s="89">
        <f t="shared" si="50"/>
        <v>1.1879817525171511E-6</v>
      </c>
      <c r="S351" s="89">
        <f t="shared" si="51"/>
        <v>3.3113112148259094E-4</v>
      </c>
      <c r="T351" s="136">
        <f t="shared" si="51"/>
        <v>3.0199517204020087E-11</v>
      </c>
      <c r="U351" s="137">
        <f t="shared" si="52"/>
        <v>0.98812018247482858</v>
      </c>
      <c r="V351" s="88">
        <f t="shared" si="48"/>
        <v>2.4451902300972255</v>
      </c>
      <c r="W351" s="86">
        <f t="shared" si="53"/>
        <v>6.5148097699027749</v>
      </c>
      <c r="X351" s="90">
        <f t="shared" si="49"/>
        <v>0.97812018247482857</v>
      </c>
    </row>
    <row r="352" spans="13:24" x14ac:dyDescent="0.25">
      <c r="M352" s="91">
        <v>3.49</v>
      </c>
      <c r="N352" s="89">
        <f t="shared" si="45"/>
        <v>10.51</v>
      </c>
      <c r="O352" s="89">
        <f t="shared" si="46"/>
        <v>4.0053103899209832</v>
      </c>
      <c r="P352" s="97">
        <f t="shared" si="47"/>
        <v>5.9153103899209833</v>
      </c>
      <c r="Q352" s="135">
        <f t="shared" si="50"/>
        <v>9.8784682895984533E-5</v>
      </c>
      <c r="R352" s="89">
        <f t="shared" si="50"/>
        <v>1.2153171040153364E-6</v>
      </c>
      <c r="S352" s="89">
        <f t="shared" si="51"/>
        <v>3.235936569296281E-4</v>
      </c>
      <c r="T352" s="136">
        <f t="shared" si="51"/>
        <v>3.0902954325135829E-11</v>
      </c>
      <c r="U352" s="137">
        <f t="shared" si="52"/>
        <v>0.98784682895984666</v>
      </c>
      <c r="V352" s="88">
        <f t="shared" si="48"/>
        <v>2.4253103899209831</v>
      </c>
      <c r="W352" s="86">
        <f t="shared" si="53"/>
        <v>6.5046896100790166</v>
      </c>
      <c r="X352" s="90">
        <f t="shared" si="49"/>
        <v>0.97784682895984665</v>
      </c>
    </row>
    <row r="353" spans="13:24" x14ac:dyDescent="0.25">
      <c r="M353" s="91">
        <v>3.5</v>
      </c>
      <c r="N353" s="89">
        <f t="shared" si="45"/>
        <v>10.5</v>
      </c>
      <c r="O353" s="89">
        <f t="shared" si="46"/>
        <v>4.0054333142200456</v>
      </c>
      <c r="P353" s="97">
        <f t="shared" si="47"/>
        <v>5.9054333142200459</v>
      </c>
      <c r="Q353" s="135">
        <f t="shared" si="50"/>
        <v>9.8756726474555806E-5</v>
      </c>
      <c r="R353" s="89">
        <f t="shared" si="50"/>
        <v>1.2432735254442392E-6</v>
      </c>
      <c r="S353" s="89">
        <f t="shared" si="51"/>
        <v>3.1622776601683783E-4</v>
      </c>
      <c r="T353" s="136">
        <f t="shared" si="51"/>
        <v>3.162277660168371E-11</v>
      </c>
      <c r="U353" s="137">
        <f t="shared" si="52"/>
        <v>0.98756726474555756</v>
      </c>
      <c r="V353" s="88">
        <f t="shared" si="48"/>
        <v>2.4054333142200459</v>
      </c>
      <c r="W353" s="86">
        <f t="shared" si="53"/>
        <v>6.4945666857799544</v>
      </c>
      <c r="X353" s="90">
        <f t="shared" si="49"/>
        <v>0.97756726474555755</v>
      </c>
    </row>
    <row r="354" spans="13:24" x14ac:dyDescent="0.25">
      <c r="M354" s="91">
        <v>3.51</v>
      </c>
      <c r="N354" s="89">
        <f t="shared" si="45"/>
        <v>10.49</v>
      </c>
      <c r="O354" s="89">
        <f t="shared" si="46"/>
        <v>4.0055590657861782</v>
      </c>
      <c r="P354" s="97">
        <f t="shared" si="47"/>
        <v>5.8955590657861787</v>
      </c>
      <c r="Q354" s="135">
        <f t="shared" si="50"/>
        <v>9.8728135240370776E-5</v>
      </c>
      <c r="R354" s="89">
        <f t="shared" si="50"/>
        <v>1.2718647596290658E-6</v>
      </c>
      <c r="S354" s="89">
        <f t="shared" si="51"/>
        <v>3.0902954325135899E-4</v>
      </c>
      <c r="T354" s="136">
        <f t="shared" si="51"/>
        <v>3.2359365692962733E-11</v>
      </c>
      <c r="U354" s="137">
        <f t="shared" si="52"/>
        <v>0.98728135240370929</v>
      </c>
      <c r="V354" s="88">
        <f t="shared" si="48"/>
        <v>2.3855590657861789</v>
      </c>
      <c r="W354" s="86">
        <f t="shared" si="53"/>
        <v>6.4844409342138221</v>
      </c>
      <c r="X354" s="90">
        <f t="shared" si="49"/>
        <v>0.97728135240370928</v>
      </c>
    </row>
    <row r="355" spans="13:24" x14ac:dyDescent="0.25">
      <c r="M355" s="91">
        <v>3.52</v>
      </c>
      <c r="N355" s="89">
        <f t="shared" si="45"/>
        <v>10.48</v>
      </c>
      <c r="O355" s="89">
        <f t="shared" si="46"/>
        <v>4.0056877087997327</v>
      </c>
      <c r="P355" s="97">
        <f t="shared" si="47"/>
        <v>5.8856877087997326</v>
      </c>
      <c r="Q355" s="135">
        <f t="shared" si="50"/>
        <v>9.8698895163624686E-5</v>
      </c>
      <c r="R355" s="89">
        <f t="shared" si="50"/>
        <v>1.3011048363752065E-6</v>
      </c>
      <c r="S355" s="89">
        <f t="shared" si="51"/>
        <v>3.0199517204020158E-4</v>
      </c>
      <c r="T355" s="136">
        <f t="shared" si="51"/>
        <v>3.3113112148259015E-11</v>
      </c>
      <c r="U355" s="137">
        <f t="shared" si="52"/>
        <v>0.98698895163624789</v>
      </c>
      <c r="V355" s="88">
        <f t="shared" si="48"/>
        <v>2.3656877087997326</v>
      </c>
      <c r="W355" s="86">
        <f t="shared" si="53"/>
        <v>6.4743122912002677</v>
      </c>
      <c r="X355" s="90">
        <f t="shared" si="49"/>
        <v>0.97698895163624788</v>
      </c>
    </row>
    <row r="356" spans="13:24" x14ac:dyDescent="0.25">
      <c r="M356" s="91">
        <v>3.53</v>
      </c>
      <c r="N356" s="89">
        <f t="shared" si="45"/>
        <v>10.47</v>
      </c>
      <c r="O356" s="89">
        <f t="shared" si="46"/>
        <v>4.0058193088586069</v>
      </c>
      <c r="P356" s="97">
        <f t="shared" si="47"/>
        <v>5.8758193088586079</v>
      </c>
      <c r="Q356" s="135">
        <f t="shared" si="50"/>
        <v>9.8668991922340297E-5</v>
      </c>
      <c r="R356" s="89">
        <f t="shared" si="50"/>
        <v>1.3310080776597231E-6</v>
      </c>
      <c r="S356" s="89">
        <f t="shared" si="51"/>
        <v>2.9512092266663857E-4</v>
      </c>
      <c r="T356" s="136">
        <f t="shared" si="51"/>
        <v>3.3884415613920157E-11</v>
      </c>
      <c r="U356" s="137">
        <f t="shared" si="52"/>
        <v>0.98668991922340277</v>
      </c>
      <c r="V356" s="88">
        <f t="shared" si="48"/>
        <v>2.3458193088586081</v>
      </c>
      <c r="W356" s="86">
        <f t="shared" si="53"/>
        <v>6.4641806911413937</v>
      </c>
      <c r="X356" s="90">
        <f t="shared" si="49"/>
        <v>0.97668991922340276</v>
      </c>
    </row>
    <row r="357" spans="13:24" x14ac:dyDescent="0.25">
      <c r="M357" s="91">
        <v>3.54</v>
      </c>
      <c r="N357" s="89">
        <f t="shared" si="45"/>
        <v>10.46</v>
      </c>
      <c r="O357" s="89">
        <f t="shared" si="46"/>
        <v>4.0059539330077261</v>
      </c>
      <c r="P357" s="97">
        <f t="shared" si="47"/>
        <v>5.8659539330077264</v>
      </c>
      <c r="Q357" s="135">
        <f t="shared" si="50"/>
        <v>9.8638410897121625E-5</v>
      </c>
      <c r="R357" s="89">
        <f t="shared" si="50"/>
        <v>1.3615891028782017E-6</v>
      </c>
      <c r="S357" s="89">
        <f t="shared" si="51"/>
        <v>2.8840315031266012E-4</v>
      </c>
      <c r="T357" s="136">
        <f t="shared" si="51"/>
        <v>3.4673685045253057E-11</v>
      </c>
      <c r="U357" s="137">
        <f t="shared" si="52"/>
        <v>0.98638410897121798</v>
      </c>
      <c r="V357" s="88">
        <f t="shared" si="48"/>
        <v>2.3259539330077263</v>
      </c>
      <c r="W357" s="86">
        <f t="shared" si="53"/>
        <v>6.4540460669922748</v>
      </c>
      <c r="X357" s="90">
        <f t="shared" si="49"/>
        <v>0.97638410897121797</v>
      </c>
    </row>
    <row r="358" spans="13:24" x14ac:dyDescent="0.25">
      <c r="M358" s="91">
        <v>3.55</v>
      </c>
      <c r="N358" s="89">
        <f t="shared" si="45"/>
        <v>10.45</v>
      </c>
      <c r="O358" s="89">
        <f t="shared" si="46"/>
        <v>4.0060916497690418</v>
      </c>
      <c r="P358" s="97">
        <f t="shared" si="47"/>
        <v>5.8560916497690432</v>
      </c>
      <c r="Q358" s="135">
        <f t="shared" si="50"/>
        <v>9.8607137165854588E-5</v>
      </c>
      <c r="R358" s="89">
        <f t="shared" si="50"/>
        <v>1.3928628341453488E-6</v>
      </c>
      <c r="S358" s="89">
        <f t="shared" si="51"/>
        <v>2.8183829312644545E-4</v>
      </c>
      <c r="T358" s="136">
        <f t="shared" si="51"/>
        <v>3.5481338923357562E-11</v>
      </c>
      <c r="U358" s="137">
        <f t="shared" si="52"/>
        <v>0.98607137165854652</v>
      </c>
      <c r="V358" s="88">
        <f t="shared" si="48"/>
        <v>2.3060916497690434</v>
      </c>
      <c r="W358" s="86">
        <f t="shared" si="53"/>
        <v>6.4439083502309575</v>
      </c>
      <c r="X358" s="90">
        <f t="shared" si="49"/>
        <v>0.97607137165854652</v>
      </c>
    </row>
    <row r="359" spans="13:24" x14ac:dyDescent="0.25">
      <c r="M359" s="91">
        <v>3.56</v>
      </c>
      <c r="N359" s="89">
        <f t="shared" si="45"/>
        <v>10.44</v>
      </c>
      <c r="O359" s="89">
        <f t="shared" si="46"/>
        <v>4.0062325291720811</v>
      </c>
      <c r="P359" s="97">
        <f t="shared" si="47"/>
        <v>5.8462325291720818</v>
      </c>
      <c r="Q359" s="135">
        <f t="shared" si="50"/>
        <v>9.8575155498351998E-5</v>
      </c>
      <c r="R359" s="89">
        <f t="shared" si="50"/>
        <v>1.4248445016478179E-6</v>
      </c>
      <c r="S359" s="89">
        <f t="shared" si="51"/>
        <v>2.7542287033381624E-4</v>
      </c>
      <c r="T359" s="136">
        <f t="shared" si="51"/>
        <v>3.6307805477010142E-11</v>
      </c>
      <c r="U359" s="137">
        <f t="shared" si="52"/>
        <v>0.98575155498352185</v>
      </c>
      <c r="V359" s="88">
        <f t="shared" si="48"/>
        <v>2.2862325291720818</v>
      </c>
      <c r="W359" s="86">
        <f t="shared" si="53"/>
        <v>6.4337674708279184</v>
      </c>
      <c r="X359" s="90">
        <f t="shared" si="49"/>
        <v>0.97575155498352184</v>
      </c>
    </row>
    <row r="360" spans="13:24" x14ac:dyDescent="0.25">
      <c r="M360" s="91">
        <v>3.57</v>
      </c>
      <c r="N360" s="89">
        <f t="shared" si="45"/>
        <v>10.43</v>
      </c>
      <c r="O360" s="89">
        <f t="shared" si="46"/>
        <v>4.006376642785014</v>
      </c>
      <c r="P360" s="97">
        <f t="shared" si="47"/>
        <v>5.8363766427850141</v>
      </c>
      <c r="Q360" s="135">
        <f t="shared" si="50"/>
        <v>9.8542450350952378E-5</v>
      </c>
      <c r="R360" s="89">
        <f t="shared" si="50"/>
        <v>1.4575496490474273E-6</v>
      </c>
      <c r="S360" s="89">
        <f t="shared" si="51"/>
        <v>2.6915348039269167E-4</v>
      </c>
      <c r="T360" s="136">
        <f t="shared" si="51"/>
        <v>3.7153522909717256E-11</v>
      </c>
      <c r="U360" s="137">
        <f t="shared" si="52"/>
        <v>0.98542450350952571</v>
      </c>
      <c r="V360" s="88">
        <f t="shared" si="48"/>
        <v>2.2663766427850143</v>
      </c>
      <c r="W360" s="86">
        <f t="shared" si="53"/>
        <v>6.4236233572149857</v>
      </c>
      <c r="X360" s="90">
        <f t="shared" si="49"/>
        <v>0.9754245035095257</v>
      </c>
    </row>
    <row r="361" spans="13:24" x14ac:dyDescent="0.25">
      <c r="M361" s="91">
        <v>3.58</v>
      </c>
      <c r="N361" s="89">
        <f t="shared" si="45"/>
        <v>10.42</v>
      </c>
      <c r="O361" s="89">
        <f t="shared" si="46"/>
        <v>4.0065240637462791</v>
      </c>
      <c r="P361" s="97">
        <f t="shared" si="47"/>
        <v>5.8265240637462803</v>
      </c>
      <c r="Q361" s="135">
        <f t="shared" si="50"/>
        <v>9.8509005861067072E-5</v>
      </c>
      <c r="R361" s="89">
        <f t="shared" si="50"/>
        <v>1.4909941389328612E-6</v>
      </c>
      <c r="S361" s="89">
        <f t="shared" si="51"/>
        <v>2.6302679918953782E-4</v>
      </c>
      <c r="T361" s="136">
        <f t="shared" si="51"/>
        <v>3.8018939632055986E-11</v>
      </c>
      <c r="U361" s="137">
        <f t="shared" si="52"/>
        <v>0.98509005861067134</v>
      </c>
      <c r="V361" s="88">
        <f t="shared" si="48"/>
        <v>2.2465240637462802</v>
      </c>
      <c r="W361" s="86">
        <f t="shared" si="53"/>
        <v>6.4134759362537208</v>
      </c>
      <c r="X361" s="90">
        <f t="shared" si="49"/>
        <v>0.97509005861067133</v>
      </c>
    </row>
    <row r="362" spans="13:24" x14ac:dyDescent="0.25">
      <c r="M362" s="91">
        <v>3.59</v>
      </c>
      <c r="N362" s="89">
        <f t="shared" si="45"/>
        <v>10.41</v>
      </c>
      <c r="O362" s="89">
        <f t="shared" si="46"/>
        <v>4.0066748667967502</v>
      </c>
      <c r="P362" s="97">
        <f t="shared" si="47"/>
        <v>5.8166748667967507</v>
      </c>
      <c r="Q362" s="135">
        <f t="shared" si="50"/>
        <v>9.8474805841682194E-5</v>
      </c>
      <c r="R362" s="89">
        <f t="shared" si="50"/>
        <v>1.525194158317772E-6</v>
      </c>
      <c r="S362" s="89">
        <f t="shared" si="51"/>
        <v>2.5703957827688604E-4</v>
      </c>
      <c r="T362" s="136">
        <f t="shared" si="51"/>
        <v>3.8904514499427922E-11</v>
      </c>
      <c r="U362" s="137">
        <f t="shared" si="52"/>
        <v>0.98474805841682234</v>
      </c>
      <c r="V362" s="88">
        <f t="shared" si="48"/>
        <v>2.2266748667967509</v>
      </c>
      <c r="W362" s="86">
        <f t="shared" si="53"/>
        <v>6.4033251332032499</v>
      </c>
      <c r="X362" s="90">
        <f t="shared" si="49"/>
        <v>0.97474805841682233</v>
      </c>
    </row>
    <row r="363" spans="13:24" x14ac:dyDescent="0.25">
      <c r="M363" s="91">
        <v>3.6</v>
      </c>
      <c r="N363" s="89">
        <f t="shared" si="45"/>
        <v>10.4</v>
      </c>
      <c r="O363" s="89">
        <f t="shared" si="46"/>
        <v>4.0068291283124529</v>
      </c>
      <c r="P363" s="97">
        <f t="shared" si="47"/>
        <v>5.8068291283124536</v>
      </c>
      <c r="Q363" s="135">
        <f t="shared" si="50"/>
        <v>9.843983377581694E-5</v>
      </c>
      <c r="R363" s="89">
        <f t="shared" si="50"/>
        <v>1.5601662241829549E-6</v>
      </c>
      <c r="S363" s="89">
        <f t="shared" si="51"/>
        <v>2.5118864315095774E-4</v>
      </c>
      <c r="T363" s="136">
        <f t="shared" si="51"/>
        <v>3.9810717055349579E-11</v>
      </c>
      <c r="U363" s="137">
        <f t="shared" si="52"/>
        <v>0.98439833775817043</v>
      </c>
      <c r="V363" s="88">
        <f t="shared" si="48"/>
        <v>2.2068291283124535</v>
      </c>
      <c r="W363" s="86">
        <f t="shared" si="53"/>
        <v>6.3931708716875475</v>
      </c>
      <c r="X363" s="90">
        <f t="shared" si="49"/>
        <v>0.97439833775817042</v>
      </c>
    </row>
    <row r="364" spans="13:24" x14ac:dyDescent="0.25">
      <c r="M364" s="91">
        <v>3.61</v>
      </c>
      <c r="N364" s="89">
        <f t="shared" si="45"/>
        <v>10.39</v>
      </c>
      <c r="O364" s="89">
        <f t="shared" si="46"/>
        <v>4.0069869263378415</v>
      </c>
      <c r="P364" s="97">
        <f t="shared" si="47"/>
        <v>5.7969869263378424</v>
      </c>
      <c r="Q364" s="135">
        <f t="shared" si="50"/>
        <v>9.8404072810939774E-5</v>
      </c>
      <c r="R364" s="89">
        <f t="shared" si="50"/>
        <v>1.595927189060251E-6</v>
      </c>
      <c r="S364" s="89">
        <f t="shared" si="51"/>
        <v>2.4547089156850275E-4</v>
      </c>
      <c r="T364" s="136">
        <f t="shared" si="51"/>
        <v>4.0738027780411121E-11</v>
      </c>
      <c r="U364" s="137">
        <f t="shared" si="52"/>
        <v>0.98404072810939747</v>
      </c>
      <c r="V364" s="88">
        <f t="shared" si="48"/>
        <v>2.1869869263378425</v>
      </c>
      <c r="W364" s="86">
        <f t="shared" si="53"/>
        <v>6.3830130736621591</v>
      </c>
      <c r="X364" s="90">
        <f t="shared" si="49"/>
        <v>0.97404072810939746</v>
      </c>
    </row>
    <row r="365" spans="13:24" x14ac:dyDescent="0.25">
      <c r="M365" s="91">
        <v>3.62</v>
      </c>
      <c r="N365" s="89">
        <f t="shared" si="45"/>
        <v>10.379999999999999</v>
      </c>
      <c r="O365" s="89">
        <f t="shared" si="46"/>
        <v>4.0071483406196364</v>
      </c>
      <c r="P365" s="97">
        <f t="shared" si="47"/>
        <v>5.7871483406196376</v>
      </c>
      <c r="Q365" s="135">
        <f t="shared" si="50"/>
        <v>9.8367505753344574E-5</v>
      </c>
      <c r="R365" s="89">
        <f t="shared" si="50"/>
        <v>1.6324942466553917E-6</v>
      </c>
      <c r="S365" s="89">
        <f t="shared" si="51"/>
        <v>2.398832919019488E-4</v>
      </c>
      <c r="T365" s="136">
        <f t="shared" si="51"/>
        <v>4.1686938347033529E-11</v>
      </c>
      <c r="U365" s="137">
        <f t="shared" si="52"/>
        <v>0.98367505753344608</v>
      </c>
      <c r="V365" s="88">
        <f t="shared" si="48"/>
        <v>2.1671483406196375</v>
      </c>
      <c r="W365" s="86">
        <f t="shared" si="53"/>
        <v>6.3728516593803626</v>
      </c>
      <c r="X365" s="90">
        <f t="shared" si="49"/>
        <v>0.97367505753344608</v>
      </c>
    </row>
    <row r="366" spans="13:24" x14ac:dyDescent="0.25">
      <c r="M366" s="91">
        <v>3.63</v>
      </c>
      <c r="N366" s="89">
        <f t="shared" si="45"/>
        <v>10.370000000000001</v>
      </c>
      <c r="O366" s="89">
        <f t="shared" si="46"/>
        <v>4.0073134526412231</v>
      </c>
      <c r="P366" s="97">
        <f t="shared" si="47"/>
        <v>5.7773134526412235</v>
      </c>
      <c r="Q366" s="135">
        <f t="shared" si="50"/>
        <v>9.8330115062492902E-5</v>
      </c>
      <c r="R366" s="89">
        <f t="shared" si="50"/>
        <v>1.6698849375071108E-6</v>
      </c>
      <c r="S366" s="89">
        <f t="shared" si="51"/>
        <v>2.3442288153199204E-4</v>
      </c>
      <c r="T366" s="136">
        <f t="shared" si="51"/>
        <v>4.2657951880159099E-11</v>
      </c>
      <c r="U366" s="137">
        <f t="shared" si="52"/>
        <v>0.98330115062492884</v>
      </c>
      <c r="V366" s="88">
        <f t="shared" si="48"/>
        <v>2.1473134526412236</v>
      </c>
      <c r="W366" s="86">
        <f t="shared" si="53"/>
        <v>6.3626865473587779</v>
      </c>
      <c r="X366" s="90">
        <f t="shared" si="49"/>
        <v>0.97330115062492883</v>
      </c>
    </row>
    <row r="367" spans="13:24" x14ac:dyDescent="0.25">
      <c r="M367" s="91">
        <v>3.64</v>
      </c>
      <c r="N367" s="89">
        <f t="shared" si="45"/>
        <v>10.36</v>
      </c>
      <c r="O367" s="89">
        <f t="shared" si="46"/>
        <v>4.0074823456576176</v>
      </c>
      <c r="P367" s="97">
        <f t="shared" si="47"/>
        <v>5.7674823456576183</v>
      </c>
      <c r="Q367" s="135">
        <f t="shared" si="50"/>
        <v>9.8291882845320583E-5</v>
      </c>
      <c r="R367" s="89">
        <f t="shared" si="50"/>
        <v>1.7081171546793416E-6</v>
      </c>
      <c r="S367" s="89">
        <f t="shared" si="51"/>
        <v>2.2908676527677712E-4</v>
      </c>
      <c r="T367" s="136">
        <f t="shared" si="51"/>
        <v>4.3651583224016577E-11</v>
      </c>
      <c r="U367" s="137">
        <f t="shared" si="52"/>
        <v>0.98291882845320655</v>
      </c>
      <c r="V367" s="88">
        <f t="shared" si="48"/>
        <v>2.1274823456576182</v>
      </c>
      <c r="W367" s="86">
        <f t="shared" si="53"/>
        <v>6.3525176543423818</v>
      </c>
      <c r="X367" s="90">
        <f t="shared" si="49"/>
        <v>0.97291882845320654</v>
      </c>
    </row>
    <row r="368" spans="13:24" x14ac:dyDescent="0.25">
      <c r="M368" s="91">
        <v>3.65</v>
      </c>
      <c r="N368" s="89">
        <f t="shared" si="45"/>
        <v>10.35</v>
      </c>
      <c r="O368" s="89">
        <f t="shared" si="46"/>
        <v>4.0076551047310085</v>
      </c>
      <c r="P368" s="97">
        <f t="shared" si="47"/>
        <v>5.7576551047310094</v>
      </c>
      <c r="Q368" s="135">
        <f t="shared" si="50"/>
        <v>9.8252790850516673E-5</v>
      </c>
      <c r="R368" s="89">
        <f t="shared" si="50"/>
        <v>1.7472091494833399E-6</v>
      </c>
      <c r="S368" s="89">
        <f t="shared" si="51"/>
        <v>2.2387211385683381E-4</v>
      </c>
      <c r="T368" s="136">
        <f t="shared" si="51"/>
        <v>4.4668359215096281E-11</v>
      </c>
      <c r="U368" s="137">
        <f t="shared" si="52"/>
        <v>0.98252790850516658</v>
      </c>
      <c r="V368" s="88">
        <f t="shared" si="48"/>
        <v>2.1076551047310095</v>
      </c>
      <c r="W368" s="86">
        <f t="shared" si="53"/>
        <v>6.3423448952689911</v>
      </c>
      <c r="X368" s="90">
        <f t="shared" si="49"/>
        <v>0.97252790850516657</v>
      </c>
    </row>
    <row r="369" spans="13:24" x14ac:dyDescent="0.25">
      <c r="M369" s="91">
        <v>3.66</v>
      </c>
      <c r="N369" s="89">
        <f t="shared" si="45"/>
        <v>10.34</v>
      </c>
      <c r="O369" s="89">
        <f t="shared" si="46"/>
        <v>4.0078318167668678</v>
      </c>
      <c r="P369" s="97">
        <f t="shared" si="47"/>
        <v>5.7478318167668689</v>
      </c>
      <c r="Q369" s="135">
        <f t="shared" si="50"/>
        <v>9.8212820462773731E-5</v>
      </c>
      <c r="R369" s="89">
        <f t="shared" si="50"/>
        <v>1.7871795372261697E-6</v>
      </c>
      <c r="S369" s="89">
        <f t="shared" si="51"/>
        <v>2.1877616239495513E-4</v>
      </c>
      <c r="T369" s="136">
        <f t="shared" si="51"/>
        <v>4.5708818961487472E-11</v>
      </c>
      <c r="U369" s="137">
        <f t="shared" si="52"/>
        <v>0.98212820462773831</v>
      </c>
      <c r="V369" s="88">
        <f t="shared" si="48"/>
        <v>2.0878318167668688</v>
      </c>
      <c r="W369" s="86">
        <f t="shared" si="53"/>
        <v>6.332168183233132</v>
      </c>
      <c r="X369" s="90">
        <f t="shared" si="49"/>
        <v>0.9721282046277383</v>
      </c>
    </row>
    <row r="370" spans="13:24" x14ac:dyDescent="0.25">
      <c r="M370" s="91">
        <v>3.67</v>
      </c>
      <c r="N370" s="89">
        <f t="shared" si="45"/>
        <v>10.33</v>
      </c>
      <c r="O370" s="89">
        <f t="shared" si="46"/>
        <v>4.0080125705506369</v>
      </c>
      <c r="P370" s="97">
        <f t="shared" si="47"/>
        <v>5.7380125705506382</v>
      </c>
      <c r="Q370" s="135">
        <f t="shared" si="50"/>
        <v>9.8171952697018083E-5</v>
      </c>
      <c r="R370" s="89">
        <f t="shared" si="50"/>
        <v>1.8280473029819233E-6</v>
      </c>
      <c r="S370" s="89">
        <f t="shared" si="51"/>
        <v>2.137962089502231E-4</v>
      </c>
      <c r="T370" s="136">
        <f t="shared" si="51"/>
        <v>4.6773514128719782E-11</v>
      </c>
      <c r="U370" s="137">
        <f t="shared" si="52"/>
        <v>0.98171952697018083</v>
      </c>
      <c r="V370" s="88">
        <f t="shared" si="48"/>
        <v>2.0680125705506383</v>
      </c>
      <c r="W370" s="86">
        <f t="shared" si="53"/>
        <v>6.3219874294493632</v>
      </c>
      <c r="X370" s="90">
        <f t="shared" si="49"/>
        <v>0.97171952697018082</v>
      </c>
    </row>
    <row r="371" spans="13:24" x14ac:dyDescent="0.25">
      <c r="M371" s="91">
        <v>3.68</v>
      </c>
      <c r="N371" s="89">
        <f t="shared" si="45"/>
        <v>10.32</v>
      </c>
      <c r="O371" s="89">
        <f t="shared" si="46"/>
        <v>4.0081974567849956</v>
      </c>
      <c r="P371" s="97">
        <f t="shared" si="47"/>
        <v>5.7281974567849963</v>
      </c>
      <c r="Q371" s="135">
        <f t="shared" si="50"/>
        <v>9.8130168192618277E-5</v>
      </c>
      <c r="R371" s="89">
        <f t="shared" si="50"/>
        <v>1.8698318073816037E-6</v>
      </c>
      <c r="S371" s="89">
        <f t="shared" si="51"/>
        <v>2.0892961308540387E-4</v>
      </c>
      <c r="T371" s="136">
        <f t="shared" si="51"/>
        <v>4.786300923226362E-11</v>
      </c>
      <c r="U371" s="137">
        <f t="shared" si="52"/>
        <v>0.98130168192618394</v>
      </c>
      <c r="V371" s="88">
        <f t="shared" si="48"/>
        <v>2.0481974567849961</v>
      </c>
      <c r="W371" s="86">
        <f t="shared" si="53"/>
        <v>6.3118025432150047</v>
      </c>
      <c r="X371" s="90">
        <f t="shared" si="49"/>
        <v>0.97130168192618394</v>
      </c>
    </row>
    <row r="372" spans="13:24" x14ac:dyDescent="0.25">
      <c r="M372" s="91">
        <v>3.69</v>
      </c>
      <c r="N372" s="89">
        <f t="shared" si="45"/>
        <v>10.31</v>
      </c>
      <c r="O372" s="89">
        <f t="shared" si="46"/>
        <v>4.0083865681277047</v>
      </c>
      <c r="P372" s="97">
        <f t="shared" si="47"/>
        <v>5.7183865681277055</v>
      </c>
      <c r="Q372" s="135">
        <f t="shared" si="50"/>
        <v>9.8087447207582297E-5</v>
      </c>
      <c r="R372" s="89">
        <f t="shared" si="50"/>
        <v>1.9125527924175643E-6</v>
      </c>
      <c r="S372" s="89">
        <f t="shared" si="51"/>
        <v>2.0417379446695288E-4</v>
      </c>
      <c r="T372" s="136">
        <f t="shared" si="51"/>
        <v>4.8977881936844399E-11</v>
      </c>
      <c r="U372" s="137">
        <f t="shared" si="52"/>
        <v>0.98087447207582434</v>
      </c>
      <c r="V372" s="88">
        <f t="shared" si="48"/>
        <v>2.0283865681277056</v>
      </c>
      <c r="W372" s="86">
        <f t="shared" si="53"/>
        <v>6.3016134318722958</v>
      </c>
      <c r="X372" s="90">
        <f t="shared" si="49"/>
        <v>0.97087447207582434</v>
      </c>
    </row>
    <row r="373" spans="13:24" x14ac:dyDescent="0.25">
      <c r="M373" s="91">
        <v>3.7</v>
      </c>
      <c r="N373" s="89">
        <f t="shared" si="45"/>
        <v>10.3</v>
      </c>
      <c r="O373" s="89">
        <f t="shared" si="46"/>
        <v>4.0085799992300357</v>
      </c>
      <c r="P373" s="97">
        <f t="shared" si="47"/>
        <v>5.7085799992300359</v>
      </c>
      <c r="Q373" s="135">
        <f t="shared" si="50"/>
        <v>9.8043769612741994E-5</v>
      </c>
      <c r="R373" s="89">
        <f t="shared" si="50"/>
        <v>1.956230387257948E-6</v>
      </c>
      <c r="S373" s="89">
        <f t="shared" si="51"/>
        <v>1.9952623149688758E-4</v>
      </c>
      <c r="T373" s="136">
        <f t="shared" si="51"/>
        <v>5.0118723362726993E-11</v>
      </c>
      <c r="U373" s="137">
        <f t="shared" si="52"/>
        <v>0.9804376961274206</v>
      </c>
      <c r="V373" s="88">
        <f t="shared" si="48"/>
        <v>2.0085799992300357</v>
      </c>
      <c r="W373" s="86">
        <f t="shared" si="53"/>
        <v>6.291420000769965</v>
      </c>
      <c r="X373" s="90">
        <f t="shared" si="49"/>
        <v>0.97043769612742059</v>
      </c>
    </row>
    <row r="374" spans="13:24" x14ac:dyDescent="0.25">
      <c r="M374" s="91">
        <v>3.71</v>
      </c>
      <c r="N374" s="89">
        <f t="shared" si="45"/>
        <v>10.29</v>
      </c>
      <c r="O374" s="89">
        <f t="shared" si="46"/>
        <v>4.0087778467757786</v>
      </c>
      <c r="P374" s="97">
        <f t="shared" si="47"/>
        <v>5.698777846775779</v>
      </c>
      <c r="Q374" s="135">
        <f t="shared" si="50"/>
        <v>9.7999114885933525E-5</v>
      </c>
      <c r="R374" s="89">
        <f t="shared" si="50"/>
        <v>2.0008851140663868E-6</v>
      </c>
      <c r="S374" s="89">
        <f t="shared" si="51"/>
        <v>1.9498445997580453E-4</v>
      </c>
      <c r="T374" s="136">
        <f t="shared" si="51"/>
        <v>5.1286138399136428E-11</v>
      </c>
      <c r="U374" s="137">
        <f t="shared" si="52"/>
        <v>0.97999114885933614</v>
      </c>
      <c r="V374" s="88">
        <f t="shared" si="48"/>
        <v>1.9887778467757791</v>
      </c>
      <c r="W374" s="86">
        <f t="shared" si="53"/>
        <v>6.2812221532242205</v>
      </c>
      <c r="X374" s="90">
        <f t="shared" si="49"/>
        <v>0.96999114885933613</v>
      </c>
    </row>
    <row r="375" spans="13:24" x14ac:dyDescent="0.25">
      <c r="M375" s="91">
        <v>3.72</v>
      </c>
      <c r="N375" s="89">
        <f t="shared" si="45"/>
        <v>10.28</v>
      </c>
      <c r="O375" s="89">
        <f t="shared" si="46"/>
        <v>4.0089802095208311</v>
      </c>
      <c r="P375" s="97">
        <f t="shared" si="47"/>
        <v>5.6889802095208317</v>
      </c>
      <c r="Q375" s="135">
        <f t="shared" si="50"/>
        <v>9.7953462106178032E-5</v>
      </c>
      <c r="R375" s="89">
        <f t="shared" si="50"/>
        <v>2.0465378938219518E-6</v>
      </c>
      <c r="S375" s="89">
        <f t="shared" si="51"/>
        <v>1.9054607179632438E-4</v>
      </c>
      <c r="T375" s="136">
        <f t="shared" si="51"/>
        <v>5.2480746024977191E-11</v>
      </c>
      <c r="U375" s="137">
        <f t="shared" si="52"/>
        <v>0.97953462106178057</v>
      </c>
      <c r="V375" s="88">
        <f t="shared" si="48"/>
        <v>1.9689802095208315</v>
      </c>
      <c r="W375" s="86">
        <f t="shared" si="53"/>
        <v>6.2710197904791682</v>
      </c>
      <c r="X375" s="90">
        <f t="shared" si="49"/>
        <v>0.96953462106178057</v>
      </c>
    </row>
    <row r="376" spans="13:24" x14ac:dyDescent="0.25">
      <c r="M376" s="91">
        <v>3.73</v>
      </c>
      <c r="N376" s="89">
        <f t="shared" si="45"/>
        <v>10.27</v>
      </c>
      <c r="O376" s="89">
        <f t="shared" si="46"/>
        <v>4.0091871883333718</v>
      </c>
      <c r="P376" s="97">
        <f t="shared" si="47"/>
        <v>5.6791871883333727</v>
      </c>
      <c r="Q376" s="135">
        <f t="shared" si="50"/>
        <v>9.790678994786612E-5</v>
      </c>
      <c r="R376" s="89">
        <f t="shared" si="50"/>
        <v>2.0932100521339525E-6</v>
      </c>
      <c r="S376" s="89">
        <f t="shared" si="51"/>
        <v>1.8620871366628676E-4</v>
      </c>
      <c r="T376" s="136">
        <f t="shared" si="51"/>
        <v>5.3703179637025198E-11</v>
      </c>
      <c r="U376" s="137">
        <f t="shared" si="52"/>
        <v>0.97906789947866046</v>
      </c>
      <c r="V376" s="88">
        <f t="shared" si="48"/>
        <v>1.9491871883333727</v>
      </c>
      <c r="W376" s="86">
        <f t="shared" si="53"/>
        <v>6.2608128116666277</v>
      </c>
      <c r="X376" s="90">
        <f t="shared" si="49"/>
        <v>0.96906789947866045</v>
      </c>
    </row>
    <row r="377" spans="13:24" x14ac:dyDescent="0.25">
      <c r="M377" s="91">
        <v>3.74</v>
      </c>
      <c r="N377" s="89">
        <f t="shared" si="45"/>
        <v>10.26</v>
      </c>
      <c r="O377" s="89">
        <f t="shared" si="46"/>
        <v>4.0093988862346155</v>
      </c>
      <c r="P377" s="97">
        <f t="shared" si="47"/>
        <v>5.6693988862346156</v>
      </c>
      <c r="Q377" s="135">
        <f t="shared" si="50"/>
        <v>9.7859076674953902E-5</v>
      </c>
      <c r="R377" s="89">
        <f t="shared" si="50"/>
        <v>2.1409233250460091E-6</v>
      </c>
      <c r="S377" s="89">
        <f t="shared" si="51"/>
        <v>1.8197008586099805E-4</v>
      </c>
      <c r="T377" s="136">
        <f t="shared" si="51"/>
        <v>5.4954087385762376E-11</v>
      </c>
      <c r="U377" s="137">
        <f t="shared" si="52"/>
        <v>0.97859076674953993</v>
      </c>
      <c r="V377" s="88">
        <f t="shared" si="48"/>
        <v>1.9293988862346154</v>
      </c>
      <c r="W377" s="86">
        <f t="shared" si="53"/>
        <v>6.2506011137653843</v>
      </c>
      <c r="X377" s="90">
        <f t="shared" si="49"/>
        <v>0.96859076674953992</v>
      </c>
    </row>
    <row r="378" spans="13:24" x14ac:dyDescent="0.25">
      <c r="M378" s="91">
        <v>3.75</v>
      </c>
      <c r="N378" s="89">
        <f t="shared" si="45"/>
        <v>10.25</v>
      </c>
      <c r="O378" s="89">
        <f t="shared" si="46"/>
        <v>4.0096154084401414</v>
      </c>
      <c r="P378" s="97">
        <f t="shared" si="47"/>
        <v>5.6596154084401418</v>
      </c>
      <c r="Q378" s="135">
        <f t="shared" si="50"/>
        <v>9.7810300135176519E-5</v>
      </c>
      <c r="R378" s="89">
        <f t="shared" si="50"/>
        <v>2.1896998648233333E-6</v>
      </c>
      <c r="S378" s="89">
        <f t="shared" si="51"/>
        <v>1.7782794100389203E-4</v>
      </c>
      <c r="T378" s="136">
        <f t="shared" si="51"/>
        <v>5.6234132519034822E-11</v>
      </c>
      <c r="U378" s="137">
        <f t="shared" si="52"/>
        <v>0.97810300135176664</v>
      </c>
      <c r="V378" s="88">
        <f t="shared" si="48"/>
        <v>1.9096154084401418</v>
      </c>
      <c r="W378" s="86">
        <f t="shared" si="53"/>
        <v>6.2403845915598586</v>
      </c>
      <c r="X378" s="90">
        <f t="shared" si="49"/>
        <v>0.96810300135176663</v>
      </c>
    </row>
    <row r="379" spans="13:24" x14ac:dyDescent="0.25">
      <c r="M379" s="91">
        <v>3.76</v>
      </c>
      <c r="N379" s="89">
        <f t="shared" si="45"/>
        <v>10.24</v>
      </c>
      <c r="O379" s="89">
        <f t="shared" si="46"/>
        <v>4.0098368624018086</v>
      </c>
      <c r="P379" s="97">
        <f t="shared" si="47"/>
        <v>5.6498368624018092</v>
      </c>
      <c r="Q379" s="135">
        <f t="shared" si="50"/>
        <v>9.776043775428299E-5</v>
      </c>
      <c r="R379" s="89">
        <f t="shared" si="50"/>
        <v>2.2395622457170378E-6</v>
      </c>
      <c r="S379" s="89">
        <f t="shared" si="51"/>
        <v>1.737800828749376E-4</v>
      </c>
      <c r="T379" s="136">
        <f t="shared" si="51"/>
        <v>5.7543993733715601E-11</v>
      </c>
      <c r="U379" s="137">
        <f t="shared" si="52"/>
        <v>0.97760437754282958</v>
      </c>
      <c r="V379" s="88">
        <f t="shared" si="48"/>
        <v>1.8898368624018094</v>
      </c>
      <c r="W379" s="86">
        <f t="shared" si="53"/>
        <v>6.2301631375981916</v>
      </c>
      <c r="X379" s="90">
        <f t="shared" si="49"/>
        <v>0.96760437754282957</v>
      </c>
    </row>
    <row r="380" spans="13:24" x14ac:dyDescent="0.25">
      <c r="M380" s="91">
        <v>3.77</v>
      </c>
      <c r="N380" s="89">
        <f t="shared" si="45"/>
        <v>10.23</v>
      </c>
      <c r="O380" s="89">
        <f t="shared" si="46"/>
        <v>4.0100633578502398</v>
      </c>
      <c r="P380" s="97">
        <f t="shared" si="47"/>
        <v>5.6400633578502397</v>
      </c>
      <c r="Q380" s="135">
        <f t="shared" si="50"/>
        <v>9.7709466530301067E-5</v>
      </c>
      <c r="R380" s="89">
        <f t="shared" si="50"/>
        <v>2.2905334696986956E-6</v>
      </c>
      <c r="S380" s="89">
        <f t="shared" si="51"/>
        <v>1.6982436524617421E-4</v>
      </c>
      <c r="T380" s="136">
        <f t="shared" si="51"/>
        <v>5.8884365535558786E-11</v>
      </c>
      <c r="U380" s="137">
        <f t="shared" si="52"/>
        <v>0.97709466530301303</v>
      </c>
      <c r="V380" s="88">
        <f t="shared" si="48"/>
        <v>1.8700633578502397</v>
      </c>
      <c r="W380" s="86">
        <f t="shared" si="53"/>
        <v>6.2199366421497606</v>
      </c>
      <c r="X380" s="90">
        <f t="shared" si="49"/>
        <v>0.96709466530301302</v>
      </c>
    </row>
    <row r="381" spans="13:24" x14ac:dyDescent="0.25">
      <c r="M381" s="91">
        <v>3.78</v>
      </c>
      <c r="N381" s="89">
        <f t="shared" si="45"/>
        <v>10.220000000000001</v>
      </c>
      <c r="O381" s="89">
        <f t="shared" si="46"/>
        <v>4.0102950068378762</v>
      </c>
      <c r="P381" s="97">
        <f t="shared" si="47"/>
        <v>5.6302950068378772</v>
      </c>
      <c r="Q381" s="135">
        <f t="shared" si="50"/>
        <v>9.7657363027841665E-5</v>
      </c>
      <c r="R381" s="89">
        <f t="shared" si="50"/>
        <v>2.3426369721582297E-6</v>
      </c>
      <c r="S381" s="89">
        <f t="shared" si="51"/>
        <v>1.6595869074375585E-4</v>
      </c>
      <c r="T381" s="136">
        <f t="shared" si="51"/>
        <v>6.0255958607435443E-11</v>
      </c>
      <c r="U381" s="137">
        <f t="shared" si="52"/>
        <v>0.9765736302784177</v>
      </c>
      <c r="V381" s="88">
        <f t="shared" si="48"/>
        <v>1.8502950068378774</v>
      </c>
      <c r="W381" s="86">
        <f t="shared" si="53"/>
        <v>6.2097049931621244</v>
      </c>
      <c r="X381" s="90">
        <f t="shared" si="49"/>
        <v>0.96657363027841769</v>
      </c>
    </row>
    <row r="382" spans="13:24" x14ac:dyDescent="0.25">
      <c r="M382" s="91">
        <v>3.79</v>
      </c>
      <c r="N382" s="89">
        <f t="shared" si="45"/>
        <v>10.210000000000001</v>
      </c>
      <c r="O382" s="89">
        <f t="shared" si="46"/>
        <v>4.010531923782608</v>
      </c>
      <c r="P382" s="97">
        <f t="shared" si="47"/>
        <v>5.6205319237826092</v>
      </c>
      <c r="Q382" s="135">
        <f t="shared" si="50"/>
        <v>9.7604103372442194E-5</v>
      </c>
      <c r="R382" s="89">
        <f t="shared" si="50"/>
        <v>2.3958966275577665E-6</v>
      </c>
      <c r="S382" s="89">
        <f t="shared" si="51"/>
        <v>1.6218100973589279E-4</v>
      </c>
      <c r="T382" s="136">
        <f t="shared" si="51"/>
        <v>6.1659500186147878E-11</v>
      </c>
      <c r="U382" s="137">
        <f t="shared" si="52"/>
        <v>0.9760410337244223</v>
      </c>
      <c r="V382" s="88">
        <f t="shared" si="48"/>
        <v>1.8305319237826092</v>
      </c>
      <c r="W382" s="86">
        <f t="shared" si="53"/>
        <v>6.1994680762173928</v>
      </c>
      <c r="X382" s="90">
        <f t="shared" si="49"/>
        <v>0.96604103372442229</v>
      </c>
    </row>
    <row r="383" spans="13:24" x14ac:dyDescent="0.25">
      <c r="M383" s="91">
        <v>3.8</v>
      </c>
      <c r="N383" s="89">
        <f t="shared" si="45"/>
        <v>10.199999999999999</v>
      </c>
      <c r="O383" s="89">
        <f t="shared" si="46"/>
        <v>4.0107742255119572</v>
      </c>
      <c r="P383" s="97">
        <f t="shared" si="47"/>
        <v>5.6107742255119577</v>
      </c>
      <c r="Q383" s="135">
        <f t="shared" si="50"/>
        <v>9.7549663244966215E-5</v>
      </c>
      <c r="R383" s="89">
        <f t="shared" si="50"/>
        <v>2.4503367550335926E-6</v>
      </c>
      <c r="S383" s="89">
        <f t="shared" si="51"/>
        <v>1.584893192461112E-4</v>
      </c>
      <c r="T383" s="136">
        <f t="shared" si="51"/>
        <v>6.3095734448019192E-11</v>
      </c>
      <c r="U383" s="137">
        <f t="shared" si="52"/>
        <v>0.97549663244966411</v>
      </c>
      <c r="V383" s="88">
        <f t="shared" si="48"/>
        <v>1.8107742255119579</v>
      </c>
      <c r="W383" s="86">
        <f t="shared" si="53"/>
        <v>6.1892257744880421</v>
      </c>
      <c r="X383" s="90">
        <f t="shared" si="49"/>
        <v>0.96549663244966411</v>
      </c>
    </row>
    <row r="384" spans="13:24" x14ac:dyDescent="0.25">
      <c r="M384" s="91">
        <v>3.81</v>
      </c>
      <c r="N384" s="89">
        <f t="shared" si="45"/>
        <v>10.19</v>
      </c>
      <c r="O384" s="89">
        <f t="shared" si="46"/>
        <v>4.0110220313078226</v>
      </c>
      <c r="P384" s="97">
        <f t="shared" si="47"/>
        <v>5.6010220313078234</v>
      </c>
      <c r="Q384" s="135">
        <f t="shared" si="50"/>
        <v>9.7494017876061754E-5</v>
      </c>
      <c r="R384" s="89">
        <f t="shared" si="50"/>
        <v>2.5059821239382117E-6</v>
      </c>
      <c r="S384" s="89">
        <f t="shared" si="51"/>
        <v>1.5488166189124797E-4</v>
      </c>
      <c r="T384" s="136">
        <f t="shared" si="51"/>
        <v>6.4565422903465416E-11</v>
      </c>
      <c r="U384" s="137">
        <f t="shared" si="52"/>
        <v>0.97494017876061789</v>
      </c>
      <c r="V384" s="88">
        <f t="shared" si="48"/>
        <v>1.7910220313078233</v>
      </c>
      <c r="W384" s="86">
        <f t="shared" si="53"/>
        <v>6.1789779686921769</v>
      </c>
      <c r="X384" s="90">
        <f t="shared" si="49"/>
        <v>0.96494017876061788</v>
      </c>
    </row>
    <row r="385" spans="13:24" x14ac:dyDescent="0.25">
      <c r="M385" s="91">
        <v>3.82</v>
      </c>
      <c r="N385" s="89">
        <f t="shared" si="45"/>
        <v>10.18</v>
      </c>
      <c r="O385" s="89">
        <f t="shared" si="46"/>
        <v>4.0112754629517813</v>
      </c>
      <c r="P385" s="97">
        <f t="shared" si="47"/>
        <v>5.5912754629517822</v>
      </c>
      <c r="Q385" s="135">
        <f t="shared" si="50"/>
        <v>9.7437142040686188E-5</v>
      </c>
      <c r="R385" s="89">
        <f t="shared" si="50"/>
        <v>2.5628579593138008E-6</v>
      </c>
      <c r="S385" s="89">
        <f t="shared" si="51"/>
        <v>1.5135612484362069E-4</v>
      </c>
      <c r="T385" s="136">
        <f t="shared" si="51"/>
        <v>6.606934480075945E-11</v>
      </c>
      <c r="U385" s="137">
        <f t="shared" si="52"/>
        <v>0.97437142040686198</v>
      </c>
      <c r="V385" s="88">
        <f t="shared" si="48"/>
        <v>1.7712754629517824</v>
      </c>
      <c r="W385" s="86">
        <f t="shared" si="53"/>
        <v>6.1687245370482184</v>
      </c>
      <c r="X385" s="90">
        <f t="shared" si="49"/>
        <v>0.96437142040686197</v>
      </c>
    </row>
    <row r="386" spans="13:24" x14ac:dyDescent="0.25">
      <c r="M386" s="91">
        <v>3.83</v>
      </c>
      <c r="N386" s="89">
        <f t="shared" si="45"/>
        <v>10.17</v>
      </c>
      <c r="O386" s="89">
        <f t="shared" si="46"/>
        <v>4.0115346447709213</v>
      </c>
      <c r="P386" s="97">
        <f t="shared" si="47"/>
        <v>5.5815346447709215</v>
      </c>
      <c r="Q386" s="135">
        <f t="shared" si="50"/>
        <v>9.7379010052711692E-5</v>
      </c>
      <c r="R386" s="89">
        <f t="shared" si="50"/>
        <v>2.6209899472882229E-6</v>
      </c>
      <c r="S386" s="89">
        <f t="shared" si="51"/>
        <v>1.4791083881682062E-4</v>
      </c>
      <c r="T386" s="136">
        <f t="shared" si="51"/>
        <v>6.7608297539198024E-11</v>
      </c>
      <c r="U386" s="137">
        <f t="shared" si="52"/>
        <v>0.97379010052711779</v>
      </c>
      <c r="V386" s="88">
        <f t="shared" si="48"/>
        <v>1.7515346447709215</v>
      </c>
      <c r="W386" s="86">
        <f t="shared" si="53"/>
        <v>6.1584653552290787</v>
      </c>
      <c r="X386" s="90">
        <f t="shared" si="49"/>
        <v>0.96379010052711778</v>
      </c>
    </row>
    <row r="387" spans="13:24" x14ac:dyDescent="0.25">
      <c r="M387" s="91">
        <v>3.84</v>
      </c>
      <c r="N387" s="89">
        <f t="shared" ref="N387:N450" si="54">14-M387</f>
        <v>10.16</v>
      </c>
      <c r="O387" s="89">
        <f t="shared" ref="O387:O450" si="55">-LOG(10^-$B$3/(1+10^(M387-$A$3)))</f>
        <v>4.0117997036842192</v>
      </c>
      <c r="P387" s="97">
        <f t="shared" ref="P387:P450" si="56">-LOG(10^-$B$3/(1+10^($A$3-M387)))</f>
        <v>5.5717997036842197</v>
      </c>
      <c r="Q387" s="135">
        <f t="shared" si="50"/>
        <v>9.731959575961587E-5</v>
      </c>
      <c r="R387" s="89">
        <f t="shared" si="50"/>
        <v>2.6804042403840108E-6</v>
      </c>
      <c r="S387" s="89">
        <f t="shared" si="51"/>
        <v>1.4454397707459266E-4</v>
      </c>
      <c r="T387" s="136">
        <f t="shared" si="51"/>
        <v>6.9183097091893483E-11</v>
      </c>
      <c r="U387" s="137">
        <f t="shared" si="52"/>
        <v>0.97319595759615984</v>
      </c>
      <c r="V387" s="88">
        <f t="shared" ref="V387:V450" si="57">ABS(P387-M387)</f>
        <v>1.7317997036842199</v>
      </c>
      <c r="W387" s="86">
        <f t="shared" si="53"/>
        <v>6.1482002963157809</v>
      </c>
      <c r="X387" s="90">
        <f t="shared" ref="X387:X450" si="58">ABS($J$2-U387)</f>
        <v>0.96319595759615984</v>
      </c>
    </row>
    <row r="388" spans="13:24" x14ac:dyDescent="0.25">
      <c r="M388" s="91">
        <v>3.85</v>
      </c>
      <c r="N388" s="89">
        <f t="shared" si="54"/>
        <v>10.15</v>
      </c>
      <c r="O388" s="89">
        <f t="shared" si="55"/>
        <v>4.0120707692494433</v>
      </c>
      <c r="P388" s="97">
        <f t="shared" si="56"/>
        <v>5.5620707692494431</v>
      </c>
      <c r="Q388" s="135">
        <f t="shared" ref="Q388:R451" si="59">10^-O388</f>
        <v>9.7258872537269131E-5</v>
      </c>
      <c r="R388" s="89">
        <f t="shared" si="59"/>
        <v>2.7411274627306462E-6</v>
      </c>
      <c r="S388" s="89">
        <f t="shared" ref="S388:T451" si="60">10^-M388</f>
        <v>1.4125375446227535E-4</v>
      </c>
      <c r="T388" s="136">
        <f t="shared" si="60"/>
        <v>7.079457843841361E-11</v>
      </c>
      <c r="U388" s="137">
        <f t="shared" ref="U388:U451" si="61">Q388/(Q388+R388)</f>
        <v>0.97258872537269347</v>
      </c>
      <c r="V388" s="88">
        <f t="shared" si="57"/>
        <v>1.712070769249443</v>
      </c>
      <c r="W388" s="86">
        <f t="shared" ref="W388:W451" si="62">ABS(O388-N388)</f>
        <v>6.1379292307505571</v>
      </c>
      <c r="X388" s="90">
        <f t="shared" si="58"/>
        <v>0.96258872537269347</v>
      </c>
    </row>
    <row r="389" spans="13:24" x14ac:dyDescent="0.25">
      <c r="M389" s="91">
        <v>3.86</v>
      </c>
      <c r="N389" s="89">
        <f t="shared" si="54"/>
        <v>10.14</v>
      </c>
      <c r="O389" s="89">
        <f t="shared" si="55"/>
        <v>4.0123479737105665</v>
      </c>
      <c r="P389" s="97">
        <f t="shared" si="56"/>
        <v>5.5523479737105665</v>
      </c>
      <c r="Q389" s="135">
        <f t="shared" si="59"/>
        <v>9.7196813284830265E-5</v>
      </c>
      <c r="R389" s="89">
        <f t="shared" si="59"/>
        <v>2.803186715169647E-6</v>
      </c>
      <c r="S389" s="89">
        <f t="shared" si="60"/>
        <v>1.3803842646028844E-4</v>
      </c>
      <c r="T389" s="136">
        <f t="shared" si="60"/>
        <v>7.2443596007498811E-11</v>
      </c>
      <c r="U389" s="137">
        <f t="shared" si="61"/>
        <v>0.97196813284830352</v>
      </c>
      <c r="V389" s="88">
        <f t="shared" si="57"/>
        <v>1.6923479737105667</v>
      </c>
      <c r="W389" s="86">
        <f t="shared" si="62"/>
        <v>6.1276520262894341</v>
      </c>
      <c r="X389" s="90">
        <f t="shared" si="58"/>
        <v>0.96196813284830351</v>
      </c>
    </row>
    <row r="390" spans="13:24" x14ac:dyDescent="0.25">
      <c r="M390" s="91">
        <v>3.87</v>
      </c>
      <c r="N390" s="89">
        <f t="shared" si="54"/>
        <v>10.129999999999999</v>
      </c>
      <c r="O390" s="89">
        <f t="shared" si="55"/>
        <v>4.0126314520456905</v>
      </c>
      <c r="P390" s="97">
        <f t="shared" si="56"/>
        <v>5.5426314520456907</v>
      </c>
      <c r="Q390" s="135">
        <f t="shared" si="59"/>
        <v>9.713339041975827E-5</v>
      </c>
      <c r="R390" s="89">
        <f t="shared" si="59"/>
        <v>2.8666095802417854E-6</v>
      </c>
      <c r="S390" s="89">
        <f t="shared" si="60"/>
        <v>1.3489628825916533E-4</v>
      </c>
      <c r="T390" s="136">
        <f t="shared" si="60"/>
        <v>7.413102413009181E-11</v>
      </c>
      <c r="U390" s="137">
        <f t="shared" si="61"/>
        <v>0.97133390419758214</v>
      </c>
      <c r="V390" s="88">
        <f t="shared" si="57"/>
        <v>1.6726314520456906</v>
      </c>
      <c r="W390" s="86">
        <f t="shared" si="62"/>
        <v>6.1173685479543085</v>
      </c>
      <c r="X390" s="90">
        <f t="shared" si="58"/>
        <v>0.96133390419758213</v>
      </c>
    </row>
    <row r="391" spans="13:24" x14ac:dyDescent="0.25">
      <c r="M391" s="91">
        <v>3.88</v>
      </c>
      <c r="N391" s="89">
        <f t="shared" si="54"/>
        <v>10.120000000000001</v>
      </c>
      <c r="O391" s="89">
        <f t="shared" si="55"/>
        <v>4.0129213420154599</v>
      </c>
      <c r="P391" s="97">
        <f t="shared" si="56"/>
        <v>5.5329213420154604</v>
      </c>
      <c r="Q391" s="135">
        <f t="shared" si="59"/>
        <v>9.7068575872954872E-5</v>
      </c>
      <c r="R391" s="89">
        <f t="shared" si="59"/>
        <v>2.9314241270450325E-6</v>
      </c>
      <c r="S391" s="89">
        <f t="shared" si="60"/>
        <v>1.3182567385564069E-4</v>
      </c>
      <c r="T391" s="136">
        <f t="shared" si="60"/>
        <v>7.5857757502918162E-11</v>
      </c>
      <c r="U391" s="137">
        <f t="shared" si="61"/>
        <v>0.97068575872954954</v>
      </c>
      <c r="V391" s="88">
        <f t="shared" si="57"/>
        <v>1.6529213420154605</v>
      </c>
      <c r="W391" s="86">
        <f t="shared" si="62"/>
        <v>6.1070786579845411</v>
      </c>
      <c r="X391" s="90">
        <f t="shared" si="58"/>
        <v>0.96068575872954953</v>
      </c>
    </row>
    <row r="392" spans="13:24" x14ac:dyDescent="0.25">
      <c r="M392" s="91">
        <v>3.89</v>
      </c>
      <c r="N392" s="89">
        <f t="shared" si="54"/>
        <v>10.11</v>
      </c>
      <c r="O392" s="89">
        <f t="shared" si="55"/>
        <v>4.0132177842119523</v>
      </c>
      <c r="P392" s="97">
        <f t="shared" si="56"/>
        <v>5.5232177842119521</v>
      </c>
      <c r="Q392" s="135">
        <f t="shared" si="59"/>
        <v>9.7002341084048366E-5</v>
      </c>
      <c r="R392" s="89">
        <f t="shared" si="59"/>
        <v>2.9976589159516011E-6</v>
      </c>
      <c r="S392" s="89">
        <f t="shared" si="60"/>
        <v>1.2882495516931315E-4</v>
      </c>
      <c r="T392" s="136">
        <f t="shared" si="60"/>
        <v>7.7624711662869221E-11</v>
      </c>
      <c r="U392" s="137">
        <f t="shared" si="61"/>
        <v>0.97002341084048405</v>
      </c>
      <c r="V392" s="88">
        <f t="shared" si="57"/>
        <v>1.633217784211952</v>
      </c>
      <c r="W392" s="86">
        <f t="shared" si="62"/>
        <v>6.0967822157880471</v>
      </c>
      <c r="X392" s="90">
        <f t="shared" si="58"/>
        <v>0.96002341084048404</v>
      </c>
    </row>
    <row r="393" spans="13:24" x14ac:dyDescent="0.25">
      <c r="M393" s="91">
        <v>3.9</v>
      </c>
      <c r="N393" s="89">
        <f t="shared" si="54"/>
        <v>10.1</v>
      </c>
      <c r="O393" s="89">
        <f t="shared" si="55"/>
        <v>4.0135209221080377</v>
      </c>
      <c r="P393" s="97">
        <f t="shared" si="56"/>
        <v>5.5135209221080386</v>
      </c>
      <c r="Q393" s="135">
        <f t="shared" si="59"/>
        <v>9.6934656996828459E-5</v>
      </c>
      <c r="R393" s="89">
        <f t="shared" si="59"/>
        <v>3.0653430031715461E-6</v>
      </c>
      <c r="S393" s="89">
        <f t="shared" si="60"/>
        <v>1.2589254117941672E-4</v>
      </c>
      <c r="T393" s="136">
        <f t="shared" si="60"/>
        <v>7.943282347242792E-11</v>
      </c>
      <c r="U393" s="137">
        <f t="shared" si="61"/>
        <v>0.9693465699682845</v>
      </c>
      <c r="V393" s="88">
        <f t="shared" si="57"/>
        <v>1.6135209221080387</v>
      </c>
      <c r="W393" s="86">
        <f t="shared" si="62"/>
        <v>6.086479077891962</v>
      </c>
      <c r="X393" s="90">
        <f t="shared" si="58"/>
        <v>0.95934656996828449</v>
      </c>
    </row>
    <row r="394" spans="13:24" x14ac:dyDescent="0.25">
      <c r="M394" s="91">
        <v>3.91</v>
      </c>
      <c r="N394" s="89">
        <f t="shared" si="54"/>
        <v>10.09</v>
      </c>
      <c r="O394" s="89">
        <f t="shared" si="55"/>
        <v>4.013830902107185</v>
      </c>
      <c r="P394" s="97">
        <f t="shared" si="56"/>
        <v>5.5038309021071852</v>
      </c>
      <c r="Q394" s="135">
        <f t="shared" si="59"/>
        <v>9.6865494054849388E-5</v>
      </c>
      <c r="R394" s="89">
        <f t="shared" si="59"/>
        <v>3.1345059451503878E-6</v>
      </c>
      <c r="S394" s="89">
        <f t="shared" si="60"/>
        <v>1.2302687708123794E-4</v>
      </c>
      <c r="T394" s="136">
        <f t="shared" si="60"/>
        <v>8.1283051616409667E-11</v>
      </c>
      <c r="U394" s="137">
        <f t="shared" si="61"/>
        <v>0.9686549405484961</v>
      </c>
      <c r="V394" s="88">
        <f t="shared" si="57"/>
        <v>1.593830902107185</v>
      </c>
      <c r="W394" s="86">
        <f t="shared" si="62"/>
        <v>6.0761690978928149</v>
      </c>
      <c r="X394" s="90">
        <f t="shared" si="58"/>
        <v>0.95865494054849609</v>
      </c>
    </row>
    <row r="395" spans="13:24" x14ac:dyDescent="0.25">
      <c r="M395" s="91">
        <v>3.92</v>
      </c>
      <c r="N395" s="89">
        <f t="shared" si="54"/>
        <v>10.08</v>
      </c>
      <c r="O395" s="89">
        <f t="shared" si="55"/>
        <v>4.014147873593692</v>
      </c>
      <c r="P395" s="97">
        <f t="shared" si="56"/>
        <v>5.4941478735936924</v>
      </c>
      <c r="Q395" s="135">
        <f t="shared" si="59"/>
        <v>9.6794822197212761E-5</v>
      </c>
      <c r="R395" s="89">
        <f t="shared" si="59"/>
        <v>3.2051778027871007E-6</v>
      </c>
      <c r="S395" s="89">
        <f t="shared" si="60"/>
        <v>1.202264434617413E-4</v>
      </c>
      <c r="T395" s="136">
        <f t="shared" si="60"/>
        <v>8.3176377110266833E-11</v>
      </c>
      <c r="U395" s="137">
        <f t="shared" si="61"/>
        <v>0.96794822197212904</v>
      </c>
      <c r="V395" s="88">
        <f t="shared" si="57"/>
        <v>1.5741478735936925</v>
      </c>
      <c r="W395" s="86">
        <f t="shared" si="62"/>
        <v>6.0658521264063081</v>
      </c>
      <c r="X395" s="90">
        <f t="shared" si="58"/>
        <v>0.95794822197212903</v>
      </c>
    </row>
    <row r="396" spans="13:24" x14ac:dyDescent="0.25">
      <c r="M396" s="91">
        <v>3.93</v>
      </c>
      <c r="N396" s="89">
        <f t="shared" si="54"/>
        <v>10.07</v>
      </c>
      <c r="O396" s="89">
        <f t="shared" si="55"/>
        <v>4.0144719889833409</v>
      </c>
      <c r="P396" s="97">
        <f t="shared" si="56"/>
        <v>5.4844719889833407</v>
      </c>
      <c r="Q396" s="135">
        <f t="shared" si="59"/>
        <v>9.6722610854541198E-5</v>
      </c>
      <c r="R396" s="89">
        <f t="shared" si="59"/>
        <v>3.2773891454587476E-6</v>
      </c>
      <c r="S396" s="89">
        <f t="shared" si="60"/>
        <v>1.1748975549395278E-4</v>
      </c>
      <c r="T396" s="136">
        <f t="shared" si="60"/>
        <v>8.511380382023737E-11</v>
      </c>
      <c r="U396" s="137">
        <f t="shared" si="61"/>
        <v>0.96722610854541247</v>
      </c>
      <c r="V396" s="88">
        <f t="shared" si="57"/>
        <v>1.5544719889833405</v>
      </c>
      <c r="W396" s="86">
        <f t="shared" si="62"/>
        <v>6.0555280110166594</v>
      </c>
      <c r="X396" s="90">
        <f t="shared" si="58"/>
        <v>0.95722610854541246</v>
      </c>
    </row>
    <row r="397" spans="13:24" x14ac:dyDescent="0.25">
      <c r="M397" s="91">
        <v>3.94</v>
      </c>
      <c r="N397" s="89">
        <f t="shared" si="54"/>
        <v>10.06</v>
      </c>
      <c r="O397" s="89">
        <f t="shared" si="55"/>
        <v>4.014803403774434</v>
      </c>
      <c r="P397" s="97">
        <f t="shared" si="56"/>
        <v>5.474803403774434</v>
      </c>
      <c r="Q397" s="135">
        <f t="shared" si="59"/>
        <v>9.6648828945162783E-5</v>
      </c>
      <c r="R397" s="89">
        <f t="shared" si="59"/>
        <v>3.3511710548371201E-6</v>
      </c>
      <c r="S397" s="89">
        <f t="shared" si="60"/>
        <v>1.148153621496881E-4</v>
      </c>
      <c r="T397" s="136">
        <f t="shared" si="60"/>
        <v>8.7096358995607774E-11</v>
      </c>
      <c r="U397" s="137">
        <f t="shared" si="61"/>
        <v>0.96648828945162868</v>
      </c>
      <c r="V397" s="88">
        <f t="shared" si="57"/>
        <v>1.534803403774434</v>
      </c>
      <c r="W397" s="86">
        <f t="shared" si="62"/>
        <v>6.0451965962255665</v>
      </c>
      <c r="X397" s="90">
        <f t="shared" si="58"/>
        <v>0.95648828945162867</v>
      </c>
    </row>
    <row r="398" spans="13:24" x14ac:dyDescent="0.25">
      <c r="M398" s="91">
        <v>3.95</v>
      </c>
      <c r="N398" s="89">
        <f t="shared" si="54"/>
        <v>10.050000000000001</v>
      </c>
      <c r="O398" s="89">
        <f t="shared" si="55"/>
        <v>4.0151422765992066</v>
      </c>
      <c r="P398" s="97">
        <f t="shared" si="56"/>
        <v>5.4651422765992068</v>
      </c>
      <c r="Q398" s="135">
        <f t="shared" si="59"/>
        <v>9.6573444871517363E-5</v>
      </c>
      <c r="R398" s="89">
        <f t="shared" si="59"/>
        <v>3.4265551284824918E-6</v>
      </c>
      <c r="S398" s="89">
        <f t="shared" si="60"/>
        <v>1.1220184543019618E-4</v>
      </c>
      <c r="T398" s="136">
        <f t="shared" si="60"/>
        <v>8.9125093813374255E-11</v>
      </c>
      <c r="U398" s="137">
        <f t="shared" si="61"/>
        <v>0.965734448715175</v>
      </c>
      <c r="V398" s="88">
        <f t="shared" si="57"/>
        <v>1.5151422765992066</v>
      </c>
      <c r="W398" s="86">
        <f t="shared" si="62"/>
        <v>6.0348577234007941</v>
      </c>
      <c r="X398" s="90">
        <f t="shared" si="58"/>
        <v>0.95573444871517499</v>
      </c>
    </row>
    <row r="399" spans="13:24" x14ac:dyDescent="0.25">
      <c r="M399" s="91">
        <v>3.96</v>
      </c>
      <c r="N399" s="89">
        <f t="shared" si="54"/>
        <v>10.039999999999999</v>
      </c>
      <c r="O399" s="89">
        <f t="shared" si="55"/>
        <v>4.0154887692755858</v>
      </c>
      <c r="P399" s="97">
        <f t="shared" si="56"/>
        <v>5.4554887692755862</v>
      </c>
      <c r="Q399" s="135">
        <f t="shared" si="59"/>
        <v>9.6496426516801172E-5</v>
      </c>
      <c r="R399" s="89">
        <f t="shared" si="59"/>
        <v>3.5035734831986176E-6</v>
      </c>
      <c r="S399" s="89">
        <f t="shared" si="60"/>
        <v>1.0964781961431837E-4</v>
      </c>
      <c r="T399" s="136">
        <f t="shared" si="60"/>
        <v>9.1201083935590972E-11</v>
      </c>
      <c r="U399" s="137">
        <f t="shared" si="61"/>
        <v>0.96496426516801381</v>
      </c>
      <c r="V399" s="88">
        <f t="shared" si="57"/>
        <v>1.4954887692755863</v>
      </c>
      <c r="W399" s="86">
        <f t="shared" si="62"/>
        <v>6.0245112307244133</v>
      </c>
      <c r="X399" s="90">
        <f t="shared" si="58"/>
        <v>0.9549642651680138</v>
      </c>
    </row>
    <row r="400" spans="13:24" x14ac:dyDescent="0.25">
      <c r="M400" s="91">
        <v>3.97</v>
      </c>
      <c r="N400" s="89">
        <f t="shared" si="54"/>
        <v>10.029999999999999</v>
      </c>
      <c r="O400" s="89">
        <f t="shared" si="55"/>
        <v>4.0158430468592705</v>
      </c>
      <c r="P400" s="97">
        <f t="shared" si="56"/>
        <v>5.4458430468592702</v>
      </c>
      <c r="Q400" s="135">
        <f t="shared" si="59"/>
        <v>9.6417741241866954E-5</v>
      </c>
      <c r="R400" s="89">
        <f t="shared" si="59"/>
        <v>3.5822587581328919E-6</v>
      </c>
      <c r="S400" s="89">
        <f t="shared" si="60"/>
        <v>1.0715193052376051E-4</v>
      </c>
      <c r="T400" s="136">
        <f t="shared" si="60"/>
        <v>9.3325430079699086E-11</v>
      </c>
      <c r="U400" s="137">
        <f t="shared" si="61"/>
        <v>0.96417741241867105</v>
      </c>
      <c r="V400" s="88">
        <f t="shared" si="57"/>
        <v>1.47584304685927</v>
      </c>
      <c r="W400" s="86">
        <f t="shared" si="62"/>
        <v>6.0141569531407288</v>
      </c>
      <c r="X400" s="90">
        <f t="shared" si="58"/>
        <v>0.95417741241867104</v>
      </c>
    </row>
    <row r="401" spans="13:24" x14ac:dyDescent="0.25">
      <c r="M401" s="91">
        <v>3.98</v>
      </c>
      <c r="N401" s="89">
        <f t="shared" si="54"/>
        <v>10.02</v>
      </c>
      <c r="O401" s="89">
        <f t="shared" si="55"/>
        <v>4.0162052776961108</v>
      </c>
      <c r="P401" s="97">
        <f t="shared" si="56"/>
        <v>5.4362052776961107</v>
      </c>
      <c r="Q401" s="135">
        <f t="shared" si="59"/>
        <v>9.633735588239515E-5</v>
      </c>
      <c r="R401" s="89">
        <f t="shared" si="59"/>
        <v>3.6626441176046847E-6</v>
      </c>
      <c r="S401" s="89">
        <f t="shared" si="60"/>
        <v>1.0471285480508985E-4</v>
      </c>
      <c r="T401" s="136">
        <f t="shared" si="60"/>
        <v>9.5499258602143585E-11</v>
      </c>
      <c r="U401" s="137">
        <f t="shared" si="61"/>
        <v>0.96337355882395315</v>
      </c>
      <c r="V401" s="88">
        <f t="shared" si="57"/>
        <v>1.4562052776961107</v>
      </c>
      <c r="W401" s="86">
        <f t="shared" si="62"/>
        <v>6.0037947223038888</v>
      </c>
      <c r="X401" s="90">
        <f t="shared" si="58"/>
        <v>0.95337355882395314</v>
      </c>
    </row>
    <row r="402" spans="13:24" x14ac:dyDescent="0.25">
      <c r="M402" s="91">
        <v>3.99</v>
      </c>
      <c r="N402" s="89">
        <f t="shared" si="54"/>
        <v>10.01</v>
      </c>
      <c r="O402" s="89">
        <f t="shared" si="55"/>
        <v>4.016575633474754</v>
      </c>
      <c r="P402" s="97">
        <f t="shared" si="56"/>
        <v>5.426575633474755</v>
      </c>
      <c r="Q402" s="135">
        <f t="shared" si="59"/>
        <v>9.6255236746355477E-5</v>
      </c>
      <c r="R402" s="89">
        <f t="shared" si="59"/>
        <v>3.7447632536444579E-6</v>
      </c>
      <c r="S402" s="89">
        <f t="shared" si="60"/>
        <v>1.0232929922807532E-4</v>
      </c>
      <c r="T402" s="136">
        <f t="shared" si="60"/>
        <v>9.7723722095581033E-11</v>
      </c>
      <c r="U402" s="137">
        <f t="shared" si="61"/>
        <v>0.96255236746355533</v>
      </c>
      <c r="V402" s="88">
        <f t="shared" si="57"/>
        <v>1.4365756334747548</v>
      </c>
      <c r="W402" s="86">
        <f t="shared" si="62"/>
        <v>5.9934243665252458</v>
      </c>
      <c r="X402" s="90">
        <f t="shared" si="58"/>
        <v>0.95255236746355532</v>
      </c>
    </row>
    <row r="403" spans="13:24" x14ac:dyDescent="0.25">
      <c r="M403" s="91">
        <v>4</v>
      </c>
      <c r="N403" s="89">
        <f t="shared" si="54"/>
        <v>10</v>
      </c>
      <c r="O403" s="89">
        <f t="shared" si="55"/>
        <v>4.0169542892795329</v>
      </c>
      <c r="P403" s="97">
        <f t="shared" si="56"/>
        <v>5.4169542892795333</v>
      </c>
      <c r="Q403" s="135">
        <f t="shared" si="59"/>
        <v>9.6171349611774533E-5</v>
      </c>
      <c r="R403" s="89">
        <f t="shared" si="59"/>
        <v>3.8286503882254635E-6</v>
      </c>
      <c r="S403" s="89">
        <f t="shared" si="60"/>
        <v>1E-4</v>
      </c>
      <c r="T403" s="136">
        <f t="shared" si="60"/>
        <v>1E-10</v>
      </c>
      <c r="U403" s="137">
        <f t="shared" si="61"/>
        <v>0.96171349611774537</v>
      </c>
      <c r="V403" s="88">
        <f t="shared" si="57"/>
        <v>1.4169542892795333</v>
      </c>
      <c r="W403" s="86">
        <f t="shared" si="62"/>
        <v>5.9830457107204671</v>
      </c>
      <c r="X403" s="90">
        <f t="shared" si="58"/>
        <v>0.95171349611774536</v>
      </c>
    </row>
    <row r="404" spans="13:24" x14ac:dyDescent="0.25">
      <c r="M404" s="91">
        <v>4.01</v>
      </c>
      <c r="N404" s="89">
        <f t="shared" si="54"/>
        <v>9.99</v>
      </c>
      <c r="O404" s="89">
        <f t="shared" si="55"/>
        <v>4.0173414236435523</v>
      </c>
      <c r="P404" s="97">
        <f t="shared" si="56"/>
        <v>5.4073414236435529</v>
      </c>
      <c r="Q404" s="135">
        <f t="shared" si="59"/>
        <v>9.6085659724830537E-5</v>
      </c>
      <c r="R404" s="89">
        <f t="shared" si="59"/>
        <v>3.9143402751692876E-6</v>
      </c>
      <c r="S404" s="89">
        <f t="shared" si="60"/>
        <v>9.7723722095581001E-5</v>
      </c>
      <c r="T404" s="136">
        <f t="shared" si="60"/>
        <v>1.0232929922807501E-10</v>
      </c>
      <c r="U404" s="137">
        <f t="shared" si="61"/>
        <v>0.96085659724830697</v>
      </c>
      <c r="V404" s="88">
        <f t="shared" si="57"/>
        <v>1.3973414236435531</v>
      </c>
      <c r="W404" s="86">
        <f t="shared" si="62"/>
        <v>5.9726585763564479</v>
      </c>
      <c r="X404" s="90">
        <f t="shared" si="58"/>
        <v>0.95085659724830696</v>
      </c>
    </row>
    <row r="405" spans="13:24" x14ac:dyDescent="0.25">
      <c r="M405" s="91">
        <v>4.0199999999999996</v>
      </c>
      <c r="N405" s="89">
        <f t="shared" si="54"/>
        <v>9.98</v>
      </c>
      <c r="O405" s="89">
        <f t="shared" si="55"/>
        <v>4.0177372186019591</v>
      </c>
      <c r="P405" s="97">
        <f t="shared" si="56"/>
        <v>5.3977372186019599</v>
      </c>
      <c r="Q405" s="135">
        <f t="shared" si="59"/>
        <v>9.5998131798294119E-5</v>
      </c>
      <c r="R405" s="89">
        <f t="shared" si="59"/>
        <v>4.0018682017058757E-6</v>
      </c>
      <c r="S405" s="89">
        <f t="shared" si="60"/>
        <v>9.5499258602143526E-5</v>
      </c>
      <c r="T405" s="136">
        <f t="shared" si="60"/>
        <v>1.0471285480508951E-10</v>
      </c>
      <c r="U405" s="137">
        <f t="shared" si="61"/>
        <v>0.95998131798294128</v>
      </c>
      <c r="V405" s="88">
        <f t="shared" si="57"/>
        <v>1.3777372186019603</v>
      </c>
      <c r="W405" s="86">
        <f t="shared" si="62"/>
        <v>5.9622627813980413</v>
      </c>
      <c r="X405" s="90">
        <f t="shared" si="58"/>
        <v>0.94998131798294128</v>
      </c>
    </row>
    <row r="406" spans="13:24" x14ac:dyDescent="0.25">
      <c r="M406" s="91">
        <v>4.03</v>
      </c>
      <c r="N406" s="89">
        <f t="shared" si="54"/>
        <v>9.9699999999999989</v>
      </c>
      <c r="O406" s="89">
        <f t="shared" si="55"/>
        <v>4.018141859745346</v>
      </c>
      <c r="P406" s="97">
        <f t="shared" si="56"/>
        <v>5.3881418597453461</v>
      </c>
      <c r="Q406" s="135">
        <f t="shared" si="59"/>
        <v>9.5908730010331973E-5</v>
      </c>
      <c r="R406" s="89">
        <f t="shared" si="59"/>
        <v>4.0912699896679232E-6</v>
      </c>
      <c r="S406" s="89">
        <f t="shared" si="60"/>
        <v>9.3325430079699046E-5</v>
      </c>
      <c r="T406" s="136">
        <f t="shared" si="60"/>
        <v>1.0715193052376057E-10</v>
      </c>
      <c r="U406" s="137">
        <f t="shared" si="61"/>
        <v>0.95908730010332077</v>
      </c>
      <c r="V406" s="88">
        <f t="shared" si="57"/>
        <v>1.3581418597453458</v>
      </c>
      <c r="W406" s="86">
        <f t="shared" si="62"/>
        <v>5.9518581402546529</v>
      </c>
      <c r="X406" s="90">
        <f t="shared" si="58"/>
        <v>0.94908730010332076</v>
      </c>
    </row>
    <row r="407" spans="13:24" x14ac:dyDescent="0.25">
      <c r="M407" s="91">
        <v>4.04</v>
      </c>
      <c r="N407" s="89">
        <f t="shared" si="54"/>
        <v>9.9600000000000009</v>
      </c>
      <c r="O407" s="89">
        <f t="shared" si="55"/>
        <v>4.0185555362732535</v>
      </c>
      <c r="P407" s="97">
        <f t="shared" si="56"/>
        <v>5.3785555362732538</v>
      </c>
      <c r="Q407" s="135">
        <f t="shared" si="59"/>
        <v>9.5817418003700915E-5</v>
      </c>
      <c r="R407" s="89">
        <f t="shared" si="59"/>
        <v>4.1825819962989322E-6</v>
      </c>
      <c r="S407" s="89">
        <f t="shared" si="60"/>
        <v>9.1201083935590923E-5</v>
      </c>
      <c r="T407" s="136">
        <f t="shared" si="60"/>
        <v>1.0964781961431802E-10</v>
      </c>
      <c r="U407" s="137">
        <f t="shared" si="61"/>
        <v>0.95817418003701071</v>
      </c>
      <c r="V407" s="88">
        <f t="shared" si="57"/>
        <v>1.3385555362732537</v>
      </c>
      <c r="W407" s="86">
        <f t="shared" si="62"/>
        <v>5.9414444637267474</v>
      </c>
      <c r="X407" s="90">
        <f t="shared" si="58"/>
        <v>0.94817418003701071</v>
      </c>
    </row>
    <row r="408" spans="13:24" x14ac:dyDescent="0.25">
      <c r="M408" s="91">
        <v>4.05</v>
      </c>
      <c r="N408" s="89">
        <f t="shared" si="54"/>
        <v>9.9499999999999993</v>
      </c>
      <c r="O408" s="89">
        <f t="shared" si="55"/>
        <v>4.0189784410477349</v>
      </c>
      <c r="P408" s="97">
        <f t="shared" si="56"/>
        <v>5.3689784410477355</v>
      </c>
      <c r="Q408" s="135">
        <f t="shared" si="59"/>
        <v>9.5724158885346252E-5</v>
      </c>
      <c r="R408" s="89">
        <f t="shared" si="59"/>
        <v>4.275841114653594E-6</v>
      </c>
      <c r="S408" s="89">
        <f t="shared" si="60"/>
        <v>8.912509381337452E-5</v>
      </c>
      <c r="T408" s="136">
        <f t="shared" si="60"/>
        <v>1.1220184543019624E-10</v>
      </c>
      <c r="U408" s="137">
        <f t="shared" si="61"/>
        <v>0.957241588853464</v>
      </c>
      <c r="V408" s="88">
        <f t="shared" si="57"/>
        <v>1.3189784410477357</v>
      </c>
      <c r="W408" s="86">
        <f t="shared" si="62"/>
        <v>5.9310215589522643</v>
      </c>
      <c r="X408" s="90">
        <f t="shared" si="58"/>
        <v>0.94724158885346399</v>
      </c>
    </row>
    <row r="409" spans="13:24" x14ac:dyDescent="0.25">
      <c r="M409" s="91">
        <v>4.0599999999999996</v>
      </c>
      <c r="N409" s="89">
        <f t="shared" si="54"/>
        <v>9.9400000000000013</v>
      </c>
      <c r="O409" s="89">
        <f t="shared" si="55"/>
        <v>4.0194107706469406</v>
      </c>
      <c r="P409" s="97">
        <f t="shared" si="56"/>
        <v>5.3594107706469414</v>
      </c>
      <c r="Q409" s="135">
        <f t="shared" si="59"/>
        <v>9.5628915226431574E-5</v>
      </c>
      <c r="R409" s="89">
        <f t="shared" si="59"/>
        <v>4.3710847735683897E-6</v>
      </c>
      <c r="S409" s="89">
        <f t="shared" si="60"/>
        <v>8.7096358995608029E-5</v>
      </c>
      <c r="T409" s="136">
        <f t="shared" si="60"/>
        <v>1.1481536214968775E-10</v>
      </c>
      <c r="U409" s="137">
        <f t="shared" si="61"/>
        <v>0.9562891522643161</v>
      </c>
      <c r="V409" s="88">
        <f t="shared" si="57"/>
        <v>1.2994107706469418</v>
      </c>
      <c r="W409" s="86">
        <f t="shared" si="62"/>
        <v>5.9205892293530606</v>
      </c>
      <c r="X409" s="90">
        <f t="shared" si="58"/>
        <v>0.94628915226431609</v>
      </c>
    </row>
    <row r="410" spans="13:24" x14ac:dyDescent="0.25">
      <c r="M410" s="91">
        <v>4.07</v>
      </c>
      <c r="N410" s="89">
        <f t="shared" si="54"/>
        <v>9.93</v>
      </c>
      <c r="O410" s="89">
        <f t="shared" si="55"/>
        <v>4.0198527254186773</v>
      </c>
      <c r="P410" s="97">
        <f t="shared" si="56"/>
        <v>5.3498527254186783</v>
      </c>
      <c r="Q410" s="135">
        <f t="shared" si="59"/>
        <v>9.5531649062820191E-5</v>
      </c>
      <c r="R410" s="89">
        <f t="shared" si="59"/>
        <v>4.4683509371797172E-6</v>
      </c>
      <c r="S410" s="89">
        <f t="shared" si="60"/>
        <v>8.5113803820237487E-5</v>
      </c>
      <c r="T410" s="136">
        <f t="shared" si="60"/>
        <v>1.1748975549395284E-10</v>
      </c>
      <c r="U410" s="137">
        <f t="shared" si="61"/>
        <v>0.95531649062820279</v>
      </c>
      <c r="V410" s="88">
        <f t="shared" si="57"/>
        <v>1.279852725418678</v>
      </c>
      <c r="W410" s="86">
        <f t="shared" si="62"/>
        <v>5.9101472745813224</v>
      </c>
      <c r="X410" s="90">
        <f t="shared" si="58"/>
        <v>0.94531649062820278</v>
      </c>
    </row>
    <row r="411" spans="13:24" x14ac:dyDescent="0.25">
      <c r="M411" s="91">
        <v>4.08</v>
      </c>
      <c r="N411" s="89">
        <f t="shared" si="54"/>
        <v>9.92</v>
      </c>
      <c r="O411" s="89">
        <f t="shared" si="55"/>
        <v>4.020304509533891</v>
      </c>
      <c r="P411" s="97">
        <f t="shared" si="56"/>
        <v>5.3403045095338912</v>
      </c>
      <c r="Q411" s="135">
        <f t="shared" si="59"/>
        <v>9.5432321896033636E-5</v>
      </c>
      <c r="R411" s="89">
        <f t="shared" si="59"/>
        <v>4.5676781039662251E-6</v>
      </c>
      <c r="S411" s="89">
        <f t="shared" si="60"/>
        <v>8.3176377110266955E-5</v>
      </c>
      <c r="T411" s="136">
        <f t="shared" si="60"/>
        <v>1.2022644346174114E-10</v>
      </c>
      <c r="U411" s="137">
        <f t="shared" si="61"/>
        <v>0.95432321896033778</v>
      </c>
      <c r="V411" s="88">
        <f t="shared" si="57"/>
        <v>1.2603045095338912</v>
      </c>
      <c r="W411" s="86">
        <f t="shared" si="62"/>
        <v>5.899695490466109</v>
      </c>
      <c r="X411" s="90">
        <f t="shared" si="58"/>
        <v>0.94432321896033777</v>
      </c>
    </row>
    <row r="412" spans="13:24" x14ac:dyDescent="0.25">
      <c r="M412" s="91">
        <v>4.09</v>
      </c>
      <c r="N412" s="89">
        <f t="shared" si="54"/>
        <v>9.91</v>
      </c>
      <c r="O412" s="89">
        <f t="shared" si="55"/>
        <v>4.0207663310400319</v>
      </c>
      <c r="P412" s="97">
        <f t="shared" si="56"/>
        <v>5.3307663310400324</v>
      </c>
      <c r="Q412" s="135">
        <f t="shared" si="59"/>
        <v>9.5330894694708847E-5</v>
      </c>
      <c r="R412" s="89">
        <f t="shared" si="59"/>
        <v>4.6691053052912091E-6</v>
      </c>
      <c r="S412" s="89">
        <f t="shared" si="60"/>
        <v>8.1283051616409918E-5</v>
      </c>
      <c r="T412" s="136">
        <f t="shared" si="60"/>
        <v>1.2302687708123799E-10</v>
      </c>
      <c r="U412" s="137">
        <f t="shared" si="61"/>
        <v>0.9533089469470879</v>
      </c>
      <c r="V412" s="88">
        <f t="shared" si="57"/>
        <v>1.2407663310400325</v>
      </c>
      <c r="W412" s="86">
        <f t="shared" si="62"/>
        <v>5.8892336689599682</v>
      </c>
      <c r="X412" s="90">
        <f t="shared" si="58"/>
        <v>0.94330894694708789</v>
      </c>
    </row>
    <row r="413" spans="13:24" x14ac:dyDescent="0.25">
      <c r="M413" s="91">
        <v>4.0999999999999996</v>
      </c>
      <c r="N413" s="89">
        <f t="shared" si="54"/>
        <v>9.9</v>
      </c>
      <c r="O413" s="89">
        <f t="shared" si="55"/>
        <v>4.0212384019142551</v>
      </c>
      <c r="P413" s="97">
        <f t="shared" si="56"/>
        <v>5.3212384019142558</v>
      </c>
      <c r="Q413" s="135">
        <f t="shared" si="59"/>
        <v>9.5227327896579478E-5</v>
      </c>
      <c r="R413" s="89">
        <f t="shared" si="59"/>
        <v>4.7726721034203759E-6</v>
      </c>
      <c r="S413" s="89">
        <f t="shared" si="60"/>
        <v>7.9432823472428153E-5</v>
      </c>
      <c r="T413" s="136">
        <f t="shared" si="60"/>
        <v>1.2589254117941656E-10</v>
      </c>
      <c r="U413" s="137">
        <f t="shared" si="61"/>
        <v>0.95227327896579617</v>
      </c>
      <c r="V413" s="88">
        <f t="shared" si="57"/>
        <v>1.2212384019142561</v>
      </c>
      <c r="W413" s="86">
        <f t="shared" si="62"/>
        <v>5.8787615980857453</v>
      </c>
      <c r="X413" s="90">
        <f t="shared" si="58"/>
        <v>0.94227327896579616</v>
      </c>
    </row>
    <row r="414" spans="13:24" x14ac:dyDescent="0.25">
      <c r="M414" s="91">
        <v>4.1100000000000003</v>
      </c>
      <c r="N414" s="89">
        <f t="shared" si="54"/>
        <v>9.89</v>
      </c>
      <c r="O414" s="89">
        <f t="shared" si="55"/>
        <v>4.0217209381163803</v>
      </c>
      <c r="P414" s="97">
        <f t="shared" si="56"/>
        <v>5.3117209381163812</v>
      </c>
      <c r="Q414" s="135">
        <f t="shared" si="59"/>
        <v>9.5121581411010102E-5</v>
      </c>
      <c r="R414" s="89">
        <f t="shared" si="59"/>
        <v>4.8784185889897832E-6</v>
      </c>
      <c r="S414" s="89">
        <f t="shared" si="60"/>
        <v>7.7624711662869057E-5</v>
      </c>
      <c r="T414" s="136">
        <f t="shared" si="60"/>
        <v>1.2882495516931275E-10</v>
      </c>
      <c r="U414" s="137">
        <f t="shared" si="61"/>
        <v>0.95121581411010214</v>
      </c>
      <c r="V414" s="88">
        <f t="shared" si="57"/>
        <v>1.2017209381163809</v>
      </c>
      <c r="W414" s="86">
        <f t="shared" si="62"/>
        <v>5.8682790618836203</v>
      </c>
      <c r="X414" s="90">
        <f t="shared" si="58"/>
        <v>0.94121581411010213</v>
      </c>
    </row>
    <row r="415" spans="13:24" x14ac:dyDescent="0.25">
      <c r="M415" s="91">
        <v>4.12</v>
      </c>
      <c r="N415" s="89">
        <f t="shared" si="54"/>
        <v>9.879999999999999</v>
      </c>
      <c r="O415" s="89">
        <f t="shared" si="55"/>
        <v>4.0222141596415844</v>
      </c>
      <c r="P415" s="97">
        <f t="shared" si="56"/>
        <v>5.3022141596415855</v>
      </c>
      <c r="Q415" s="135">
        <f t="shared" si="59"/>
        <v>9.5013614622102351E-5</v>
      </c>
      <c r="R415" s="89">
        <f t="shared" si="59"/>
        <v>4.9863853778976093E-6</v>
      </c>
      <c r="S415" s="89">
        <f t="shared" si="60"/>
        <v>7.5857757502918263E-5</v>
      </c>
      <c r="T415" s="136">
        <f t="shared" si="60"/>
        <v>1.3182567385564051E-10</v>
      </c>
      <c r="U415" s="137">
        <f t="shared" si="61"/>
        <v>0.95013614622102383</v>
      </c>
      <c r="V415" s="88">
        <f t="shared" si="57"/>
        <v>1.1822141596415854</v>
      </c>
      <c r="W415" s="86">
        <f t="shared" si="62"/>
        <v>5.8577858403584147</v>
      </c>
      <c r="X415" s="90">
        <f t="shared" si="58"/>
        <v>0.94013614622102382</v>
      </c>
    </row>
    <row r="416" spans="13:24" x14ac:dyDescent="0.25">
      <c r="M416" s="91">
        <v>4.13</v>
      </c>
      <c r="N416" s="89">
        <f t="shared" si="54"/>
        <v>9.870000000000001</v>
      </c>
      <c r="O416" s="89">
        <f t="shared" si="55"/>
        <v>4.0227182905727448</v>
      </c>
      <c r="P416" s="97">
        <f t="shared" si="56"/>
        <v>5.2927182905727452</v>
      </c>
      <c r="Q416" s="135">
        <f t="shared" si="59"/>
        <v>9.490338639240647E-5</v>
      </c>
      <c r="R416" s="89">
        <f t="shared" si="59"/>
        <v>5.0966136075934232E-6</v>
      </c>
      <c r="S416" s="89">
        <f t="shared" si="60"/>
        <v>7.4131024130091641E-5</v>
      </c>
      <c r="T416" s="136">
        <f t="shared" si="60"/>
        <v>1.3489628825916465E-10</v>
      </c>
      <c r="U416" s="137">
        <f t="shared" si="61"/>
        <v>0.94903386392406563</v>
      </c>
      <c r="V416" s="88">
        <f t="shared" si="57"/>
        <v>1.1627182905727453</v>
      </c>
      <c r="W416" s="86">
        <f t="shared" si="62"/>
        <v>5.8472817094272562</v>
      </c>
      <c r="X416" s="90">
        <f t="shared" si="58"/>
        <v>0.93903386392406563</v>
      </c>
    </row>
    <row r="417" spans="13:24" x14ac:dyDescent="0.25">
      <c r="M417" s="91">
        <v>4.1399999999999997</v>
      </c>
      <c r="N417" s="89">
        <f t="shared" si="54"/>
        <v>9.86</v>
      </c>
      <c r="O417" s="89">
        <f t="shared" si="55"/>
        <v>4.0232335591323825</v>
      </c>
      <c r="P417" s="97">
        <f t="shared" si="56"/>
        <v>5.2832335591323831</v>
      </c>
      <c r="Q417" s="135">
        <f t="shared" si="59"/>
        <v>9.479085506726243E-5</v>
      </c>
      <c r="R417" s="89">
        <f t="shared" si="59"/>
        <v>5.2091449327374724E-6</v>
      </c>
      <c r="S417" s="89">
        <f t="shared" si="60"/>
        <v>7.2443596007499048E-5</v>
      </c>
      <c r="T417" s="136">
        <f t="shared" si="60"/>
        <v>1.3803842646028825E-10</v>
      </c>
      <c r="U417" s="137">
        <f t="shared" si="61"/>
        <v>0.94790855067262525</v>
      </c>
      <c r="V417" s="88">
        <f t="shared" si="57"/>
        <v>1.1432335591323834</v>
      </c>
      <c r="W417" s="86">
        <f t="shared" si="62"/>
        <v>5.836766440867617</v>
      </c>
      <c r="X417" s="90">
        <f t="shared" si="58"/>
        <v>0.93790855067262524</v>
      </c>
    </row>
    <row r="418" spans="13:24" x14ac:dyDescent="0.25">
      <c r="M418" s="91">
        <v>4.1500000000000004</v>
      </c>
      <c r="N418" s="89">
        <f t="shared" si="54"/>
        <v>9.85</v>
      </c>
      <c r="O418" s="89">
        <f t="shared" si="55"/>
        <v>4.0237601977341404</v>
      </c>
      <c r="P418" s="97">
        <f t="shared" si="56"/>
        <v>5.2737601977341404</v>
      </c>
      <c r="Q418" s="135">
        <f t="shared" si="59"/>
        <v>9.4675978479797577E-5</v>
      </c>
      <c r="R418" s="89">
        <f t="shared" si="59"/>
        <v>5.3240215202022405E-6</v>
      </c>
      <c r="S418" s="89">
        <f t="shared" si="60"/>
        <v>7.0794578438413704E-5</v>
      </c>
      <c r="T418" s="136">
        <f t="shared" si="60"/>
        <v>1.4125375446227517E-10</v>
      </c>
      <c r="U418" s="137">
        <f t="shared" si="61"/>
        <v>0.94675978479797751</v>
      </c>
      <c r="V418" s="88">
        <f t="shared" si="57"/>
        <v>1.12376019773414</v>
      </c>
      <c r="W418" s="86">
        <f t="shared" si="62"/>
        <v>5.8262398022658592</v>
      </c>
      <c r="X418" s="90">
        <f t="shared" si="58"/>
        <v>0.9367597847979775</v>
      </c>
    </row>
    <row r="419" spans="13:24" x14ac:dyDescent="0.25">
      <c r="M419" s="91">
        <v>4.16</v>
      </c>
      <c r="N419" s="89">
        <f t="shared" si="54"/>
        <v>9.84</v>
      </c>
      <c r="O419" s="89">
        <f t="shared" si="55"/>
        <v>4.0242984430337243</v>
      </c>
      <c r="P419" s="97">
        <f t="shared" si="56"/>
        <v>5.2642984430337245</v>
      </c>
      <c r="Q419" s="135">
        <f t="shared" si="59"/>
        <v>9.4558713956612484E-5</v>
      </c>
      <c r="R419" s="89">
        <f t="shared" si="59"/>
        <v>5.4412860433875212E-6</v>
      </c>
      <c r="S419" s="89">
        <f t="shared" si="60"/>
        <v>6.9183097091893571E-5</v>
      </c>
      <c r="T419" s="136">
        <f t="shared" si="60"/>
        <v>1.4454397707459247E-10</v>
      </c>
      <c r="U419" s="137">
        <f t="shared" si="61"/>
        <v>0.94558713956612483</v>
      </c>
      <c r="V419" s="88">
        <f t="shared" si="57"/>
        <v>1.1042984430337244</v>
      </c>
      <c r="W419" s="86">
        <f t="shared" si="62"/>
        <v>5.8157015569662756</v>
      </c>
      <c r="X419" s="90">
        <f t="shared" si="58"/>
        <v>0.93558713956612483</v>
      </c>
    </row>
    <row r="420" spans="13:24" x14ac:dyDescent="0.25">
      <c r="M420" s="91">
        <v>4.17</v>
      </c>
      <c r="N420" s="89">
        <f t="shared" si="54"/>
        <v>9.83</v>
      </c>
      <c r="O420" s="89">
        <f t="shared" si="55"/>
        <v>4.0248485359792445</v>
      </c>
      <c r="P420" s="97">
        <f t="shared" si="56"/>
        <v>5.254848535979245</v>
      </c>
      <c r="Q420" s="135">
        <f t="shared" si="59"/>
        <v>9.443901832417972E-5</v>
      </c>
      <c r="R420" s="89">
        <f t="shared" si="59"/>
        <v>5.5609816758203306E-6</v>
      </c>
      <c r="S420" s="89">
        <f t="shared" si="60"/>
        <v>6.7608297539198107E-5</v>
      </c>
      <c r="T420" s="136">
        <f t="shared" si="60"/>
        <v>1.4791083881682045E-10</v>
      </c>
      <c r="U420" s="137">
        <f t="shared" si="61"/>
        <v>0.9443901832417968</v>
      </c>
      <c r="V420" s="88">
        <f t="shared" si="57"/>
        <v>1.084848535979245</v>
      </c>
      <c r="W420" s="86">
        <f t="shared" si="62"/>
        <v>5.8051514640207555</v>
      </c>
      <c r="X420" s="90">
        <f t="shared" si="58"/>
        <v>0.93439018324179679</v>
      </c>
    </row>
    <row r="421" spans="13:24" x14ac:dyDescent="0.25">
      <c r="M421" s="91">
        <v>4.18</v>
      </c>
      <c r="N421" s="89">
        <f t="shared" si="54"/>
        <v>9.82</v>
      </c>
      <c r="O421" s="89">
        <f t="shared" si="55"/>
        <v>4.025410721860875</v>
      </c>
      <c r="P421" s="97">
        <f t="shared" si="56"/>
        <v>5.2454107218608756</v>
      </c>
      <c r="Q421" s="135">
        <f t="shared" si="59"/>
        <v>9.4316847915990225E-5</v>
      </c>
      <c r="R421" s="89">
        <f t="shared" si="59"/>
        <v>5.6831520840097073E-6</v>
      </c>
      <c r="S421" s="89">
        <f t="shared" si="60"/>
        <v>6.6069344800759539E-5</v>
      </c>
      <c r="T421" s="136">
        <f t="shared" si="60"/>
        <v>1.5135612484362048E-10</v>
      </c>
      <c r="U421" s="137">
        <f t="shared" si="61"/>
        <v>0.94316847915990287</v>
      </c>
      <c r="V421" s="88">
        <f t="shared" si="57"/>
        <v>1.0654107218608759</v>
      </c>
      <c r="W421" s="86">
        <f t="shared" si="62"/>
        <v>5.7945892781391253</v>
      </c>
      <c r="X421" s="90">
        <f t="shared" si="58"/>
        <v>0.93316847915990286</v>
      </c>
    </row>
    <row r="422" spans="13:24" x14ac:dyDescent="0.25">
      <c r="M422" s="91">
        <v>4.1900000000000004</v>
      </c>
      <c r="N422" s="89">
        <f t="shared" si="54"/>
        <v>9.8099999999999987</v>
      </c>
      <c r="O422" s="89">
        <f t="shared" si="55"/>
        <v>4.0259852503597617</v>
      </c>
      <c r="P422" s="97">
        <f t="shared" si="56"/>
        <v>5.2359852503597617</v>
      </c>
      <c r="Q422" s="135">
        <f t="shared" si="59"/>
        <v>9.4192158580473536E-5</v>
      </c>
      <c r="R422" s="89">
        <f t="shared" si="59"/>
        <v>5.8078414195264057E-6</v>
      </c>
      <c r="S422" s="89">
        <f t="shared" si="60"/>
        <v>6.4565422903465383E-5</v>
      </c>
      <c r="T422" s="136">
        <f t="shared" si="60"/>
        <v>1.5488166189124834E-10</v>
      </c>
      <c r="U422" s="137">
        <f t="shared" si="61"/>
        <v>0.94192158580473595</v>
      </c>
      <c r="V422" s="88">
        <f t="shared" si="57"/>
        <v>1.0459852503597613</v>
      </c>
      <c r="W422" s="86">
        <f t="shared" si="62"/>
        <v>5.784014749640237</v>
      </c>
      <c r="X422" s="90">
        <f t="shared" si="58"/>
        <v>0.93192158580473594</v>
      </c>
    </row>
    <row r="423" spans="13:24" x14ac:dyDescent="0.25">
      <c r="M423" s="91">
        <v>4.2</v>
      </c>
      <c r="N423" s="89">
        <f t="shared" si="54"/>
        <v>9.8000000000000007</v>
      </c>
      <c r="O423" s="89">
        <f t="shared" si="55"/>
        <v>4.0265723755961025</v>
      </c>
      <c r="P423" s="97">
        <f t="shared" si="56"/>
        <v>5.2265723755961027</v>
      </c>
      <c r="Q423" s="135">
        <f t="shared" si="59"/>
        <v>9.4064905689723115E-5</v>
      </c>
      <c r="R423" s="89">
        <f t="shared" si="59"/>
        <v>5.935094310276746E-6</v>
      </c>
      <c r="S423" s="89">
        <f t="shared" si="60"/>
        <v>6.3095734448019279E-5</v>
      </c>
      <c r="T423" s="136">
        <f t="shared" si="60"/>
        <v>1.5848931924611098E-10</v>
      </c>
      <c r="U423" s="137">
        <f t="shared" si="61"/>
        <v>0.94064905689723255</v>
      </c>
      <c r="V423" s="88">
        <f t="shared" si="57"/>
        <v>1.0265723755961025</v>
      </c>
      <c r="W423" s="86">
        <f t="shared" si="62"/>
        <v>5.7734276244038982</v>
      </c>
      <c r="X423" s="90">
        <f t="shared" si="58"/>
        <v>0.93064905689723254</v>
      </c>
    </row>
    <row r="424" spans="13:24" x14ac:dyDescent="0.25">
      <c r="M424" s="91">
        <v>4.21</v>
      </c>
      <c r="N424" s="89">
        <f t="shared" si="54"/>
        <v>9.7899999999999991</v>
      </c>
      <c r="O424" s="89">
        <f t="shared" si="55"/>
        <v>4.0271723561763073</v>
      </c>
      <c r="P424" s="97">
        <f t="shared" si="56"/>
        <v>5.2171723561763077</v>
      </c>
      <c r="Q424" s="135">
        <f t="shared" si="59"/>
        <v>9.3935044149060046E-5</v>
      </c>
      <c r="R424" s="89">
        <f t="shared" si="59"/>
        <v>6.064955850939762E-6</v>
      </c>
      <c r="S424" s="89">
        <f t="shared" si="60"/>
        <v>6.1659500186148184E-5</v>
      </c>
      <c r="T424" s="136">
        <f t="shared" si="60"/>
        <v>1.6218100973589318E-10</v>
      </c>
      <c r="U424" s="137">
        <f t="shared" si="61"/>
        <v>0.93935044149060232</v>
      </c>
      <c r="V424" s="88">
        <f t="shared" si="57"/>
        <v>1.0071723561763077</v>
      </c>
      <c r="W424" s="86">
        <f t="shared" si="62"/>
        <v>5.7628276438236918</v>
      </c>
      <c r="X424" s="90">
        <f t="shared" si="58"/>
        <v>0.92935044149060231</v>
      </c>
    </row>
    <row r="425" spans="13:24" x14ac:dyDescent="0.25">
      <c r="M425" s="91">
        <v>4.22</v>
      </c>
      <c r="N425" s="89">
        <f t="shared" si="54"/>
        <v>9.7800000000000011</v>
      </c>
      <c r="O425" s="89">
        <f t="shared" si="55"/>
        <v>4.0277854552391599</v>
      </c>
      <c r="P425" s="97">
        <f t="shared" si="56"/>
        <v>5.2077854552391605</v>
      </c>
      <c r="Q425" s="135">
        <f t="shared" si="59"/>
        <v>9.3802528407464154E-5</v>
      </c>
      <c r="R425" s="89">
        <f t="shared" si="59"/>
        <v>6.1974715925357888E-6</v>
      </c>
      <c r="S425" s="89">
        <f t="shared" si="60"/>
        <v>6.0255958607435738E-5</v>
      </c>
      <c r="T425" s="136">
        <f t="shared" si="60"/>
        <v>1.6595869074375505E-10</v>
      </c>
      <c r="U425" s="137">
        <f t="shared" si="61"/>
        <v>0.93802528407464214</v>
      </c>
      <c r="V425" s="88">
        <f t="shared" si="57"/>
        <v>0.98778545523916073</v>
      </c>
      <c r="W425" s="86">
        <f t="shared" si="62"/>
        <v>5.7522145447608413</v>
      </c>
      <c r="X425" s="90">
        <f t="shared" si="58"/>
        <v>0.92802528407464213</v>
      </c>
    </row>
    <row r="426" spans="13:24" x14ac:dyDescent="0.25">
      <c r="M426" s="91">
        <v>4.2300000000000004</v>
      </c>
      <c r="N426" s="89">
        <f t="shared" si="54"/>
        <v>9.77</v>
      </c>
      <c r="O426" s="89">
        <f t="shared" si="55"/>
        <v>4.0284119405008987</v>
      </c>
      <c r="P426" s="97">
        <f t="shared" si="56"/>
        <v>5.1984119405008986</v>
      </c>
      <c r="Q426" s="135">
        <f t="shared" si="59"/>
        <v>9.3667312468905062E-5</v>
      </c>
      <c r="R426" s="89">
        <f t="shared" si="59"/>
        <v>6.332687531094784E-6</v>
      </c>
      <c r="S426" s="89">
        <f t="shared" si="60"/>
        <v>5.8884365535558766E-5</v>
      </c>
      <c r="T426" s="136">
        <f t="shared" si="60"/>
        <v>1.6982436524617399E-10</v>
      </c>
      <c r="U426" s="137">
        <f t="shared" si="61"/>
        <v>0.93667312468905206</v>
      </c>
      <c r="V426" s="88">
        <f t="shared" si="57"/>
        <v>0.96841194050089818</v>
      </c>
      <c r="W426" s="86">
        <f t="shared" si="62"/>
        <v>5.7415880594991009</v>
      </c>
      <c r="X426" s="90">
        <f t="shared" si="58"/>
        <v>0.92667312468905205</v>
      </c>
    </row>
    <row r="427" spans="13:24" x14ac:dyDescent="0.25">
      <c r="M427" s="91">
        <v>4.24</v>
      </c>
      <c r="N427" s="89">
        <f t="shared" si="54"/>
        <v>9.76</v>
      </c>
      <c r="O427" s="89">
        <f t="shared" si="55"/>
        <v>4.0290520842991038</v>
      </c>
      <c r="P427" s="97">
        <f t="shared" si="56"/>
        <v>5.1890520842991048</v>
      </c>
      <c r="Q427" s="135">
        <f t="shared" si="59"/>
        <v>9.3529349904607911E-5</v>
      </c>
      <c r="R427" s="89">
        <f t="shared" si="59"/>
        <v>6.4706500953921632E-6</v>
      </c>
      <c r="S427" s="89">
        <f t="shared" si="60"/>
        <v>5.7543993733715576E-5</v>
      </c>
      <c r="T427" s="136">
        <f t="shared" si="60"/>
        <v>1.7378008287493709E-10</v>
      </c>
      <c r="U427" s="137">
        <f t="shared" si="61"/>
        <v>0.93529349904607839</v>
      </c>
      <c r="V427" s="88">
        <f t="shared" si="57"/>
        <v>0.94905208429910459</v>
      </c>
      <c r="W427" s="86">
        <f t="shared" si="62"/>
        <v>5.730947915700896</v>
      </c>
      <c r="X427" s="90">
        <f t="shared" si="58"/>
        <v>0.92529349904607838</v>
      </c>
    </row>
    <row r="428" spans="13:24" x14ac:dyDescent="0.25">
      <c r="M428" s="91">
        <v>4.25</v>
      </c>
      <c r="N428" s="89">
        <f t="shared" si="54"/>
        <v>9.75</v>
      </c>
      <c r="O428" s="89">
        <f t="shared" si="55"/>
        <v>4.0297061636353275</v>
      </c>
      <c r="P428" s="97">
        <f t="shared" si="56"/>
        <v>5.1797061636353279</v>
      </c>
      <c r="Q428" s="135">
        <f t="shared" si="59"/>
        <v>9.3388593866280419E-5</v>
      </c>
      <c r="R428" s="89">
        <f t="shared" si="59"/>
        <v>6.6114061337195478E-6</v>
      </c>
      <c r="S428" s="89">
        <f t="shared" si="60"/>
        <v>5.6234132519034887E-5</v>
      </c>
      <c r="T428" s="136">
        <f t="shared" si="60"/>
        <v>1.778279410038918E-10</v>
      </c>
      <c r="U428" s="137">
        <f t="shared" si="61"/>
        <v>0.93388593866280456</v>
      </c>
      <c r="V428" s="88">
        <f t="shared" si="57"/>
        <v>0.92970616363532788</v>
      </c>
      <c r="W428" s="86">
        <f t="shared" si="62"/>
        <v>5.7202938363646725</v>
      </c>
      <c r="X428" s="90">
        <f t="shared" si="58"/>
        <v>0.92388593866280455</v>
      </c>
    </row>
    <row r="429" spans="13:24" x14ac:dyDescent="0.25">
      <c r="M429" s="91">
        <v>4.26</v>
      </c>
      <c r="N429" s="89">
        <f t="shared" si="54"/>
        <v>9.74</v>
      </c>
      <c r="O429" s="89">
        <f t="shared" si="55"/>
        <v>4.0303744602163354</v>
      </c>
      <c r="P429" s="97">
        <f t="shared" si="56"/>
        <v>5.170374460216336</v>
      </c>
      <c r="Q429" s="135">
        <f t="shared" si="59"/>
        <v>9.3244997100342238E-5</v>
      </c>
      <c r="R429" s="89">
        <f t="shared" si="59"/>
        <v>6.7550028996575993E-6</v>
      </c>
      <c r="S429" s="89">
        <f t="shared" si="60"/>
        <v>5.4954087385762447E-5</v>
      </c>
      <c r="T429" s="136">
        <f t="shared" si="60"/>
        <v>1.8197008586099781E-10</v>
      </c>
      <c r="U429" s="137">
        <f t="shared" si="61"/>
        <v>0.93244997100342386</v>
      </c>
      <c r="V429" s="88">
        <f t="shared" si="57"/>
        <v>0.91037446021633617</v>
      </c>
      <c r="W429" s="86">
        <f t="shared" si="62"/>
        <v>5.7096255397836648</v>
      </c>
      <c r="X429" s="90">
        <f t="shared" si="58"/>
        <v>0.92244997100342385</v>
      </c>
    </row>
    <row r="430" spans="13:24" x14ac:dyDescent="0.25">
      <c r="M430" s="91">
        <v>4.2699999999999996</v>
      </c>
      <c r="N430" s="89">
        <f t="shared" si="54"/>
        <v>9.73</v>
      </c>
      <c r="O430" s="89">
        <f t="shared" si="55"/>
        <v>4.0310572604938848</v>
      </c>
      <c r="P430" s="97">
        <f t="shared" si="56"/>
        <v>5.1610572604938856</v>
      </c>
      <c r="Q430" s="135">
        <f t="shared" si="59"/>
        <v>9.3098511963181574E-5</v>
      </c>
      <c r="R430" s="89">
        <f t="shared" si="59"/>
        <v>6.9014880368182373E-6</v>
      </c>
      <c r="S430" s="89">
        <f t="shared" si="60"/>
        <v>5.370317963702527E-5</v>
      </c>
      <c r="T430" s="136">
        <f t="shared" si="60"/>
        <v>1.862087136662862E-10</v>
      </c>
      <c r="U430" s="137">
        <f t="shared" si="61"/>
        <v>0.93098511963181751</v>
      </c>
      <c r="V430" s="88">
        <f t="shared" si="57"/>
        <v>0.89105726049388601</v>
      </c>
      <c r="W430" s="86">
        <f t="shared" si="62"/>
        <v>5.6989427395061156</v>
      </c>
      <c r="X430" s="90">
        <f t="shared" si="58"/>
        <v>0.92098511963181751</v>
      </c>
    </row>
    <row r="431" spans="13:24" x14ac:dyDescent="0.25">
      <c r="M431" s="91">
        <v>4.28</v>
      </c>
      <c r="N431" s="89">
        <f t="shared" si="54"/>
        <v>9.7199999999999989</v>
      </c>
      <c r="O431" s="89">
        <f t="shared" si="55"/>
        <v>4.0317548557029204</v>
      </c>
      <c r="P431" s="97">
        <f t="shared" si="56"/>
        <v>5.1517548557029205</v>
      </c>
      <c r="Q431" s="135">
        <f t="shared" si="59"/>
        <v>9.2949090437477054E-5</v>
      </c>
      <c r="R431" s="89">
        <f t="shared" si="59"/>
        <v>7.0509095625229635E-6</v>
      </c>
      <c r="S431" s="89">
        <f t="shared" si="60"/>
        <v>5.2480746024977172E-5</v>
      </c>
      <c r="T431" s="136">
        <f t="shared" si="60"/>
        <v>1.905460717963248E-10</v>
      </c>
      <c r="U431" s="137">
        <f t="shared" si="61"/>
        <v>0.92949090437477033</v>
      </c>
      <c r="V431" s="88">
        <f t="shared" si="57"/>
        <v>0.87175485570292022</v>
      </c>
      <c r="W431" s="86">
        <f t="shared" si="62"/>
        <v>5.6882451442970785</v>
      </c>
      <c r="X431" s="90">
        <f t="shared" si="58"/>
        <v>0.91949090437477032</v>
      </c>
    </row>
    <row r="432" spans="13:24" x14ac:dyDescent="0.25">
      <c r="M432" s="91">
        <v>4.29</v>
      </c>
      <c r="N432" s="89">
        <f t="shared" si="54"/>
        <v>9.7100000000000009</v>
      </c>
      <c r="O432" s="89">
        <f t="shared" si="55"/>
        <v>4.0324675418980851</v>
      </c>
      <c r="P432" s="97">
        <f t="shared" si="56"/>
        <v>5.1424675418980854</v>
      </c>
      <c r="Q432" s="135">
        <f t="shared" si="59"/>
        <v>9.2796684149615673E-5</v>
      </c>
      <c r="R432" s="89">
        <f t="shared" si="59"/>
        <v>7.203315850384258E-6</v>
      </c>
      <c r="S432" s="89">
        <f t="shared" si="60"/>
        <v>5.12861383991364E-5</v>
      </c>
      <c r="T432" s="136">
        <f t="shared" si="60"/>
        <v>1.949844599758039E-10</v>
      </c>
      <c r="U432" s="137">
        <f t="shared" si="61"/>
        <v>0.92796684149615727</v>
      </c>
      <c r="V432" s="88">
        <f t="shared" si="57"/>
        <v>0.85246754189808538</v>
      </c>
      <c r="W432" s="86">
        <f t="shared" si="62"/>
        <v>5.6775324581019158</v>
      </c>
      <c r="X432" s="90">
        <f t="shared" si="58"/>
        <v>0.91796684149615726</v>
      </c>
    </row>
    <row r="433" spans="13:24" x14ac:dyDescent="0.25">
      <c r="M433" s="91">
        <v>4.3</v>
      </c>
      <c r="N433" s="89">
        <f t="shared" si="54"/>
        <v>9.6999999999999993</v>
      </c>
      <c r="O433" s="89">
        <f t="shared" si="55"/>
        <v>4.0331956199884278</v>
      </c>
      <c r="P433" s="97">
        <f t="shared" si="56"/>
        <v>5.1331956199884283</v>
      </c>
      <c r="Q433" s="135">
        <f t="shared" si="59"/>
        <v>9.2641244388242617E-5</v>
      </c>
      <c r="R433" s="89">
        <f t="shared" si="59"/>
        <v>7.3587556117573353E-6</v>
      </c>
      <c r="S433" s="89">
        <f t="shared" si="60"/>
        <v>5.0118723362727238E-5</v>
      </c>
      <c r="T433" s="136">
        <f t="shared" si="60"/>
        <v>1.9952623149688802E-10</v>
      </c>
      <c r="U433" s="137">
        <f t="shared" si="61"/>
        <v>0.92641244388242661</v>
      </c>
      <c r="V433" s="88">
        <f t="shared" si="57"/>
        <v>0.8331956199884285</v>
      </c>
      <c r="W433" s="86">
        <f t="shared" si="62"/>
        <v>5.6668043800115715</v>
      </c>
      <c r="X433" s="90">
        <f t="shared" si="58"/>
        <v>0.9164124438824266</v>
      </c>
    </row>
    <row r="434" spans="13:24" x14ac:dyDescent="0.25">
      <c r="M434" s="91">
        <v>4.3099999999999996</v>
      </c>
      <c r="N434" s="89">
        <f t="shared" si="54"/>
        <v>9.6900000000000013</v>
      </c>
      <c r="O434" s="89">
        <f t="shared" si="55"/>
        <v>4.0339393957702034</v>
      </c>
      <c r="P434" s="97">
        <f t="shared" si="56"/>
        <v>5.1239393957702042</v>
      </c>
      <c r="Q434" s="135">
        <f t="shared" si="59"/>
        <v>9.2482722123971025E-5</v>
      </c>
      <c r="R434" s="89">
        <f t="shared" si="59"/>
        <v>7.5172778760288184E-6</v>
      </c>
      <c r="S434" s="89">
        <f t="shared" si="60"/>
        <v>4.8977881936844635E-5</v>
      </c>
      <c r="T434" s="136">
        <f t="shared" si="60"/>
        <v>2.0417379446695223E-10</v>
      </c>
      <c r="U434" s="137">
        <f t="shared" si="61"/>
        <v>0.92482722123971173</v>
      </c>
      <c r="V434" s="88">
        <f t="shared" si="57"/>
        <v>0.81393939577020458</v>
      </c>
      <c r="W434" s="86">
        <f t="shared" si="62"/>
        <v>5.6560606042297978</v>
      </c>
      <c r="X434" s="90">
        <f t="shared" si="58"/>
        <v>0.91482722123971172</v>
      </c>
    </row>
    <row r="435" spans="13:24" x14ac:dyDescent="0.25">
      <c r="M435" s="91">
        <v>4.32</v>
      </c>
      <c r="N435" s="89">
        <f t="shared" si="54"/>
        <v>9.68</v>
      </c>
      <c r="O435" s="89">
        <f t="shared" si="55"/>
        <v>4.0346991799576415</v>
      </c>
      <c r="P435" s="97">
        <f t="shared" si="56"/>
        <v>5.1146991799576416</v>
      </c>
      <c r="Q435" s="135">
        <f t="shared" si="59"/>
        <v>9.2321068030289978E-5</v>
      </c>
      <c r="R435" s="89">
        <f t="shared" si="59"/>
        <v>7.67893196971002E-6</v>
      </c>
      <c r="S435" s="89">
        <f t="shared" si="60"/>
        <v>4.786300923226377E-5</v>
      </c>
      <c r="T435" s="136">
        <f t="shared" si="60"/>
        <v>2.0892961308540397E-10</v>
      </c>
      <c r="U435" s="137">
        <f t="shared" si="61"/>
        <v>0.92321068030289988</v>
      </c>
      <c r="V435" s="88">
        <f t="shared" si="57"/>
        <v>0.79469917995764128</v>
      </c>
      <c r="W435" s="86">
        <f t="shared" si="62"/>
        <v>5.6453008200423582</v>
      </c>
      <c r="X435" s="90">
        <f t="shared" si="58"/>
        <v>0.91321068030289987</v>
      </c>
    </row>
    <row r="436" spans="13:24" x14ac:dyDescent="0.25">
      <c r="M436" s="91">
        <v>4.33</v>
      </c>
      <c r="N436" s="89">
        <f t="shared" si="54"/>
        <v>9.67</v>
      </c>
      <c r="O436" s="89">
        <f t="shared" si="55"/>
        <v>4.0354752882115621</v>
      </c>
      <c r="P436" s="97">
        <f t="shared" si="56"/>
        <v>5.1054752882115633</v>
      </c>
      <c r="Q436" s="135">
        <f t="shared" si="59"/>
        <v>9.2156232505697885E-5</v>
      </c>
      <c r="R436" s="89">
        <f t="shared" si="59"/>
        <v>7.843767494302147E-6</v>
      </c>
      <c r="S436" s="89">
        <f t="shared" si="60"/>
        <v>4.6773514128719762E-5</v>
      </c>
      <c r="T436" s="136">
        <f t="shared" si="60"/>
        <v>2.1379620895022245E-10</v>
      </c>
      <c r="U436" s="137">
        <f t="shared" si="61"/>
        <v>0.92156232505697855</v>
      </c>
      <c r="V436" s="88">
        <f t="shared" si="57"/>
        <v>0.7754752882115632</v>
      </c>
      <c r="W436" s="86">
        <f t="shared" si="62"/>
        <v>5.6345247117884378</v>
      </c>
      <c r="X436" s="90">
        <f t="shared" si="58"/>
        <v>0.91156232505697854</v>
      </c>
    </row>
    <row r="437" spans="13:24" x14ac:dyDescent="0.25">
      <c r="M437" s="91">
        <v>4.34</v>
      </c>
      <c r="N437" s="89">
        <f t="shared" si="54"/>
        <v>9.66</v>
      </c>
      <c r="O437" s="89">
        <f t="shared" si="55"/>
        <v>4.0362680411657168</v>
      </c>
      <c r="P437" s="97">
        <f t="shared" si="56"/>
        <v>5.0962680411657173</v>
      </c>
      <c r="Q437" s="135">
        <f t="shared" si="59"/>
        <v>9.1988165697097984E-5</v>
      </c>
      <c r="R437" s="89">
        <f t="shared" si="59"/>
        <v>8.0118343029019074E-6</v>
      </c>
      <c r="S437" s="89">
        <f t="shared" si="60"/>
        <v>4.5708818961487455E-5</v>
      </c>
      <c r="T437" s="136">
        <f t="shared" si="60"/>
        <v>2.1877616239495448E-10</v>
      </c>
      <c r="U437" s="137">
        <f t="shared" si="61"/>
        <v>0.91988165697098079</v>
      </c>
      <c r="V437" s="88">
        <f t="shared" si="57"/>
        <v>0.75626804116571744</v>
      </c>
      <c r="W437" s="86">
        <f t="shared" si="62"/>
        <v>5.6237319588342833</v>
      </c>
      <c r="X437" s="90">
        <f t="shared" si="58"/>
        <v>0.90988165697098078</v>
      </c>
    </row>
    <row r="438" spans="13:24" x14ac:dyDescent="0.25">
      <c r="M438" s="91">
        <v>4.3499999999999996</v>
      </c>
      <c r="N438" s="89">
        <f t="shared" si="54"/>
        <v>9.65</v>
      </c>
      <c r="O438" s="89">
        <f t="shared" si="55"/>
        <v>4.0370777644507196</v>
      </c>
      <c r="P438" s="97">
        <f t="shared" si="56"/>
        <v>5.0870777644507204</v>
      </c>
      <c r="Q438" s="135">
        <f t="shared" si="59"/>
        <v>9.1816817524484839E-5</v>
      </c>
      <c r="R438" s="89">
        <f t="shared" si="59"/>
        <v>8.1831824755151848E-6</v>
      </c>
      <c r="S438" s="89">
        <f t="shared" si="60"/>
        <v>4.4668359215096341E-5</v>
      </c>
      <c r="T438" s="136">
        <f t="shared" si="60"/>
        <v>2.238721138568331E-10</v>
      </c>
      <c r="U438" s="137">
        <f t="shared" si="61"/>
        <v>0.91816817524484817</v>
      </c>
      <c r="V438" s="88">
        <f t="shared" si="57"/>
        <v>0.73707776445072071</v>
      </c>
      <c r="W438" s="86">
        <f t="shared" si="62"/>
        <v>5.6129222355492807</v>
      </c>
      <c r="X438" s="90">
        <f t="shared" si="58"/>
        <v>0.90816817524484816</v>
      </c>
    </row>
    <row r="439" spans="13:24" x14ac:dyDescent="0.25">
      <c r="M439" s="91">
        <v>4.3600000000000003</v>
      </c>
      <c r="N439" s="89">
        <f t="shared" si="54"/>
        <v>9.64</v>
      </c>
      <c r="O439" s="89">
        <f t="shared" si="55"/>
        <v>4.0379047887154575</v>
      </c>
      <c r="P439" s="97">
        <f t="shared" si="56"/>
        <v>5.0779047887154576</v>
      </c>
      <c r="Q439" s="135">
        <f t="shared" si="59"/>
        <v>9.164213770695119E-5</v>
      </c>
      <c r="R439" s="89">
        <f t="shared" si="59"/>
        <v>8.357862293048637E-6</v>
      </c>
      <c r="S439" s="89">
        <f t="shared" si="60"/>
        <v>4.3651583224016559E-5</v>
      </c>
      <c r="T439" s="136">
        <f t="shared" si="60"/>
        <v>2.2908676527677644E-10</v>
      </c>
      <c r="U439" s="137">
        <f t="shared" si="61"/>
        <v>0.91642137706951343</v>
      </c>
      <c r="V439" s="88">
        <f t="shared" si="57"/>
        <v>0.71790478871545726</v>
      </c>
      <c r="W439" s="86">
        <f t="shared" si="62"/>
        <v>5.602095211284543</v>
      </c>
      <c r="X439" s="90">
        <f t="shared" si="58"/>
        <v>0.90642137706951342</v>
      </c>
    </row>
    <row r="440" spans="13:24" x14ac:dyDescent="0.25">
      <c r="M440" s="91">
        <v>4.37</v>
      </c>
      <c r="N440" s="89">
        <f t="shared" si="54"/>
        <v>9.629999999999999</v>
      </c>
      <c r="O440" s="89">
        <f t="shared" si="55"/>
        <v>4.0387494496458141</v>
      </c>
      <c r="P440" s="97">
        <f t="shared" si="56"/>
        <v>5.0687494496458143</v>
      </c>
      <c r="Q440" s="135">
        <f t="shared" si="59"/>
        <v>9.1464075790051254E-5</v>
      </c>
      <c r="R440" s="89">
        <f t="shared" si="59"/>
        <v>8.5359242099487217E-6</v>
      </c>
      <c r="S440" s="89">
        <f t="shared" si="60"/>
        <v>4.265795188015923E-5</v>
      </c>
      <c r="T440" s="136">
        <f t="shared" si="60"/>
        <v>2.3442288153199212E-10</v>
      </c>
      <c r="U440" s="137">
        <f t="shared" si="61"/>
        <v>0.9146407579005128</v>
      </c>
      <c r="V440" s="88">
        <f t="shared" si="57"/>
        <v>0.6987494496458142</v>
      </c>
      <c r="W440" s="86">
        <f t="shared" si="62"/>
        <v>5.5912505503541849</v>
      </c>
      <c r="X440" s="90">
        <f t="shared" si="58"/>
        <v>0.90464075790051279</v>
      </c>
    </row>
    <row r="441" spans="13:24" x14ac:dyDescent="0.25">
      <c r="M441" s="91">
        <v>4.38</v>
      </c>
      <c r="N441" s="89">
        <f t="shared" si="54"/>
        <v>9.620000000000001</v>
      </c>
      <c r="O441" s="89">
        <f t="shared" si="55"/>
        <v>4.0396120879806068</v>
      </c>
      <c r="P441" s="97">
        <f t="shared" si="56"/>
        <v>5.0596120879806072</v>
      </c>
      <c r="Q441" s="135">
        <f t="shared" si="59"/>
        <v>9.1282581174541229E-5</v>
      </c>
      <c r="R441" s="89">
        <f t="shared" si="59"/>
        <v>8.7174188254586537E-6</v>
      </c>
      <c r="S441" s="89">
        <f t="shared" si="60"/>
        <v>4.1686938347033504E-5</v>
      </c>
      <c r="T441" s="136">
        <f t="shared" si="60"/>
        <v>2.3988329190194809E-10</v>
      </c>
      <c r="U441" s="137">
        <f t="shared" si="61"/>
        <v>0.91282581174541333</v>
      </c>
      <c r="V441" s="88">
        <f t="shared" si="57"/>
        <v>0.67961208798060735</v>
      </c>
      <c r="W441" s="86">
        <f t="shared" si="62"/>
        <v>5.5803879120193942</v>
      </c>
      <c r="X441" s="90">
        <f t="shared" si="58"/>
        <v>0.90282581174541332</v>
      </c>
    </row>
    <row r="442" spans="13:24" x14ac:dyDescent="0.25">
      <c r="M442" s="91">
        <v>4.3899999999999997</v>
      </c>
      <c r="N442" s="89">
        <f t="shared" si="54"/>
        <v>9.61</v>
      </c>
      <c r="O442" s="89">
        <f t="shared" si="55"/>
        <v>4.0404930495245637</v>
      </c>
      <c r="P442" s="97">
        <f t="shared" si="56"/>
        <v>5.0504930495245643</v>
      </c>
      <c r="Q442" s="135">
        <f t="shared" si="59"/>
        <v>9.109760314653437E-5</v>
      </c>
      <c r="R442" s="89">
        <f t="shared" si="59"/>
        <v>8.902396853465448E-6</v>
      </c>
      <c r="S442" s="89">
        <f t="shared" si="60"/>
        <v>4.0738027780411247E-5</v>
      </c>
      <c r="T442" s="136">
        <f t="shared" si="60"/>
        <v>2.4547089156850289E-10</v>
      </c>
      <c r="U442" s="137">
        <f t="shared" si="61"/>
        <v>0.91097603146534534</v>
      </c>
      <c r="V442" s="88">
        <f t="shared" si="57"/>
        <v>0.66049304952456467</v>
      </c>
      <c r="W442" s="86">
        <f t="shared" si="62"/>
        <v>5.5695069504754358</v>
      </c>
      <c r="X442" s="90">
        <f t="shared" si="58"/>
        <v>0.90097603146534533</v>
      </c>
    </row>
    <row r="443" spans="13:24" x14ac:dyDescent="0.25">
      <c r="M443" s="91">
        <v>4.4000000000000004</v>
      </c>
      <c r="N443" s="89">
        <f t="shared" si="54"/>
        <v>9.6</v>
      </c>
      <c r="O443" s="89">
        <f t="shared" si="55"/>
        <v>4.0413926851582254</v>
      </c>
      <c r="P443" s="97">
        <f t="shared" si="56"/>
        <v>5.0413926851582254</v>
      </c>
      <c r="Q443" s="135">
        <f t="shared" si="59"/>
        <v>9.0909090909090755E-5</v>
      </c>
      <c r="R443" s="89">
        <f t="shared" si="59"/>
        <v>9.0909090909090809E-6</v>
      </c>
      <c r="S443" s="89">
        <f t="shared" si="60"/>
        <v>3.9810717055349634E-5</v>
      </c>
      <c r="T443" s="136">
        <f t="shared" si="60"/>
        <v>2.5118864315095784E-10</v>
      </c>
      <c r="U443" s="137">
        <f t="shared" si="61"/>
        <v>0.90909090909090906</v>
      </c>
      <c r="V443" s="88">
        <f t="shared" si="57"/>
        <v>0.64139268515822501</v>
      </c>
      <c r="W443" s="86">
        <f t="shared" si="62"/>
        <v>5.5586073148417743</v>
      </c>
      <c r="X443" s="90">
        <f t="shared" si="58"/>
        <v>0.89909090909090905</v>
      </c>
    </row>
    <row r="444" spans="13:24" x14ac:dyDescent="0.25">
      <c r="M444" s="91">
        <v>4.41</v>
      </c>
      <c r="N444" s="89">
        <f t="shared" si="54"/>
        <v>9.59</v>
      </c>
      <c r="O444" s="89">
        <f t="shared" si="55"/>
        <v>4.0423113508446074</v>
      </c>
      <c r="P444" s="97">
        <f t="shared" si="56"/>
        <v>5.0323113508446076</v>
      </c>
      <c r="Q444" s="135">
        <f t="shared" si="59"/>
        <v>9.0716993615271404E-5</v>
      </c>
      <c r="R444" s="89">
        <f t="shared" si="59"/>
        <v>9.2830063847285027E-6</v>
      </c>
      <c r="S444" s="89">
        <f t="shared" si="60"/>
        <v>3.8904514499428046E-5</v>
      </c>
      <c r="T444" s="136">
        <f t="shared" si="60"/>
        <v>2.5703957827688617E-10</v>
      </c>
      <c r="U444" s="137">
        <f t="shared" si="61"/>
        <v>0.90716993615271491</v>
      </c>
      <c r="V444" s="88">
        <f t="shared" si="57"/>
        <v>0.62231135084460742</v>
      </c>
      <c r="W444" s="86">
        <f t="shared" si="62"/>
        <v>5.5476886491553925</v>
      </c>
      <c r="X444" s="90">
        <f t="shared" si="58"/>
        <v>0.8971699361527149</v>
      </c>
    </row>
    <row r="445" spans="13:24" x14ac:dyDescent="0.25">
      <c r="M445" s="91">
        <v>4.42</v>
      </c>
      <c r="N445" s="89">
        <f t="shared" si="54"/>
        <v>9.58</v>
      </c>
      <c r="O445" s="89">
        <f t="shared" si="55"/>
        <v>4.0432494076324854</v>
      </c>
      <c r="P445" s="97">
        <f t="shared" si="56"/>
        <v>5.0232494076324867</v>
      </c>
      <c r="Q445" s="135">
        <f t="shared" si="59"/>
        <v>9.0521260402680426E-5</v>
      </c>
      <c r="R445" s="89">
        <f t="shared" si="59"/>
        <v>9.4787395973195838E-6</v>
      </c>
      <c r="S445" s="89">
        <f t="shared" si="60"/>
        <v>3.8018939632056103E-5</v>
      </c>
      <c r="T445" s="136">
        <f t="shared" si="60"/>
        <v>2.6302679918953798E-10</v>
      </c>
      <c r="U445" s="137">
        <f t="shared" si="61"/>
        <v>0.90521260402680426</v>
      </c>
      <c r="V445" s="88">
        <f t="shared" si="57"/>
        <v>0.6032494076324868</v>
      </c>
      <c r="W445" s="86">
        <f t="shared" si="62"/>
        <v>5.5367505923675147</v>
      </c>
      <c r="X445" s="90">
        <f t="shared" si="58"/>
        <v>0.89521260402680425</v>
      </c>
    </row>
    <row r="446" spans="13:24" x14ac:dyDescent="0.25">
      <c r="M446" s="91">
        <v>4.43</v>
      </c>
      <c r="N446" s="89">
        <f t="shared" si="54"/>
        <v>9.57</v>
      </c>
      <c r="O446" s="89">
        <f t="shared" si="55"/>
        <v>4.044207221656154</v>
      </c>
      <c r="P446" s="97">
        <f t="shared" si="56"/>
        <v>5.0142072216561555</v>
      </c>
      <c r="Q446" s="135">
        <f t="shared" si="59"/>
        <v>9.0321840429518165E-5</v>
      </c>
      <c r="R446" s="89">
        <f t="shared" si="59"/>
        <v>9.6781595704818766E-6</v>
      </c>
      <c r="S446" s="89">
        <f t="shared" si="60"/>
        <v>3.7153522909717237E-5</v>
      </c>
      <c r="T446" s="136">
        <f t="shared" si="60"/>
        <v>2.6915348039269034E-10</v>
      </c>
      <c r="U446" s="137">
        <f t="shared" si="61"/>
        <v>0.9032184042951813</v>
      </c>
      <c r="V446" s="88">
        <f t="shared" si="57"/>
        <v>0.5842072216561558</v>
      </c>
      <c r="W446" s="86">
        <f t="shared" si="62"/>
        <v>5.5257927783438463</v>
      </c>
      <c r="X446" s="90">
        <f t="shared" si="58"/>
        <v>0.89321840429518129</v>
      </c>
    </row>
    <row r="447" spans="13:24" x14ac:dyDescent="0.25">
      <c r="M447" s="91">
        <v>4.4400000000000004</v>
      </c>
      <c r="N447" s="89">
        <f t="shared" si="54"/>
        <v>9.5599999999999987</v>
      </c>
      <c r="O447" s="89">
        <f t="shared" si="55"/>
        <v>4.045185164131496</v>
      </c>
      <c r="P447" s="97">
        <f t="shared" si="56"/>
        <v>5.0051851641314968</v>
      </c>
      <c r="Q447" s="135">
        <f t="shared" si="59"/>
        <v>9.0118682912166751E-5</v>
      </c>
      <c r="R447" s="89">
        <f t="shared" si="59"/>
        <v>9.8813170878332132E-6</v>
      </c>
      <c r="S447" s="89">
        <f t="shared" si="60"/>
        <v>3.6307805477010065E-5</v>
      </c>
      <c r="T447" s="136">
        <f t="shared" si="60"/>
        <v>2.754228703338173E-10</v>
      </c>
      <c r="U447" s="137">
        <f t="shared" si="61"/>
        <v>0.90118682912166781</v>
      </c>
      <c r="V447" s="88">
        <f t="shared" si="57"/>
        <v>0.56518516413149644</v>
      </c>
      <c r="W447" s="86">
        <f t="shared" si="62"/>
        <v>5.5148148358685027</v>
      </c>
      <c r="X447" s="90">
        <f t="shared" si="58"/>
        <v>0.8911868291216678</v>
      </c>
    </row>
    <row r="448" spans="13:24" x14ac:dyDescent="0.25">
      <c r="M448" s="91">
        <v>4.45</v>
      </c>
      <c r="N448" s="89">
        <f t="shared" si="54"/>
        <v>9.5500000000000007</v>
      </c>
      <c r="O448" s="89">
        <f t="shared" si="55"/>
        <v>4.0461836113482237</v>
      </c>
      <c r="P448" s="97">
        <f t="shared" si="56"/>
        <v>4.9961836113482239</v>
      </c>
      <c r="Q448" s="135">
        <f t="shared" si="59"/>
        <v>8.9911737164327668E-5</v>
      </c>
      <c r="R448" s="89">
        <f t="shared" si="59"/>
        <v>1.0088262835672315E-5</v>
      </c>
      <c r="S448" s="89">
        <f t="shared" si="60"/>
        <v>3.5481338923357479E-5</v>
      </c>
      <c r="T448" s="136">
        <f t="shared" si="60"/>
        <v>2.8183829312644407E-10</v>
      </c>
      <c r="U448" s="137">
        <f t="shared" si="61"/>
        <v>0.89911737164327687</v>
      </c>
      <c r="V448" s="88">
        <f t="shared" si="57"/>
        <v>0.54618361134822369</v>
      </c>
      <c r="W448" s="86">
        <f t="shared" si="62"/>
        <v>5.503816388651777</v>
      </c>
      <c r="X448" s="90">
        <f t="shared" si="58"/>
        <v>0.88911737164327687</v>
      </c>
    </row>
    <row r="449" spans="13:24" x14ac:dyDescent="0.25">
      <c r="M449" s="91">
        <v>4.46</v>
      </c>
      <c r="N449" s="89">
        <f t="shared" si="54"/>
        <v>9.5399999999999991</v>
      </c>
      <c r="O449" s="89">
        <f t="shared" si="55"/>
        <v>4.0472029446581228</v>
      </c>
      <c r="P449" s="97">
        <f t="shared" si="56"/>
        <v>4.9872029446581232</v>
      </c>
      <c r="Q449" s="135">
        <f t="shared" si="59"/>
        <v>8.9700952637727205E-5</v>
      </c>
      <c r="R449" s="89">
        <f t="shared" si="59"/>
        <v>1.0299047362272686E-5</v>
      </c>
      <c r="S449" s="89">
        <f t="shared" si="60"/>
        <v>3.4673685045253161E-5</v>
      </c>
      <c r="T449" s="136">
        <f t="shared" si="60"/>
        <v>2.8840315031266024E-10</v>
      </c>
      <c r="U449" s="137">
        <f t="shared" si="61"/>
        <v>0.89700952637727294</v>
      </c>
      <c r="V449" s="88">
        <f t="shared" si="57"/>
        <v>0.52720294465812323</v>
      </c>
      <c r="W449" s="86">
        <f t="shared" si="62"/>
        <v>5.4927970553418763</v>
      </c>
      <c r="X449" s="90">
        <f t="shared" si="58"/>
        <v>0.88700952637727293</v>
      </c>
    </row>
    <row r="450" spans="13:24" x14ac:dyDescent="0.25">
      <c r="M450" s="91">
        <v>4.47</v>
      </c>
      <c r="N450" s="89">
        <f t="shared" si="54"/>
        <v>9.5300000000000011</v>
      </c>
      <c r="O450" s="89">
        <f t="shared" si="55"/>
        <v>4.0482435504591514</v>
      </c>
      <c r="P450" s="97">
        <f t="shared" si="56"/>
        <v>4.978243550459152</v>
      </c>
      <c r="Q450" s="135">
        <f t="shared" si="59"/>
        <v>8.9486278964407919E-5</v>
      </c>
      <c r="R450" s="89">
        <f t="shared" si="59"/>
        <v>1.0513721035591933E-5</v>
      </c>
      <c r="S450" s="89">
        <f t="shared" si="60"/>
        <v>3.3884415613920256E-5</v>
      </c>
      <c r="T450" s="136">
        <f t="shared" si="60"/>
        <v>2.9512092266663712E-10</v>
      </c>
      <c r="U450" s="137">
        <f t="shared" si="61"/>
        <v>0.8948627896440805</v>
      </c>
      <c r="V450" s="88">
        <f t="shared" si="57"/>
        <v>0.50824355045915226</v>
      </c>
      <c r="W450" s="86">
        <f t="shared" si="62"/>
        <v>5.4817564495408497</v>
      </c>
      <c r="X450" s="90">
        <f t="shared" si="58"/>
        <v>0.88486278964408049</v>
      </c>
    </row>
    <row r="451" spans="13:24" x14ac:dyDescent="0.25">
      <c r="M451" s="91">
        <v>4.4800000000000004</v>
      </c>
      <c r="N451" s="89">
        <f t="shared" ref="N451:N514" si="63">14-M451</f>
        <v>9.52</v>
      </c>
      <c r="O451" s="89">
        <f t="shared" ref="O451:O514" si="64">-LOG(10^-$B$3/(1+10^(M451-$A$3)))</f>
        <v>4.0493058201752232</v>
      </c>
      <c r="P451" s="97">
        <f t="shared" ref="P451:P514" si="65">-LOG(10^-$B$3/(1+10^($A$3-M451)))</f>
        <v>4.9693058201752232</v>
      </c>
      <c r="Q451" s="135">
        <f t="shared" si="59"/>
        <v>8.9267666000615413E-5</v>
      </c>
      <c r="R451" s="89">
        <f t="shared" si="59"/>
        <v>1.0732333999384592E-5</v>
      </c>
      <c r="S451" s="89">
        <f t="shared" si="60"/>
        <v>3.3113112148259056E-5</v>
      </c>
      <c r="T451" s="136">
        <f t="shared" si="60"/>
        <v>3.0199517204020115E-10</v>
      </c>
      <c r="U451" s="137">
        <f t="shared" si="61"/>
        <v>0.89267666000615409</v>
      </c>
      <c r="V451" s="88">
        <f t="shared" ref="V451:V514" si="66">ABS(P451-M451)</f>
        <v>0.48930582017522273</v>
      </c>
      <c r="W451" s="86">
        <f t="shared" si="62"/>
        <v>5.4706941798247763</v>
      </c>
      <c r="X451" s="90">
        <f t="shared" ref="X451:X514" si="67">ABS($J$2-U451)</f>
        <v>0.88267666000615408</v>
      </c>
    </row>
    <row r="452" spans="13:24" x14ac:dyDescent="0.25">
      <c r="M452" s="91">
        <v>4.49</v>
      </c>
      <c r="N452" s="89">
        <f t="shared" si="63"/>
        <v>9.51</v>
      </c>
      <c r="O452" s="89">
        <f t="shared" si="64"/>
        <v>4.0503901502315314</v>
      </c>
      <c r="P452" s="97">
        <f t="shared" si="65"/>
        <v>4.9603901502315315</v>
      </c>
      <c r="Q452" s="135">
        <f t="shared" ref="Q452:R515" si="68">10^-O452</f>
        <v>8.9045063872292233E-5</v>
      </c>
      <c r="R452" s="89">
        <f t="shared" si="68"/>
        <v>1.0954936127707495E-5</v>
      </c>
      <c r="S452" s="89">
        <f t="shared" ref="S452:T515" si="69">10^-M452</f>
        <v>3.2359365692962775E-5</v>
      </c>
      <c r="T452" s="136">
        <f t="shared" si="69"/>
        <v>3.090295432513586E-10</v>
      </c>
      <c r="U452" s="137">
        <f t="shared" ref="U452:U515" si="70">Q452/(Q452+R452)</f>
        <v>0.89045063872292474</v>
      </c>
      <c r="V452" s="88">
        <f t="shared" si="66"/>
        <v>0.4703901502315313</v>
      </c>
      <c r="W452" s="86">
        <f t="shared" ref="W452:W515" si="71">ABS(O452-N452)</f>
        <v>5.4596098497684684</v>
      </c>
      <c r="X452" s="90">
        <f t="shared" si="67"/>
        <v>0.88045063872292473</v>
      </c>
    </row>
    <row r="453" spans="13:24" x14ac:dyDescent="0.25">
      <c r="M453" s="91">
        <v>4.5</v>
      </c>
      <c r="N453" s="89">
        <f t="shared" si="63"/>
        <v>9.5</v>
      </c>
      <c r="O453" s="89">
        <f t="shared" si="64"/>
        <v>4.0514969420252305</v>
      </c>
      <c r="P453" s="97">
        <f t="shared" si="65"/>
        <v>4.9514969420252308</v>
      </c>
      <c r="Q453" s="135">
        <f t="shared" si="68"/>
        <v>8.8818423022188163E-5</v>
      </c>
      <c r="R453" s="89">
        <f t="shared" si="68"/>
        <v>1.1181576977811674E-5</v>
      </c>
      <c r="S453" s="89">
        <f t="shared" si="69"/>
        <v>3.1622776601683748E-5</v>
      </c>
      <c r="T453" s="136">
        <f t="shared" si="69"/>
        <v>3.1622776601683744E-10</v>
      </c>
      <c r="U453" s="137">
        <f t="shared" si="70"/>
        <v>0.88818423022188309</v>
      </c>
      <c r="V453" s="88">
        <f t="shared" si="66"/>
        <v>0.45149694202523083</v>
      </c>
      <c r="W453" s="86">
        <f t="shared" si="71"/>
        <v>5.4485030579747695</v>
      </c>
      <c r="X453" s="90">
        <f t="shared" si="67"/>
        <v>0.87818423022188308</v>
      </c>
    </row>
    <row r="454" spans="13:24" x14ac:dyDescent="0.25">
      <c r="M454" s="91">
        <v>4.51</v>
      </c>
      <c r="N454" s="89">
        <f t="shared" si="63"/>
        <v>9.49</v>
      </c>
      <c r="O454" s="89">
        <f t="shared" si="64"/>
        <v>4.0526266018913386</v>
      </c>
      <c r="P454" s="97">
        <f t="shared" si="65"/>
        <v>4.9426266018913392</v>
      </c>
      <c r="Q454" s="135">
        <f t="shared" si="68"/>
        <v>8.8587694258584836E-5</v>
      </c>
      <c r="R454" s="89">
        <f t="shared" si="68"/>
        <v>1.1412305741415009E-5</v>
      </c>
      <c r="S454" s="89">
        <f t="shared" si="69"/>
        <v>3.090295432513586E-5</v>
      </c>
      <c r="T454" s="136">
        <f t="shared" si="69"/>
        <v>3.2359365692962771E-10</v>
      </c>
      <c r="U454" s="137">
        <f t="shared" si="70"/>
        <v>0.88587694258584981</v>
      </c>
      <c r="V454" s="88">
        <f t="shared" si="66"/>
        <v>0.43262660189133939</v>
      </c>
      <c r="W454" s="86">
        <f t="shared" si="71"/>
        <v>5.4373733981086616</v>
      </c>
      <c r="X454" s="90">
        <f t="shared" si="67"/>
        <v>0.8758769425858498</v>
      </c>
    </row>
    <row r="455" spans="13:24" x14ac:dyDescent="0.25">
      <c r="M455" s="91">
        <v>4.5199999999999996</v>
      </c>
      <c r="N455" s="89">
        <f t="shared" si="63"/>
        <v>9.48</v>
      </c>
      <c r="O455" s="89">
        <f t="shared" si="64"/>
        <v>4.053779541063677</v>
      </c>
      <c r="P455" s="97">
        <f t="shared" si="65"/>
        <v>4.9337795410636778</v>
      </c>
      <c r="Q455" s="135">
        <f t="shared" si="68"/>
        <v>8.8352828805643945E-5</v>
      </c>
      <c r="R455" s="89">
        <f t="shared" si="68"/>
        <v>1.1647171194356048E-5</v>
      </c>
      <c r="S455" s="89">
        <f t="shared" si="69"/>
        <v>3.0199517204020178E-5</v>
      </c>
      <c r="T455" s="136">
        <f t="shared" si="69"/>
        <v>3.3113112148259045E-10</v>
      </c>
      <c r="U455" s="137">
        <f t="shared" si="70"/>
        <v>0.88352828805643957</v>
      </c>
      <c r="V455" s="88">
        <f t="shared" si="66"/>
        <v>0.4137795410636782</v>
      </c>
      <c r="W455" s="86">
        <f t="shared" si="71"/>
        <v>5.4262204589363234</v>
      </c>
      <c r="X455" s="90">
        <f t="shared" si="67"/>
        <v>0.87352828805643956</v>
      </c>
    </row>
    <row r="456" spans="13:24" x14ac:dyDescent="0.25">
      <c r="M456" s="91">
        <v>4.53</v>
      </c>
      <c r="N456" s="89">
        <f t="shared" si="63"/>
        <v>9.4699999999999989</v>
      </c>
      <c r="O456" s="89">
        <f t="shared" si="64"/>
        <v>4.0549561756307</v>
      </c>
      <c r="P456" s="97">
        <f t="shared" si="65"/>
        <v>4.9249561756307001</v>
      </c>
      <c r="Q456" s="135">
        <f t="shared" si="68"/>
        <v>8.811377835536981E-5</v>
      </c>
      <c r="R456" s="89">
        <f t="shared" si="68"/>
        <v>1.1886221644630165E-5</v>
      </c>
      <c r="S456" s="89">
        <f t="shared" si="69"/>
        <v>2.9512092266663827E-5</v>
      </c>
      <c r="T456" s="136">
        <f t="shared" si="69"/>
        <v>3.3884415613920311E-10</v>
      </c>
      <c r="U456" s="137">
        <f t="shared" si="70"/>
        <v>0.88113778355369832</v>
      </c>
      <c r="V456" s="88">
        <f t="shared" si="66"/>
        <v>0.39495617563069985</v>
      </c>
      <c r="W456" s="86">
        <f t="shared" si="71"/>
        <v>5.4150438243692989</v>
      </c>
      <c r="X456" s="90">
        <f t="shared" si="67"/>
        <v>0.87113778355369831</v>
      </c>
    </row>
    <row r="457" spans="13:24" x14ac:dyDescent="0.25">
      <c r="M457" s="91">
        <v>4.54</v>
      </c>
      <c r="N457" s="89">
        <f t="shared" si="63"/>
        <v>9.4600000000000009</v>
      </c>
      <c r="O457" s="89">
        <f t="shared" si="64"/>
        <v>4.0561569264860404</v>
      </c>
      <c r="P457" s="97">
        <f t="shared" si="65"/>
        <v>4.9161569264860407</v>
      </c>
      <c r="Q457" s="135">
        <f t="shared" si="68"/>
        <v>8.7870495121185124E-5</v>
      </c>
      <c r="R457" s="89">
        <f t="shared" si="68"/>
        <v>1.2129504878814844E-5</v>
      </c>
      <c r="S457" s="89">
        <f t="shared" si="69"/>
        <v>2.8840315031266029E-5</v>
      </c>
      <c r="T457" s="136">
        <f t="shared" si="69"/>
        <v>3.4673685045252974E-10</v>
      </c>
      <c r="U457" s="137">
        <f t="shared" si="70"/>
        <v>0.87870495121185155</v>
      </c>
      <c r="V457" s="88">
        <f t="shared" si="66"/>
        <v>0.37615692648604071</v>
      </c>
      <c r="W457" s="86">
        <f t="shared" si="71"/>
        <v>5.4038430735139604</v>
      </c>
      <c r="X457" s="90">
        <f t="shared" si="67"/>
        <v>0.86870495121185154</v>
      </c>
    </row>
    <row r="458" spans="13:24" x14ac:dyDescent="0.25">
      <c r="M458" s="91">
        <v>4.55</v>
      </c>
      <c r="N458" s="89">
        <f t="shared" si="63"/>
        <v>9.4499999999999993</v>
      </c>
      <c r="O458" s="89">
        <f t="shared" si="64"/>
        <v>4.0573822192736291</v>
      </c>
      <c r="P458" s="97">
        <f t="shared" si="65"/>
        <v>4.9073822192736305</v>
      </c>
      <c r="Q458" s="135">
        <f t="shared" si="68"/>
        <v>8.7622931893106541E-5</v>
      </c>
      <c r="R458" s="89">
        <f t="shared" si="68"/>
        <v>1.2377068106893501E-5</v>
      </c>
      <c r="S458" s="89">
        <f t="shared" si="69"/>
        <v>2.8183829312644511E-5</v>
      </c>
      <c r="T458" s="136">
        <f t="shared" si="69"/>
        <v>3.5481338923357471E-10</v>
      </c>
      <c r="U458" s="137">
        <f t="shared" si="70"/>
        <v>0.87622931893106504</v>
      </c>
      <c r="V458" s="88">
        <f t="shared" si="66"/>
        <v>0.35738221927363067</v>
      </c>
      <c r="W458" s="86">
        <f t="shared" si="71"/>
        <v>5.3926177807263702</v>
      </c>
      <c r="X458" s="90">
        <f t="shared" si="67"/>
        <v>0.86622931893106503</v>
      </c>
    </row>
    <row r="459" spans="13:24" x14ac:dyDescent="0.25">
      <c r="M459" s="91">
        <v>4.5599999999999996</v>
      </c>
      <c r="N459" s="89">
        <f t="shared" si="63"/>
        <v>9.4400000000000013</v>
      </c>
      <c r="O459" s="89">
        <f t="shared" si="64"/>
        <v>4.0586324843272052</v>
      </c>
      <c r="P459" s="97">
        <f t="shared" si="65"/>
        <v>4.898632484327206</v>
      </c>
      <c r="Q459" s="135">
        <f t="shared" si="68"/>
        <v>8.7371042094508124E-5</v>
      </c>
      <c r="R459" s="89">
        <f t="shared" si="68"/>
        <v>1.2628957905491827E-5</v>
      </c>
      <c r="S459" s="89">
        <f t="shared" si="69"/>
        <v>2.754228703338164E-5</v>
      </c>
      <c r="T459" s="136">
        <f t="shared" si="69"/>
        <v>3.6307805477009923E-10</v>
      </c>
      <c r="U459" s="137">
        <f t="shared" si="70"/>
        <v>0.87371042094508167</v>
      </c>
      <c r="V459" s="88">
        <f t="shared" si="66"/>
        <v>0.33863248432720638</v>
      </c>
      <c r="W459" s="86">
        <f t="shared" si="71"/>
        <v>5.381367515672796</v>
      </c>
      <c r="X459" s="90">
        <f t="shared" si="67"/>
        <v>0.86371042094508166</v>
      </c>
    </row>
    <row r="460" spans="13:24" x14ac:dyDescent="0.25">
      <c r="M460" s="91">
        <v>4.57</v>
      </c>
      <c r="N460" s="89">
        <f t="shared" si="63"/>
        <v>9.43</v>
      </c>
      <c r="O460" s="89">
        <f t="shared" si="64"/>
        <v>4.0599081566040782</v>
      </c>
      <c r="P460" s="97">
        <f t="shared" si="65"/>
        <v>4.8899081566040783</v>
      </c>
      <c r="Q460" s="135">
        <f t="shared" si="68"/>
        <v>8.7114779840455469E-5</v>
      </c>
      <c r="R460" s="89">
        <f t="shared" si="68"/>
        <v>1.288522015954442E-5</v>
      </c>
      <c r="S460" s="89">
        <f t="shared" si="69"/>
        <v>2.6915348039269089E-5</v>
      </c>
      <c r="T460" s="136">
        <f t="shared" si="69"/>
        <v>3.7153522909717169E-10</v>
      </c>
      <c r="U460" s="137">
        <f t="shared" si="70"/>
        <v>0.8711477984045557</v>
      </c>
      <c r="V460" s="88">
        <f t="shared" si="66"/>
        <v>0.31990815660407801</v>
      </c>
      <c r="W460" s="86">
        <f t="shared" si="71"/>
        <v>5.3700918433959215</v>
      </c>
      <c r="X460" s="90">
        <f t="shared" si="67"/>
        <v>0.86114779840455569</v>
      </c>
    </row>
    <row r="461" spans="13:24" x14ac:dyDescent="0.25">
      <c r="M461" s="91">
        <v>4.58</v>
      </c>
      <c r="N461" s="89">
        <f t="shared" si="63"/>
        <v>9.42</v>
      </c>
      <c r="O461" s="89">
        <f t="shared" si="64"/>
        <v>4.0612096756129779</v>
      </c>
      <c r="P461" s="97">
        <f t="shared" si="65"/>
        <v>4.8812096756129781</v>
      </c>
      <c r="Q461" s="135">
        <f t="shared" si="68"/>
        <v>8.6854099997585142E-5</v>
      </c>
      <c r="R461" s="89">
        <f t="shared" si="68"/>
        <v>1.314590000241481E-5</v>
      </c>
      <c r="S461" s="89">
        <f t="shared" si="69"/>
        <v>2.6302679918953804E-5</v>
      </c>
      <c r="T461" s="136">
        <f t="shared" si="69"/>
        <v>3.801893963205603E-10</v>
      </c>
      <c r="U461" s="137">
        <f t="shared" si="70"/>
        <v>0.86854099997585188</v>
      </c>
      <c r="V461" s="88">
        <f t="shared" si="66"/>
        <v>0.30120967561297807</v>
      </c>
      <c r="W461" s="86">
        <f t="shared" si="71"/>
        <v>5.3587903243870221</v>
      </c>
      <c r="X461" s="90">
        <f t="shared" si="67"/>
        <v>0.85854099997585187</v>
      </c>
    </row>
    <row r="462" spans="13:24" x14ac:dyDescent="0.25">
      <c r="M462" s="91">
        <v>4.59</v>
      </c>
      <c r="N462" s="89">
        <f t="shared" si="63"/>
        <v>9.41</v>
      </c>
      <c r="O462" s="89">
        <f t="shared" si="64"/>
        <v>4.0625374853358407</v>
      </c>
      <c r="P462" s="97">
        <f t="shared" si="65"/>
        <v>4.8725374853358412</v>
      </c>
      <c r="Q462" s="135">
        <f t="shared" si="68"/>
        <v>8.6588958245504327E-5</v>
      </c>
      <c r="R462" s="89">
        <f t="shared" si="68"/>
        <v>1.3411041754495588E-5</v>
      </c>
      <c r="S462" s="89">
        <f t="shared" si="69"/>
        <v>2.5703957827688621E-5</v>
      </c>
      <c r="T462" s="136">
        <f t="shared" si="69"/>
        <v>3.8904514499427963E-10</v>
      </c>
      <c r="U462" s="137">
        <f t="shared" si="70"/>
        <v>0.86588958245504399</v>
      </c>
      <c r="V462" s="88">
        <f t="shared" si="66"/>
        <v>0.28253748533584133</v>
      </c>
      <c r="W462" s="86">
        <f t="shared" si="71"/>
        <v>5.3474625146641594</v>
      </c>
      <c r="X462" s="90">
        <f t="shared" si="67"/>
        <v>0.85588958245504398</v>
      </c>
    </row>
    <row r="463" spans="13:24" x14ac:dyDescent="0.25">
      <c r="M463" s="91">
        <v>4.5999999999999996</v>
      </c>
      <c r="N463" s="89">
        <f t="shared" si="63"/>
        <v>9.4</v>
      </c>
      <c r="O463" s="89">
        <f t="shared" si="64"/>
        <v>4.0638920341433797</v>
      </c>
      <c r="P463" s="97">
        <f t="shared" si="65"/>
        <v>4.8638920341433804</v>
      </c>
      <c r="Q463" s="135">
        <f t="shared" si="68"/>
        <v>8.6319311139678961E-5</v>
      </c>
      <c r="R463" s="89">
        <f t="shared" si="68"/>
        <v>1.3680688860320951E-5</v>
      </c>
      <c r="S463" s="89">
        <f t="shared" si="69"/>
        <v>2.5118864315095791E-5</v>
      </c>
      <c r="T463" s="136">
        <f t="shared" si="69"/>
        <v>3.9810717055349621E-10</v>
      </c>
      <c r="U463" s="137">
        <f t="shared" si="70"/>
        <v>0.86319311139679034</v>
      </c>
      <c r="V463" s="88">
        <f t="shared" si="66"/>
        <v>0.2638920341433808</v>
      </c>
      <c r="W463" s="86">
        <f t="shared" si="71"/>
        <v>5.3361079658566206</v>
      </c>
      <c r="X463" s="90">
        <f t="shared" si="67"/>
        <v>0.85319311139679033</v>
      </c>
    </row>
    <row r="464" spans="13:24" x14ac:dyDescent="0.25">
      <c r="M464" s="91">
        <v>4.6100000000000003</v>
      </c>
      <c r="N464" s="89">
        <f t="shared" si="63"/>
        <v>9.39</v>
      </c>
      <c r="O464" s="89">
        <f t="shared" si="64"/>
        <v>4.0652737747042922</v>
      </c>
      <c r="P464" s="97">
        <f t="shared" si="65"/>
        <v>4.8552737747042922</v>
      </c>
      <c r="Q464" s="135">
        <f t="shared" si="68"/>
        <v>8.6045116175771172E-5</v>
      </c>
      <c r="R464" s="89">
        <f t="shared" si="68"/>
        <v>1.3954883824228768E-5</v>
      </c>
      <c r="S464" s="89">
        <f t="shared" si="69"/>
        <v>2.4547089156850252E-5</v>
      </c>
      <c r="T464" s="136">
        <f t="shared" si="69"/>
        <v>4.073802778041116E-10</v>
      </c>
      <c r="U464" s="137">
        <f t="shared" si="70"/>
        <v>0.8604511617577123</v>
      </c>
      <c r="V464" s="88">
        <f t="shared" si="66"/>
        <v>0.2452737747042919</v>
      </c>
      <c r="W464" s="86">
        <f t="shared" si="71"/>
        <v>5.3247262252957084</v>
      </c>
      <c r="X464" s="90">
        <f t="shared" si="67"/>
        <v>0.85045116175771229</v>
      </c>
    </row>
    <row r="465" spans="13:24" x14ac:dyDescent="0.25">
      <c r="M465" s="91">
        <v>4.62</v>
      </c>
      <c r="N465" s="89">
        <f t="shared" si="63"/>
        <v>9.379999999999999</v>
      </c>
      <c r="O465" s="89">
        <f t="shared" si="64"/>
        <v>4.0666831638879666</v>
      </c>
      <c r="P465" s="97">
        <f t="shared" si="65"/>
        <v>4.8466831638879668</v>
      </c>
      <c r="Q465" s="135">
        <f t="shared" si="68"/>
        <v>8.5766331855385652E-5</v>
      </c>
      <c r="R465" s="89">
        <f t="shared" si="68"/>
        <v>1.423366814461428E-5</v>
      </c>
      <c r="S465" s="89">
        <f t="shared" si="69"/>
        <v>2.3988329190194856E-5</v>
      </c>
      <c r="T465" s="136">
        <f t="shared" si="69"/>
        <v>4.1686938347033571E-10</v>
      </c>
      <c r="U465" s="137">
        <f t="shared" si="70"/>
        <v>0.85766331855385702</v>
      </c>
      <c r="V465" s="88">
        <f t="shared" si="66"/>
        <v>0.22668316388796672</v>
      </c>
      <c r="W465" s="86">
        <f t="shared" si="71"/>
        <v>5.3133168361120324</v>
      </c>
      <c r="X465" s="90">
        <f t="shared" si="67"/>
        <v>0.84766331855385701</v>
      </c>
    </row>
    <row r="466" spans="13:24" x14ac:dyDescent="0.25">
      <c r="M466" s="91">
        <v>4.63</v>
      </c>
      <c r="N466" s="89">
        <f t="shared" si="63"/>
        <v>9.370000000000001</v>
      </c>
      <c r="O466" s="89">
        <f t="shared" si="64"/>
        <v>4.0681206626605437</v>
      </c>
      <c r="P466" s="97">
        <f t="shared" si="65"/>
        <v>4.8381206626605442</v>
      </c>
      <c r="Q466" s="135">
        <f t="shared" si="68"/>
        <v>8.5482917753175843E-5</v>
      </c>
      <c r="R466" s="89">
        <f t="shared" si="68"/>
        <v>1.4517082246824026E-5</v>
      </c>
      <c r="S466" s="89">
        <f t="shared" si="69"/>
        <v>2.3442288153199218E-5</v>
      </c>
      <c r="T466" s="136">
        <f t="shared" si="69"/>
        <v>4.2657951880159145E-10</v>
      </c>
      <c r="U466" s="137">
        <f t="shared" si="70"/>
        <v>0.85482917753175958</v>
      </c>
      <c r="V466" s="88">
        <f t="shared" si="66"/>
        <v>0.2081206626605443</v>
      </c>
      <c r="W466" s="86">
        <f t="shared" si="71"/>
        <v>5.3018793373394573</v>
      </c>
      <c r="X466" s="90">
        <f t="shared" si="67"/>
        <v>0.84482917753175957</v>
      </c>
    </row>
    <row r="467" spans="13:24" x14ac:dyDescent="0.25">
      <c r="M467" s="91">
        <v>4.6399999999999997</v>
      </c>
      <c r="N467" s="89">
        <f t="shared" si="63"/>
        <v>9.36</v>
      </c>
      <c r="O467" s="89">
        <f t="shared" si="64"/>
        <v>4.0695867359742008</v>
      </c>
      <c r="P467" s="97">
        <f t="shared" si="65"/>
        <v>4.8295867359742015</v>
      </c>
      <c r="Q467" s="135">
        <f t="shared" si="68"/>
        <v>8.5194834585257346E-5</v>
      </c>
      <c r="R467" s="89">
        <f t="shared" si="68"/>
        <v>1.4805165414742567E-5</v>
      </c>
      <c r="S467" s="89">
        <f t="shared" si="69"/>
        <v>2.2908676527677729E-5</v>
      </c>
      <c r="T467" s="136">
        <f t="shared" si="69"/>
        <v>4.3651583224016624E-10</v>
      </c>
      <c r="U467" s="137">
        <f t="shared" si="70"/>
        <v>0.85194834585257428</v>
      </c>
      <c r="V467" s="88">
        <f t="shared" si="66"/>
        <v>0.18958673597420184</v>
      </c>
      <c r="W467" s="86">
        <f t="shared" si="71"/>
        <v>5.2904132640257986</v>
      </c>
      <c r="X467" s="90">
        <f t="shared" si="67"/>
        <v>0.84194834585257428</v>
      </c>
    </row>
    <row r="468" spans="13:24" x14ac:dyDescent="0.25">
      <c r="M468" s="91">
        <v>4.6500000000000004</v>
      </c>
      <c r="N468" s="89">
        <f t="shared" si="63"/>
        <v>9.35</v>
      </c>
      <c r="O468" s="89">
        <f t="shared" si="64"/>
        <v>4.0710818526495327</v>
      </c>
      <c r="P468" s="97">
        <f t="shared" si="65"/>
        <v>4.8210818526495327</v>
      </c>
      <c r="Q468" s="135">
        <f t="shared" si="68"/>
        <v>8.4902044278867487E-5</v>
      </c>
      <c r="R468" s="89">
        <f t="shared" si="68"/>
        <v>1.5097955721132298E-5</v>
      </c>
      <c r="S468" s="89">
        <f t="shared" si="69"/>
        <v>2.2387211385683359E-5</v>
      </c>
      <c r="T468" s="136">
        <f t="shared" si="69"/>
        <v>4.4668359215096336E-10</v>
      </c>
      <c r="U468" s="137">
        <f t="shared" si="70"/>
        <v>0.84902044278867672</v>
      </c>
      <c r="V468" s="88">
        <f t="shared" si="66"/>
        <v>0.17108185264953235</v>
      </c>
      <c r="W468" s="86">
        <f t="shared" si="71"/>
        <v>5.2789181473504669</v>
      </c>
      <c r="X468" s="90">
        <f t="shared" si="67"/>
        <v>0.83902044278867671</v>
      </c>
    </row>
    <row r="469" spans="13:24" x14ac:dyDescent="0.25">
      <c r="M469" s="91">
        <v>4.66</v>
      </c>
      <c r="N469" s="89">
        <f t="shared" si="63"/>
        <v>9.34</v>
      </c>
      <c r="O469" s="89">
        <f t="shared" si="64"/>
        <v>4.0726064852509065</v>
      </c>
      <c r="P469" s="97">
        <f t="shared" si="65"/>
        <v>4.8126064852509076</v>
      </c>
      <c r="Q469" s="135">
        <f t="shared" si="68"/>
        <v>8.460451004320955E-5</v>
      </c>
      <c r="R469" s="89">
        <f t="shared" si="68"/>
        <v>1.5395489956790482E-5</v>
      </c>
      <c r="S469" s="89">
        <f t="shared" si="69"/>
        <v>2.1877616239495489E-5</v>
      </c>
      <c r="T469" s="136">
        <f t="shared" si="69"/>
        <v>4.5708818961487362E-10</v>
      </c>
      <c r="U469" s="137">
        <f t="shared" si="70"/>
        <v>0.84604510043209524</v>
      </c>
      <c r="V469" s="88">
        <f t="shared" si="66"/>
        <v>0.15260648525090748</v>
      </c>
      <c r="W469" s="86">
        <f t="shared" si="71"/>
        <v>5.2673935147490933</v>
      </c>
      <c r="X469" s="90">
        <f t="shared" si="67"/>
        <v>0.83604510043209523</v>
      </c>
    </row>
    <row r="470" spans="13:24" x14ac:dyDescent="0.25">
      <c r="M470" s="91">
        <v>4.67</v>
      </c>
      <c r="N470" s="89">
        <f t="shared" si="63"/>
        <v>9.33</v>
      </c>
      <c r="O470" s="89">
        <f t="shared" si="64"/>
        <v>4.0741611099546802</v>
      </c>
      <c r="P470" s="97">
        <f t="shared" si="65"/>
        <v>4.8041611099546815</v>
      </c>
      <c r="Q470" s="135">
        <f t="shared" si="68"/>
        <v>8.4302196441403651E-5</v>
      </c>
      <c r="R470" s="89">
        <f t="shared" si="68"/>
        <v>1.569780355859633E-5</v>
      </c>
      <c r="S470" s="89">
        <f t="shared" si="69"/>
        <v>2.1379620895022286E-5</v>
      </c>
      <c r="T470" s="136">
        <f t="shared" si="69"/>
        <v>4.6773514128719668E-10</v>
      </c>
      <c r="U470" s="137">
        <f t="shared" si="70"/>
        <v>0.84302196441403665</v>
      </c>
      <c r="V470" s="88">
        <f t="shared" si="66"/>
        <v>0.13416110995468156</v>
      </c>
      <c r="W470" s="86">
        <f t="shared" si="71"/>
        <v>5.2558388900453199</v>
      </c>
      <c r="X470" s="90">
        <f t="shared" si="67"/>
        <v>0.83302196441403664</v>
      </c>
    </row>
    <row r="471" spans="13:24" x14ac:dyDescent="0.25">
      <c r="M471" s="91">
        <v>4.68</v>
      </c>
      <c r="N471" s="89">
        <f t="shared" si="63"/>
        <v>9.32</v>
      </c>
      <c r="O471" s="89">
        <f t="shared" si="64"/>
        <v>4.0757462064101642</v>
      </c>
      <c r="P471" s="97">
        <f t="shared" si="65"/>
        <v>4.7957462064101648</v>
      </c>
      <c r="Q471" s="135">
        <f t="shared" si="68"/>
        <v>8.3995069463475294E-5</v>
      </c>
      <c r="R471" s="89">
        <f t="shared" si="68"/>
        <v>1.600493053652464E-5</v>
      </c>
      <c r="S471" s="89">
        <f t="shared" si="69"/>
        <v>2.0892961308540399E-5</v>
      </c>
      <c r="T471" s="136">
        <f t="shared" si="69"/>
        <v>4.7863009232263674E-10</v>
      </c>
      <c r="U471" s="137">
        <f t="shared" si="70"/>
        <v>0.83995069463475347</v>
      </c>
      <c r="V471" s="88">
        <f t="shared" si="66"/>
        <v>0.11574620641016509</v>
      </c>
      <c r="W471" s="86">
        <f t="shared" si="71"/>
        <v>5.2442537935898361</v>
      </c>
      <c r="X471" s="90">
        <f t="shared" si="67"/>
        <v>0.82995069463475346</v>
      </c>
    </row>
    <row r="472" spans="13:24" x14ac:dyDescent="0.25">
      <c r="M472" s="91">
        <v>4.6900000000000004</v>
      </c>
      <c r="N472" s="89">
        <f t="shared" si="63"/>
        <v>9.3099999999999987</v>
      </c>
      <c r="O472" s="89">
        <f t="shared" si="64"/>
        <v>4.0773622575932444</v>
      </c>
      <c r="P472" s="97">
        <f t="shared" si="65"/>
        <v>4.7873622575932444</v>
      </c>
      <c r="Q472" s="135">
        <f t="shared" si="68"/>
        <v>8.3683096600289527E-5</v>
      </c>
      <c r="R472" s="89">
        <f t="shared" si="68"/>
        <v>1.6316903399710532E-5</v>
      </c>
      <c r="S472" s="89">
        <f t="shared" si="69"/>
        <v>2.0417379446695267E-5</v>
      </c>
      <c r="T472" s="136">
        <f t="shared" si="69"/>
        <v>4.8977881936844621E-10</v>
      </c>
      <c r="U472" s="137">
        <f t="shared" si="70"/>
        <v>0.83683096600289475</v>
      </c>
      <c r="V472" s="88">
        <f t="shared" si="66"/>
        <v>9.7362257593244017E-2</v>
      </c>
      <c r="W472" s="86">
        <f t="shared" si="71"/>
        <v>5.2326377424067543</v>
      </c>
      <c r="X472" s="90">
        <f t="shared" si="67"/>
        <v>0.82683096600289474</v>
      </c>
    </row>
    <row r="473" spans="13:24" x14ac:dyDescent="0.25">
      <c r="M473" s="91">
        <v>4.7</v>
      </c>
      <c r="N473" s="89">
        <f t="shared" si="63"/>
        <v>9.3000000000000007</v>
      </c>
      <c r="O473" s="89">
        <f t="shared" si="64"/>
        <v>4.0790097496525668</v>
      </c>
      <c r="P473" s="97">
        <f t="shared" si="65"/>
        <v>4.779009749652567</v>
      </c>
      <c r="Q473" s="135">
        <f t="shared" si="68"/>
        <v>8.3366246918343642E-5</v>
      </c>
      <c r="R473" s="89">
        <f t="shared" si="68"/>
        <v>1.6633753081656149E-5</v>
      </c>
      <c r="S473" s="89">
        <f t="shared" si="69"/>
        <v>1.9952623149688769E-5</v>
      </c>
      <c r="T473" s="136">
        <f t="shared" si="69"/>
        <v>5.011872336272705E-10</v>
      </c>
      <c r="U473" s="137">
        <f t="shared" si="70"/>
        <v>0.83366246918343823</v>
      </c>
      <c r="V473" s="88">
        <f t="shared" si="66"/>
        <v>7.9009749652566796E-2</v>
      </c>
      <c r="W473" s="86">
        <f t="shared" si="71"/>
        <v>5.2209902503474339</v>
      </c>
      <c r="X473" s="90">
        <f t="shared" si="67"/>
        <v>0.82366246918343822</v>
      </c>
    </row>
    <row r="474" spans="13:24" x14ac:dyDescent="0.25">
      <c r="M474" s="91">
        <v>4.71</v>
      </c>
      <c r="N474" s="89">
        <f t="shared" si="63"/>
        <v>9.2899999999999991</v>
      </c>
      <c r="O474" s="89">
        <f t="shared" si="64"/>
        <v>4.0806891717481975</v>
      </c>
      <c r="P474" s="97">
        <f t="shared" si="65"/>
        <v>4.7706891717481978</v>
      </c>
      <c r="Q474" s="135">
        <f t="shared" si="68"/>
        <v>8.3044491135323654E-5</v>
      </c>
      <c r="R474" s="89">
        <f t="shared" si="68"/>
        <v>1.695550886467626E-5</v>
      </c>
      <c r="S474" s="89">
        <f t="shared" si="69"/>
        <v>1.9498445997580432E-5</v>
      </c>
      <c r="T474" s="136">
        <f t="shared" si="69"/>
        <v>5.128613839913648E-10</v>
      </c>
      <c r="U474" s="137">
        <f t="shared" si="70"/>
        <v>0.83044491135323728</v>
      </c>
      <c r="V474" s="88">
        <f t="shared" si="66"/>
        <v>6.0689171748197879E-2</v>
      </c>
      <c r="W474" s="86">
        <f t="shared" si="71"/>
        <v>5.2093108282518017</v>
      </c>
      <c r="X474" s="90">
        <f t="shared" si="67"/>
        <v>0.82044491135323727</v>
      </c>
    </row>
    <row r="475" spans="13:24" x14ac:dyDescent="0.25">
      <c r="M475" s="91">
        <v>4.72</v>
      </c>
      <c r="N475" s="89">
        <f t="shared" si="63"/>
        <v>9.2800000000000011</v>
      </c>
      <c r="O475" s="89">
        <f t="shared" si="64"/>
        <v>4.0824010158827058</v>
      </c>
      <c r="P475" s="97">
        <f t="shared" si="65"/>
        <v>4.7624010158827064</v>
      </c>
      <c r="Q475" s="135">
        <f t="shared" si="68"/>
        <v>8.2717801696313855E-5</v>
      </c>
      <c r="R475" s="89">
        <f t="shared" si="68"/>
        <v>1.7282198303686014E-5</v>
      </c>
      <c r="S475" s="89">
        <f t="shared" si="69"/>
        <v>1.9054607179632454E-5</v>
      </c>
      <c r="T475" s="136">
        <f t="shared" si="69"/>
        <v>5.2480746024977063E-10</v>
      </c>
      <c r="U475" s="137">
        <f t="shared" si="70"/>
        <v>0.82717801696313964</v>
      </c>
      <c r="V475" s="88">
        <f t="shared" si="66"/>
        <v>4.2401015882706616E-2</v>
      </c>
      <c r="W475" s="86">
        <f t="shared" si="71"/>
        <v>5.1975989841172954</v>
      </c>
      <c r="X475" s="90">
        <f t="shared" si="67"/>
        <v>0.81717801696313963</v>
      </c>
    </row>
    <row r="476" spans="13:24" x14ac:dyDescent="0.25">
      <c r="M476" s="91">
        <v>4.7300000000000004</v>
      </c>
      <c r="N476" s="89">
        <f t="shared" si="63"/>
        <v>9.27</v>
      </c>
      <c r="O476" s="89">
        <f t="shared" si="64"/>
        <v>4.0841457767245837</v>
      </c>
      <c r="P476" s="97">
        <f t="shared" si="65"/>
        <v>4.7541457767245836</v>
      </c>
      <c r="Q476" s="135">
        <f t="shared" si="68"/>
        <v>8.2386152850557156E-5</v>
      </c>
      <c r="R476" s="89">
        <f t="shared" si="68"/>
        <v>1.7613847149442734E-5</v>
      </c>
      <c r="S476" s="89">
        <f t="shared" si="69"/>
        <v>1.8620871366628623E-5</v>
      </c>
      <c r="T476" s="136">
        <f t="shared" si="69"/>
        <v>5.3703179637025259E-10</v>
      </c>
      <c r="U476" s="137">
        <f t="shared" si="70"/>
        <v>0.82386152850557248</v>
      </c>
      <c r="V476" s="88">
        <f t="shared" si="66"/>
        <v>2.4145776724583179E-2</v>
      </c>
      <c r="W476" s="86">
        <f t="shared" si="71"/>
        <v>5.1858542232754159</v>
      </c>
      <c r="X476" s="90">
        <f t="shared" si="67"/>
        <v>0.81386152850557247</v>
      </c>
    </row>
    <row r="477" spans="13:24" x14ac:dyDescent="0.25">
      <c r="M477" s="91">
        <v>4.74</v>
      </c>
      <c r="N477" s="89">
        <f t="shared" si="63"/>
        <v>9.26</v>
      </c>
      <c r="O477" s="89">
        <f t="shared" si="64"/>
        <v>4.0859239514239762</v>
      </c>
      <c r="P477" s="97">
        <f t="shared" si="65"/>
        <v>4.7459239514239764</v>
      </c>
      <c r="Q477" s="135">
        <f t="shared" si="68"/>
        <v>8.2049520728642267E-5</v>
      </c>
      <c r="R477" s="89">
        <f t="shared" si="68"/>
        <v>1.795047927135767E-5</v>
      </c>
      <c r="S477" s="89">
        <f t="shared" si="69"/>
        <v>1.8197008586099817E-5</v>
      </c>
      <c r="T477" s="136">
        <f t="shared" si="69"/>
        <v>5.495408738576243E-10</v>
      </c>
      <c r="U477" s="137">
        <f t="shared" si="70"/>
        <v>0.82049520728642322</v>
      </c>
      <c r="V477" s="88">
        <f t="shared" si="66"/>
        <v>5.9239514239761704E-3</v>
      </c>
      <c r="W477" s="86">
        <f t="shared" si="71"/>
        <v>5.1740760485760235</v>
      </c>
      <c r="X477" s="90">
        <f t="shared" si="67"/>
        <v>0.81049520728642321</v>
      </c>
    </row>
    <row r="478" spans="13:24" x14ac:dyDescent="0.25">
      <c r="M478" s="91">
        <v>4.75</v>
      </c>
      <c r="N478" s="89">
        <f t="shared" si="63"/>
        <v>9.25</v>
      </c>
      <c r="O478" s="89">
        <f t="shared" si="64"/>
        <v>4.0877360394206752</v>
      </c>
      <c r="P478" s="97">
        <f t="shared" si="65"/>
        <v>4.7377360394206756</v>
      </c>
      <c r="Q478" s="135">
        <f t="shared" si="68"/>
        <v>8.1707883419997375E-5</v>
      </c>
      <c r="R478" s="89">
        <f t="shared" si="68"/>
        <v>1.8292116580002552E-5</v>
      </c>
      <c r="S478" s="89">
        <f t="shared" si="69"/>
        <v>1.7782794100389215E-5</v>
      </c>
      <c r="T478" s="136">
        <f t="shared" si="69"/>
        <v>5.6234132519034889E-10</v>
      </c>
      <c r="U478" s="137">
        <f t="shared" si="70"/>
        <v>0.8170788341999744</v>
      </c>
      <c r="V478" s="88">
        <f t="shared" si="66"/>
        <v>1.226396057932444E-2</v>
      </c>
      <c r="W478" s="86">
        <f t="shared" si="71"/>
        <v>5.1622639605793248</v>
      </c>
      <c r="X478" s="90">
        <f t="shared" si="67"/>
        <v>0.80707883419997439</v>
      </c>
    </row>
    <row r="479" spans="13:24" x14ac:dyDescent="0.25">
      <c r="M479" s="91">
        <v>4.76</v>
      </c>
      <c r="N479" s="89">
        <f t="shared" si="63"/>
        <v>9.24</v>
      </c>
      <c r="O479" s="89">
        <f t="shared" si="64"/>
        <v>4.0895825422443526</v>
      </c>
      <c r="P479" s="97">
        <f t="shared" si="65"/>
        <v>4.7295825422443531</v>
      </c>
      <c r="Q479" s="135">
        <f t="shared" si="68"/>
        <v>8.1361221050558509E-5</v>
      </c>
      <c r="R479" s="89">
        <f t="shared" si="68"/>
        <v>1.8638778949441272E-5</v>
      </c>
      <c r="S479" s="89">
        <f t="shared" si="69"/>
        <v>1.7378008287493744E-5</v>
      </c>
      <c r="T479" s="136">
        <f t="shared" si="69"/>
        <v>5.7543993733715462E-10</v>
      </c>
      <c r="U479" s="137">
        <f t="shared" si="70"/>
        <v>0.81361221050558696</v>
      </c>
      <c r="V479" s="88">
        <f t="shared" si="66"/>
        <v>3.0417457755646637E-2</v>
      </c>
      <c r="W479" s="86">
        <f t="shared" si="71"/>
        <v>5.1504174577556476</v>
      </c>
      <c r="X479" s="90">
        <f t="shared" si="67"/>
        <v>0.80361221050558695</v>
      </c>
    </row>
    <row r="480" spans="13:24" x14ac:dyDescent="0.25">
      <c r="M480" s="91">
        <v>4.7699999999999996</v>
      </c>
      <c r="N480" s="89">
        <f t="shared" si="63"/>
        <v>9.23</v>
      </c>
      <c r="O480" s="89">
        <f t="shared" si="64"/>
        <v>4.0914639633070209</v>
      </c>
      <c r="P480" s="97">
        <f t="shared" si="65"/>
        <v>4.7214639633070217</v>
      </c>
      <c r="Q480" s="135">
        <f t="shared" si="68"/>
        <v>8.1009515860475535E-5</v>
      </c>
      <c r="R480" s="89">
        <f t="shared" si="68"/>
        <v>1.899048413952428E-5</v>
      </c>
      <c r="S480" s="89">
        <f t="shared" si="69"/>
        <v>1.6982436524617432E-5</v>
      </c>
      <c r="T480" s="136">
        <f t="shared" si="69"/>
        <v>5.8884365535558649E-10</v>
      </c>
      <c r="U480" s="137">
        <f t="shared" si="70"/>
        <v>0.81009515860475689</v>
      </c>
      <c r="V480" s="88">
        <f t="shared" si="66"/>
        <v>4.8536036692977902E-2</v>
      </c>
      <c r="W480" s="86">
        <f t="shared" si="71"/>
        <v>5.1385360366929795</v>
      </c>
      <c r="X480" s="90">
        <f t="shared" si="67"/>
        <v>0.80009515860475688</v>
      </c>
    </row>
    <row r="481" spans="13:24" x14ac:dyDescent="0.25">
      <c r="M481" s="91">
        <v>4.78</v>
      </c>
      <c r="N481" s="89">
        <f t="shared" si="63"/>
        <v>9.2199999999999989</v>
      </c>
      <c r="O481" s="89">
        <f t="shared" si="64"/>
        <v>4.0933808076877343</v>
      </c>
      <c r="P481" s="97">
        <f t="shared" si="65"/>
        <v>4.7133808076877344</v>
      </c>
      <c r="Q481" s="135">
        <f t="shared" si="68"/>
        <v>8.0652752281710761E-5</v>
      </c>
      <c r="R481" s="89">
        <f t="shared" si="68"/>
        <v>1.934724771828922E-5</v>
      </c>
      <c r="S481" s="89">
        <f t="shared" si="69"/>
        <v>1.6595869074375568E-5</v>
      </c>
      <c r="T481" s="136">
        <f t="shared" si="69"/>
        <v>6.0255958607435732E-10</v>
      </c>
      <c r="U481" s="137">
        <f t="shared" si="70"/>
        <v>0.80652752281710782</v>
      </c>
      <c r="V481" s="88">
        <f t="shared" si="66"/>
        <v>6.6619192312265874E-2</v>
      </c>
      <c r="W481" s="86">
        <f t="shared" si="71"/>
        <v>5.1266191923122646</v>
      </c>
      <c r="X481" s="90">
        <f t="shared" si="67"/>
        <v>0.79652752281710781</v>
      </c>
    </row>
    <row r="482" spans="13:24" x14ac:dyDescent="0.25">
      <c r="M482" s="91">
        <v>4.79</v>
      </c>
      <c r="N482" s="89">
        <f t="shared" si="63"/>
        <v>9.2100000000000009</v>
      </c>
      <c r="O482" s="89">
        <f t="shared" si="64"/>
        <v>4.0953335819095376</v>
      </c>
      <c r="P482" s="97">
        <f t="shared" si="65"/>
        <v>4.7053335819095379</v>
      </c>
      <c r="Q482" s="135">
        <f t="shared" si="68"/>
        <v>8.0290917015381482E-5</v>
      </c>
      <c r="R482" s="89">
        <f t="shared" si="68"/>
        <v>1.9709082984618357E-5</v>
      </c>
      <c r="S482" s="89">
        <f t="shared" si="69"/>
        <v>1.6218100973589292E-5</v>
      </c>
      <c r="T482" s="136">
        <f t="shared" si="69"/>
        <v>6.1659500186147947E-10</v>
      </c>
      <c r="U482" s="137">
        <f t="shared" si="70"/>
        <v>0.80290917015381613</v>
      </c>
      <c r="V482" s="88">
        <f t="shared" si="66"/>
        <v>8.4666418090462159E-2</v>
      </c>
      <c r="W482" s="86">
        <f t="shared" si="71"/>
        <v>5.1146664180904633</v>
      </c>
      <c r="X482" s="90">
        <f t="shared" si="67"/>
        <v>0.79290917015381612</v>
      </c>
    </row>
    <row r="483" spans="13:24" x14ac:dyDescent="0.25">
      <c r="M483" s="91">
        <v>4.8</v>
      </c>
      <c r="N483" s="89">
        <f t="shared" si="63"/>
        <v>9.1999999999999993</v>
      </c>
      <c r="O483" s="89">
        <f t="shared" si="64"/>
        <v>4.0973227937086953</v>
      </c>
      <c r="P483" s="97">
        <f t="shared" si="65"/>
        <v>4.6973227937086959</v>
      </c>
      <c r="Q483" s="135">
        <f t="shared" si="68"/>
        <v>7.9923999108689797E-5</v>
      </c>
      <c r="R483" s="89">
        <f t="shared" si="68"/>
        <v>2.007600089131014E-5</v>
      </c>
      <c r="S483" s="89">
        <f t="shared" si="69"/>
        <v>1.5848931924611131E-5</v>
      </c>
      <c r="T483" s="136">
        <f t="shared" si="69"/>
        <v>6.309573444801927E-10</v>
      </c>
      <c r="U483" s="137">
        <f t="shared" si="70"/>
        <v>0.79923999108689847</v>
      </c>
      <c r="V483" s="88">
        <f t="shared" si="66"/>
        <v>0.10267720629130395</v>
      </c>
      <c r="W483" s="86">
        <f t="shared" si="71"/>
        <v>5.1026772062913039</v>
      </c>
      <c r="X483" s="90">
        <f t="shared" si="67"/>
        <v>0.78923999108689846</v>
      </c>
    </row>
    <row r="484" spans="13:24" x14ac:dyDescent="0.25">
      <c r="M484" s="91">
        <v>4.8099999999999996</v>
      </c>
      <c r="N484" s="89">
        <f t="shared" si="63"/>
        <v>9.1900000000000013</v>
      </c>
      <c r="O484" s="89">
        <f t="shared" si="64"/>
        <v>4.0993489517962658</v>
      </c>
      <c r="P484" s="97">
        <f t="shared" si="65"/>
        <v>4.6893489517962665</v>
      </c>
      <c r="Q484" s="135">
        <f t="shared" si="68"/>
        <v>7.9551990031274163E-5</v>
      </c>
      <c r="R484" s="89">
        <f t="shared" si="68"/>
        <v>2.0448009968725747E-5</v>
      </c>
      <c r="S484" s="89">
        <f t="shared" si="69"/>
        <v>1.5488166189124811E-5</v>
      </c>
      <c r="T484" s="136">
        <f t="shared" si="69"/>
        <v>6.4565422903465258E-10</v>
      </c>
      <c r="U484" s="137">
        <f t="shared" si="70"/>
        <v>0.79551990031274233</v>
      </c>
      <c r="V484" s="88">
        <f t="shared" si="66"/>
        <v>0.12065104820373307</v>
      </c>
      <c r="W484" s="86">
        <f t="shared" si="71"/>
        <v>5.0906510482037355</v>
      </c>
      <c r="X484" s="90">
        <f t="shared" si="67"/>
        <v>0.78551990031274233</v>
      </c>
    </row>
    <row r="485" spans="13:24" x14ac:dyDescent="0.25">
      <c r="M485" s="91">
        <v>4.82</v>
      </c>
      <c r="N485" s="89">
        <f t="shared" si="63"/>
        <v>9.18</v>
      </c>
      <c r="O485" s="89">
        <f t="shared" si="64"/>
        <v>4.1014125656120672</v>
      </c>
      <c r="P485" s="97">
        <f t="shared" si="65"/>
        <v>4.6814125656120673</v>
      </c>
      <c r="Q485" s="135">
        <f t="shared" si="68"/>
        <v>7.9174883750818373E-5</v>
      </c>
      <c r="R485" s="89">
        <f t="shared" si="68"/>
        <v>2.082511624918154E-5</v>
      </c>
      <c r="S485" s="89">
        <f t="shared" si="69"/>
        <v>1.5135612484362051E-5</v>
      </c>
      <c r="T485" s="136">
        <f t="shared" si="69"/>
        <v>6.6069344800759527E-10</v>
      </c>
      <c r="U485" s="137">
        <f t="shared" si="70"/>
        <v>0.79174883750818448</v>
      </c>
      <c r="V485" s="88">
        <f t="shared" si="66"/>
        <v>0.13858743438793297</v>
      </c>
      <c r="W485" s="86">
        <f t="shared" si="71"/>
        <v>5.0785874343879325</v>
      </c>
      <c r="X485" s="90">
        <f t="shared" si="67"/>
        <v>0.78174883750818447</v>
      </c>
    </row>
    <row r="486" spans="13:24" x14ac:dyDescent="0.25">
      <c r="M486" s="91">
        <v>4.83</v>
      </c>
      <c r="N486" s="89">
        <f t="shared" si="63"/>
        <v>9.17</v>
      </c>
      <c r="O486" s="89">
        <f t="shared" si="64"/>
        <v>4.1035141450711299</v>
      </c>
      <c r="P486" s="97">
        <f t="shared" si="65"/>
        <v>4.6735141450711302</v>
      </c>
      <c r="Q486" s="135">
        <f t="shared" si="68"/>
        <v>7.8792676807740251E-5</v>
      </c>
      <c r="R486" s="89">
        <f t="shared" si="68"/>
        <v>2.1207323192259764E-5</v>
      </c>
      <c r="S486" s="89">
        <f t="shared" si="69"/>
        <v>1.4791083881682046E-5</v>
      </c>
      <c r="T486" s="136">
        <f t="shared" si="69"/>
        <v>6.7608297539198086E-10</v>
      </c>
      <c r="U486" s="137">
        <f t="shared" si="70"/>
        <v>0.78792676807740236</v>
      </c>
      <c r="V486" s="88">
        <f t="shared" si="66"/>
        <v>0.15648585492886991</v>
      </c>
      <c r="W486" s="86">
        <f t="shared" si="71"/>
        <v>5.06648585492887</v>
      </c>
      <c r="X486" s="90">
        <f t="shared" si="67"/>
        <v>0.77792676807740235</v>
      </c>
    </row>
    <row r="487" spans="13:24" x14ac:dyDescent="0.25">
      <c r="M487" s="91">
        <v>4.84</v>
      </c>
      <c r="N487" s="89">
        <f t="shared" si="63"/>
        <v>9.16</v>
      </c>
      <c r="O487" s="89">
        <f t="shared" si="64"/>
        <v>4.1056542003027365</v>
      </c>
      <c r="P487" s="97">
        <f t="shared" si="65"/>
        <v>4.665654200302737</v>
      </c>
      <c r="Q487" s="135">
        <f t="shared" si="68"/>
        <v>7.8405368388781332E-5</v>
      </c>
      <c r="R487" s="89">
        <f t="shared" si="68"/>
        <v>2.1594631611218446E-5</v>
      </c>
      <c r="S487" s="89">
        <f t="shared" si="69"/>
        <v>1.4454397707459275E-5</v>
      </c>
      <c r="T487" s="136">
        <f t="shared" si="69"/>
        <v>6.9183097091893558E-10</v>
      </c>
      <c r="U487" s="137">
        <f t="shared" si="70"/>
        <v>0.78405368388781504</v>
      </c>
      <c r="V487" s="88">
        <f t="shared" si="66"/>
        <v>0.17434579969726283</v>
      </c>
      <c r="W487" s="86">
        <f t="shared" si="71"/>
        <v>5.0543457996972636</v>
      </c>
      <c r="X487" s="90">
        <f t="shared" si="67"/>
        <v>0.77405368388781504</v>
      </c>
    </row>
    <row r="488" spans="13:24" x14ac:dyDescent="0.25">
      <c r="M488" s="91">
        <v>4.8499999999999996</v>
      </c>
      <c r="N488" s="89">
        <f t="shared" si="63"/>
        <v>9.15</v>
      </c>
      <c r="O488" s="89">
        <f t="shared" si="64"/>
        <v>4.1078332413821572</v>
      </c>
      <c r="P488" s="97">
        <f t="shared" si="65"/>
        <v>4.6578332413821579</v>
      </c>
      <c r="Q488" s="135">
        <f t="shared" si="68"/>
        <v>7.8012960399315804E-5</v>
      </c>
      <c r="R488" s="89">
        <f t="shared" si="68"/>
        <v>2.1987039600684102E-5</v>
      </c>
      <c r="S488" s="89">
        <f t="shared" si="69"/>
        <v>1.4125375446227545E-5</v>
      </c>
      <c r="T488" s="136">
        <f t="shared" si="69"/>
        <v>7.079457843841369E-10</v>
      </c>
      <c r="U488" s="137">
        <f t="shared" si="70"/>
        <v>0.78012960399315878</v>
      </c>
      <c r="V488" s="88">
        <f t="shared" si="66"/>
        <v>0.19216675861784172</v>
      </c>
      <c r="W488" s="86">
        <f t="shared" si="71"/>
        <v>5.0421667586178431</v>
      </c>
      <c r="X488" s="90">
        <f t="shared" si="67"/>
        <v>0.77012960399315877</v>
      </c>
    </row>
    <row r="489" spans="13:24" x14ac:dyDescent="0.25">
      <c r="M489" s="91">
        <v>4.8600000000000003</v>
      </c>
      <c r="N489" s="89">
        <f t="shared" si="63"/>
        <v>9.14</v>
      </c>
      <c r="O489" s="89">
        <f t="shared" si="64"/>
        <v>4.1100517780552384</v>
      </c>
      <c r="P489" s="97">
        <f t="shared" si="65"/>
        <v>4.6500517780552384</v>
      </c>
      <c r="Q489" s="135">
        <f t="shared" si="68"/>
        <v>7.761545753418302E-5</v>
      </c>
      <c r="R489" s="89">
        <f t="shared" si="68"/>
        <v>2.2384542465816906E-5</v>
      </c>
      <c r="S489" s="89">
        <f t="shared" si="69"/>
        <v>1.3803842646028827E-5</v>
      </c>
      <c r="T489" s="136">
        <f t="shared" si="69"/>
        <v>7.2443596007498633E-10</v>
      </c>
      <c r="U489" s="137">
        <f t="shared" si="70"/>
        <v>0.77615457534183074</v>
      </c>
      <c r="V489" s="88">
        <f t="shared" si="66"/>
        <v>0.20994822194476193</v>
      </c>
      <c r="W489" s="86">
        <f t="shared" si="71"/>
        <v>5.0299482219447622</v>
      </c>
      <c r="X489" s="90">
        <f t="shared" si="67"/>
        <v>0.76615457534183073</v>
      </c>
    </row>
    <row r="490" spans="13:24" x14ac:dyDescent="0.25">
      <c r="M490" s="91">
        <v>4.87</v>
      </c>
      <c r="N490" s="89">
        <f t="shared" si="63"/>
        <v>9.129999999999999</v>
      </c>
      <c r="O490" s="89">
        <f t="shared" si="64"/>
        <v>4.112310319455978</v>
      </c>
      <c r="P490" s="97">
        <f t="shared" si="65"/>
        <v>4.6423103194559783</v>
      </c>
      <c r="Q490" s="135">
        <f t="shared" si="68"/>
        <v>7.7212867346858335E-5</v>
      </c>
      <c r="R490" s="89">
        <f t="shared" si="68"/>
        <v>2.2787132653141595E-5</v>
      </c>
      <c r="S490" s="89">
        <f t="shared" si="69"/>
        <v>1.3489628825916516E-5</v>
      </c>
      <c r="T490" s="136">
        <f t="shared" si="69"/>
        <v>7.4131024130091898E-10</v>
      </c>
      <c r="U490" s="137">
        <f t="shared" si="70"/>
        <v>0.77212867346858383</v>
      </c>
      <c r="V490" s="88">
        <f t="shared" si="66"/>
        <v>0.22768968054402183</v>
      </c>
      <c r="W490" s="86">
        <f t="shared" si="71"/>
        <v>5.017689680544021</v>
      </c>
      <c r="X490" s="90">
        <f t="shared" si="67"/>
        <v>0.76212867346858382</v>
      </c>
    </row>
    <row r="491" spans="13:24" x14ac:dyDescent="0.25">
      <c r="M491" s="91">
        <v>4.88</v>
      </c>
      <c r="N491" s="89">
        <f t="shared" si="63"/>
        <v>9.120000000000001</v>
      </c>
      <c r="O491" s="89">
        <f t="shared" si="64"/>
        <v>4.1146093738172826</v>
      </c>
      <c r="P491" s="97">
        <f t="shared" si="65"/>
        <v>4.6346093738172831</v>
      </c>
      <c r="Q491" s="135">
        <f t="shared" si="68"/>
        <v>7.6805200316758387E-5</v>
      </c>
      <c r="R491" s="89">
        <f t="shared" si="68"/>
        <v>2.3194799683241587E-5</v>
      </c>
      <c r="S491" s="89">
        <f t="shared" si="69"/>
        <v>1.3182567385564052E-5</v>
      </c>
      <c r="T491" s="136">
        <f t="shared" si="69"/>
        <v>7.5857757502917976E-10</v>
      </c>
      <c r="U491" s="137">
        <f t="shared" si="70"/>
        <v>0.76805200316758404</v>
      </c>
      <c r="V491" s="88">
        <f t="shared" si="66"/>
        <v>0.24539062618271679</v>
      </c>
      <c r="W491" s="86">
        <f t="shared" si="71"/>
        <v>5.0053906261827183</v>
      </c>
      <c r="X491" s="90">
        <f t="shared" si="67"/>
        <v>0.75805200316758403</v>
      </c>
    </row>
    <row r="492" spans="13:24" x14ac:dyDescent="0.25">
      <c r="M492" s="91">
        <v>4.8899999999999997</v>
      </c>
      <c r="N492" s="89">
        <f t="shared" si="63"/>
        <v>9.11</v>
      </c>
      <c r="O492" s="89">
        <f t="shared" si="64"/>
        <v>4.1169494481750926</v>
      </c>
      <c r="P492" s="97">
        <f t="shared" si="65"/>
        <v>4.6269494481750932</v>
      </c>
      <c r="Q492" s="135">
        <f t="shared" si="68"/>
        <v>7.6392469914483867E-5</v>
      </c>
      <c r="R492" s="89">
        <f t="shared" si="68"/>
        <v>2.3607530085516086E-5</v>
      </c>
      <c r="S492" s="89">
        <f t="shared" si="69"/>
        <v>1.2882495516931347E-5</v>
      </c>
      <c r="T492" s="136">
        <f t="shared" si="69"/>
        <v>7.7624711662869035E-10</v>
      </c>
      <c r="U492" s="137">
        <f t="shared" si="70"/>
        <v>0.76392469914483907</v>
      </c>
      <c r="V492" s="88">
        <f t="shared" si="66"/>
        <v>0.26305055182490644</v>
      </c>
      <c r="W492" s="86">
        <f t="shared" si="71"/>
        <v>4.9930505518249069</v>
      </c>
      <c r="X492" s="90">
        <f t="shared" si="67"/>
        <v>0.75392469914483906</v>
      </c>
    </row>
    <row r="493" spans="13:24" x14ac:dyDescent="0.25">
      <c r="M493" s="91">
        <v>4.9000000000000004</v>
      </c>
      <c r="N493" s="89">
        <f t="shared" si="63"/>
        <v>9.1</v>
      </c>
      <c r="O493" s="89">
        <f t="shared" si="64"/>
        <v>4.119331048066095</v>
      </c>
      <c r="P493" s="97">
        <f t="shared" si="65"/>
        <v>4.619331048066095</v>
      </c>
      <c r="Q493" s="135">
        <f t="shared" si="68"/>
        <v>7.5974692664795707E-5</v>
      </c>
      <c r="R493" s="89">
        <f t="shared" si="68"/>
        <v>2.4025307335204179E-5</v>
      </c>
      <c r="S493" s="89">
        <f t="shared" si="69"/>
        <v>1.2589254117941658E-5</v>
      </c>
      <c r="T493" s="136">
        <f t="shared" si="69"/>
        <v>7.9432823472428E-10</v>
      </c>
      <c r="U493" s="137">
        <f t="shared" si="70"/>
        <v>0.75974692664795795</v>
      </c>
      <c r="V493" s="88">
        <f t="shared" si="66"/>
        <v>0.2806689519339054</v>
      </c>
      <c r="W493" s="86">
        <f t="shared" si="71"/>
        <v>4.9806689519339047</v>
      </c>
      <c r="X493" s="90">
        <f t="shared" si="67"/>
        <v>0.74974692664795795</v>
      </c>
    </row>
    <row r="494" spans="13:24" x14ac:dyDescent="0.25">
      <c r="M494" s="91">
        <v>4.91</v>
      </c>
      <c r="N494" s="89">
        <f t="shared" si="63"/>
        <v>9.09</v>
      </c>
      <c r="O494" s="89">
        <f t="shared" si="64"/>
        <v>4.1217546772192586</v>
      </c>
      <c r="P494" s="97">
        <f t="shared" si="65"/>
        <v>4.6117546772192588</v>
      </c>
      <c r="Q494" s="135">
        <f t="shared" si="68"/>
        <v>7.5551888207119693E-5</v>
      </c>
      <c r="R494" s="89">
        <f t="shared" si="68"/>
        <v>2.4448111792880302E-5</v>
      </c>
      <c r="S494" s="89">
        <f t="shared" si="69"/>
        <v>1.2302687708123802E-5</v>
      </c>
      <c r="T494" s="136">
        <f t="shared" si="69"/>
        <v>8.1283051616409768E-10</v>
      </c>
      <c r="U494" s="137">
        <f t="shared" si="70"/>
        <v>0.755518882071197</v>
      </c>
      <c r="V494" s="88">
        <f t="shared" si="66"/>
        <v>0.29824532278074134</v>
      </c>
      <c r="W494" s="86">
        <f t="shared" si="71"/>
        <v>4.9682453227807413</v>
      </c>
      <c r="X494" s="90">
        <f t="shared" si="67"/>
        <v>0.74551888207119699</v>
      </c>
    </row>
    <row r="495" spans="13:24" x14ac:dyDescent="0.25">
      <c r="M495" s="91">
        <v>4.92</v>
      </c>
      <c r="N495" s="89">
        <f t="shared" si="63"/>
        <v>9.08</v>
      </c>
      <c r="O495" s="89">
        <f t="shared" si="64"/>
        <v>4.1242208372414595</v>
      </c>
      <c r="P495" s="97">
        <f t="shared" si="65"/>
        <v>4.6042208372414599</v>
      </c>
      <c r="Q495" s="135">
        <f t="shared" si="68"/>
        <v>7.5124079353371063E-5</v>
      </c>
      <c r="R495" s="89">
        <f t="shared" si="68"/>
        <v>2.4875920646628863E-5</v>
      </c>
      <c r="S495" s="89">
        <f t="shared" si="69"/>
        <v>1.2022644346174118E-5</v>
      </c>
      <c r="T495" s="136">
        <f t="shared" si="69"/>
        <v>8.3176377110266926E-10</v>
      </c>
      <c r="U495" s="137">
        <f t="shared" si="70"/>
        <v>0.7512407935337112</v>
      </c>
      <c r="V495" s="88">
        <f t="shared" si="66"/>
        <v>0.31577916275854001</v>
      </c>
      <c r="W495" s="86">
        <f t="shared" si="71"/>
        <v>4.9557791627585406</v>
      </c>
      <c r="X495" s="90">
        <f t="shared" si="67"/>
        <v>0.7412407935337112</v>
      </c>
    </row>
    <row r="496" spans="13:24" x14ac:dyDescent="0.25">
      <c r="M496" s="91">
        <v>4.93</v>
      </c>
      <c r="N496" s="89">
        <f t="shared" si="63"/>
        <v>9.07</v>
      </c>
      <c r="O496" s="89">
        <f t="shared" si="64"/>
        <v>4.1267300272974525</v>
      </c>
      <c r="P496" s="97">
        <f t="shared" si="65"/>
        <v>4.5967300272974532</v>
      </c>
      <c r="Q496" s="135">
        <f t="shared" si="68"/>
        <v>7.4691292142894328E-5</v>
      </c>
      <c r="R496" s="89">
        <f t="shared" si="68"/>
        <v>2.5308707857105656E-5</v>
      </c>
      <c r="S496" s="89">
        <f t="shared" si="69"/>
        <v>1.1748975549395286E-5</v>
      </c>
      <c r="T496" s="136">
        <f t="shared" si="69"/>
        <v>8.5113803820237469E-10</v>
      </c>
      <c r="U496" s="137">
        <f t="shared" si="70"/>
        <v>0.74691292142894339</v>
      </c>
      <c r="V496" s="88">
        <f t="shared" si="66"/>
        <v>0.33326997270254655</v>
      </c>
      <c r="W496" s="86">
        <f t="shared" si="71"/>
        <v>4.9432699727025478</v>
      </c>
      <c r="X496" s="90">
        <f t="shared" si="67"/>
        <v>0.73691292142894338</v>
      </c>
    </row>
    <row r="497" spans="13:24" x14ac:dyDescent="0.25">
      <c r="M497" s="91">
        <v>4.9400000000000004</v>
      </c>
      <c r="N497" s="89">
        <f t="shared" si="63"/>
        <v>9.0599999999999987</v>
      </c>
      <c r="O497" s="89">
        <f t="shared" si="64"/>
        <v>4.1292827437845157</v>
      </c>
      <c r="P497" s="97">
        <f t="shared" si="65"/>
        <v>4.5892827437845156</v>
      </c>
      <c r="Q497" s="135">
        <f t="shared" si="68"/>
        <v>7.4253555894306968E-5</v>
      </c>
      <c r="R497" s="89">
        <f t="shared" si="68"/>
        <v>2.574644410569299E-5</v>
      </c>
      <c r="S497" s="89">
        <f t="shared" si="69"/>
        <v>1.1481536214968799E-5</v>
      </c>
      <c r="T497" s="136">
        <f t="shared" si="69"/>
        <v>8.709635899560818E-10</v>
      </c>
      <c r="U497" s="137">
        <f t="shared" si="70"/>
        <v>0.74253555894307</v>
      </c>
      <c r="V497" s="88">
        <f t="shared" si="66"/>
        <v>0.35071725621548477</v>
      </c>
      <c r="W497" s="86">
        <f t="shared" si="71"/>
        <v>4.9307172562154831</v>
      </c>
      <c r="X497" s="90">
        <f t="shared" si="67"/>
        <v>0.73253555894306999</v>
      </c>
    </row>
    <row r="498" spans="13:24" x14ac:dyDescent="0.25">
      <c r="M498" s="91">
        <v>4.95</v>
      </c>
      <c r="N498" s="89">
        <f t="shared" si="63"/>
        <v>9.0500000000000007</v>
      </c>
      <c r="O498" s="89">
        <f t="shared" si="64"/>
        <v>4.1318794800020617</v>
      </c>
      <c r="P498" s="97">
        <f t="shared" si="65"/>
        <v>4.5818794800020628</v>
      </c>
      <c r="Q498" s="135">
        <f t="shared" si="68"/>
        <v>7.381090325404182E-5</v>
      </c>
      <c r="R498" s="89">
        <f t="shared" si="68"/>
        <v>2.61890967459581E-5</v>
      </c>
      <c r="S498" s="89">
        <f t="shared" si="69"/>
        <v>1.1220184543019627E-5</v>
      </c>
      <c r="T498" s="136">
        <f t="shared" si="69"/>
        <v>8.9125093813374338E-10</v>
      </c>
      <c r="U498" s="137">
        <f t="shared" si="70"/>
        <v>0.73810903254041882</v>
      </c>
      <c r="V498" s="88">
        <f t="shared" si="66"/>
        <v>0.36812051999793738</v>
      </c>
      <c r="W498" s="86">
        <f t="shared" si="71"/>
        <v>4.918120519997939</v>
      </c>
      <c r="X498" s="90">
        <f t="shared" si="67"/>
        <v>0.72810903254041881</v>
      </c>
    </row>
    <row r="499" spans="13:24" x14ac:dyDescent="0.25">
      <c r="M499" s="91">
        <v>4.96</v>
      </c>
      <c r="N499" s="89">
        <f t="shared" si="63"/>
        <v>9.0399999999999991</v>
      </c>
      <c r="O499" s="89">
        <f t="shared" si="64"/>
        <v>4.1345207258165813</v>
      </c>
      <c r="P499" s="97">
        <f t="shared" si="65"/>
        <v>4.5745207258165816</v>
      </c>
      <c r="Q499" s="135">
        <f t="shared" si="68"/>
        <v>7.3363370241380694E-5</v>
      </c>
      <c r="R499" s="89">
        <f t="shared" si="68"/>
        <v>2.6636629758619216E-5</v>
      </c>
      <c r="S499" s="89">
        <f t="shared" si="69"/>
        <v>1.0964781961431843E-5</v>
      </c>
      <c r="T499" s="136">
        <f t="shared" si="69"/>
        <v>9.1201083935591081E-10</v>
      </c>
      <c r="U499" s="137">
        <f t="shared" si="70"/>
        <v>0.73363370241380765</v>
      </c>
      <c r="V499" s="88">
        <f t="shared" si="66"/>
        <v>0.38547927418341832</v>
      </c>
      <c r="W499" s="86">
        <f t="shared" si="71"/>
        <v>4.9054792741834179</v>
      </c>
      <c r="X499" s="90">
        <f t="shared" si="67"/>
        <v>0.72363370241380764</v>
      </c>
    </row>
    <row r="500" spans="13:24" x14ac:dyDescent="0.25">
      <c r="M500" s="91">
        <v>4.97</v>
      </c>
      <c r="N500" s="89">
        <f t="shared" si="63"/>
        <v>9.0300000000000011</v>
      </c>
      <c r="O500" s="89">
        <f t="shared" si="64"/>
        <v>4.1372069673222533</v>
      </c>
      <c r="P500" s="97">
        <f t="shared" si="65"/>
        <v>4.567206967322254</v>
      </c>
      <c r="Q500" s="135">
        <f t="shared" si="68"/>
        <v>7.2910996289775144E-5</v>
      </c>
      <c r="R500" s="89">
        <f t="shared" si="68"/>
        <v>2.7089003710224671E-5</v>
      </c>
      <c r="S500" s="89">
        <f t="shared" si="69"/>
        <v>1.071519305237606E-5</v>
      </c>
      <c r="T500" s="136">
        <f t="shared" si="69"/>
        <v>9.332543007969854E-10</v>
      </c>
      <c r="U500" s="137">
        <f t="shared" si="70"/>
        <v>0.72910996289775276</v>
      </c>
      <c r="V500" s="88">
        <f t="shared" si="66"/>
        <v>0.4027930326777458</v>
      </c>
      <c r="W500" s="86">
        <f t="shared" si="71"/>
        <v>4.8927930326777478</v>
      </c>
      <c r="X500" s="90">
        <f t="shared" si="67"/>
        <v>0.71910996289775275</v>
      </c>
    </row>
    <row r="501" spans="13:24" x14ac:dyDescent="0.25">
      <c r="M501" s="91">
        <v>4.9800000000000004</v>
      </c>
      <c r="N501" s="89">
        <f t="shared" si="63"/>
        <v>9.02</v>
      </c>
      <c r="O501" s="89">
        <f t="shared" si="64"/>
        <v>4.1399386864976293</v>
      </c>
      <c r="P501" s="97">
        <f t="shared" si="65"/>
        <v>4.5599386864976292</v>
      </c>
      <c r="Q501" s="135">
        <f t="shared" si="68"/>
        <v>7.2453824284253598E-5</v>
      </c>
      <c r="R501" s="89">
        <f t="shared" si="68"/>
        <v>2.7546175715746356E-5</v>
      </c>
      <c r="S501" s="89">
        <f t="shared" si="69"/>
        <v>1.0471285480508972E-5</v>
      </c>
      <c r="T501" s="136">
        <f t="shared" si="69"/>
        <v>9.5499258602143329E-10</v>
      </c>
      <c r="U501" s="137">
        <f t="shared" si="70"/>
        <v>0.72453824284253632</v>
      </c>
      <c r="V501" s="88">
        <f t="shared" si="66"/>
        <v>0.42006131350237119</v>
      </c>
      <c r="W501" s="86">
        <f t="shared" si="71"/>
        <v>4.8800613135023703</v>
      </c>
      <c r="X501" s="90">
        <f t="shared" si="67"/>
        <v>0.71453824284253631</v>
      </c>
    </row>
    <row r="502" spans="13:24" x14ac:dyDescent="0.25">
      <c r="M502" s="91">
        <v>4.99</v>
      </c>
      <c r="N502" s="89">
        <f t="shared" si="63"/>
        <v>9.01</v>
      </c>
      <c r="O502" s="89">
        <f t="shared" si="64"/>
        <v>4.1427163608587749</v>
      </c>
      <c r="P502" s="97">
        <f t="shared" si="65"/>
        <v>4.5527163608587751</v>
      </c>
      <c r="Q502" s="135">
        <f t="shared" si="68"/>
        <v>7.1991900594715105E-5</v>
      </c>
      <c r="R502" s="89">
        <f t="shared" si="68"/>
        <v>2.8008099405284738E-5</v>
      </c>
      <c r="S502" s="89">
        <f t="shared" si="69"/>
        <v>1.0232929922807521E-5</v>
      </c>
      <c r="T502" s="136">
        <f t="shared" si="69"/>
        <v>9.7723722095580808E-10</v>
      </c>
      <c r="U502" s="137">
        <f t="shared" si="70"/>
        <v>0.71991900594715219</v>
      </c>
      <c r="V502" s="88">
        <f t="shared" si="66"/>
        <v>0.43728363914122514</v>
      </c>
      <c r="W502" s="86">
        <f t="shared" si="71"/>
        <v>4.8672836391412249</v>
      </c>
      <c r="X502" s="90">
        <f t="shared" si="67"/>
        <v>0.70991900594715218</v>
      </c>
    </row>
    <row r="503" spans="13:24" x14ac:dyDescent="0.25">
      <c r="M503" s="91">
        <v>5</v>
      </c>
      <c r="N503" s="89">
        <f t="shared" si="63"/>
        <v>9</v>
      </c>
      <c r="O503" s="89">
        <f t="shared" si="64"/>
        <v>4.1455404631092936</v>
      </c>
      <c r="P503" s="97">
        <f t="shared" si="65"/>
        <v>4.5455404631092939</v>
      </c>
      <c r="Q503" s="135">
        <f t="shared" si="68"/>
        <v>7.152527510491986E-5</v>
      </c>
      <c r="R503" s="89">
        <f t="shared" si="68"/>
        <v>2.8474724895080101E-5</v>
      </c>
      <c r="S503" s="89">
        <f t="shared" si="69"/>
        <v>1.0000000000000001E-5</v>
      </c>
      <c r="T503" s="136">
        <f t="shared" si="69"/>
        <v>1.0000000000000001E-9</v>
      </c>
      <c r="U503" s="137">
        <f t="shared" si="70"/>
        <v>0.71525275104919883</v>
      </c>
      <c r="V503" s="88">
        <f t="shared" si="66"/>
        <v>0.45445953689070606</v>
      </c>
      <c r="W503" s="86">
        <f t="shared" si="71"/>
        <v>4.8544595368907064</v>
      </c>
      <c r="X503" s="90">
        <f t="shared" si="67"/>
        <v>0.70525275104919882</v>
      </c>
    </row>
    <row r="504" spans="13:24" x14ac:dyDescent="0.25">
      <c r="M504" s="91">
        <v>5.01</v>
      </c>
      <c r="N504" s="89">
        <f t="shared" si="63"/>
        <v>8.99</v>
      </c>
      <c r="O504" s="89">
        <f t="shared" si="64"/>
        <v>4.148411460787683</v>
      </c>
      <c r="P504" s="97">
        <f t="shared" si="65"/>
        <v>4.5384114607876835</v>
      </c>
      <c r="Q504" s="135">
        <f t="shared" si="68"/>
        <v>7.1054001236983648E-5</v>
      </c>
      <c r="R504" s="89">
        <f t="shared" si="68"/>
        <v>2.894599876301612E-5</v>
      </c>
      <c r="S504" s="89">
        <f t="shared" si="69"/>
        <v>9.7723722095581059E-6</v>
      </c>
      <c r="T504" s="136">
        <f t="shared" si="69"/>
        <v>1.0232929922807512E-9</v>
      </c>
      <c r="U504" s="137">
        <f t="shared" si="70"/>
        <v>0.7105400123698381</v>
      </c>
      <c r="V504" s="88">
        <f t="shared" si="66"/>
        <v>0.47158853921231625</v>
      </c>
      <c r="W504" s="86">
        <f t="shared" si="71"/>
        <v>4.8415885392123172</v>
      </c>
      <c r="X504" s="90">
        <f t="shared" si="67"/>
        <v>0.70054001236983809</v>
      </c>
    </row>
    <row r="505" spans="13:24" x14ac:dyDescent="0.25">
      <c r="M505" s="91">
        <v>5.0199999999999996</v>
      </c>
      <c r="N505" s="89">
        <f t="shared" si="63"/>
        <v>8.98</v>
      </c>
      <c r="O505" s="89">
        <f t="shared" si="64"/>
        <v>4.1513298159124625</v>
      </c>
      <c r="P505" s="97">
        <f t="shared" si="65"/>
        <v>4.5313298159124633</v>
      </c>
      <c r="Q505" s="135">
        <f t="shared" si="68"/>
        <v>7.0578135971200175E-5</v>
      </c>
      <c r="R505" s="89">
        <f t="shared" si="68"/>
        <v>2.9421864028799668E-5</v>
      </c>
      <c r="S505" s="89">
        <f t="shared" si="69"/>
        <v>9.5499258602143587E-6</v>
      </c>
      <c r="T505" s="136">
        <f t="shared" si="69"/>
        <v>1.0471285480508964E-9</v>
      </c>
      <c r="U505" s="137">
        <f t="shared" si="70"/>
        <v>0.70578135971200284</v>
      </c>
      <c r="V505" s="88">
        <f t="shared" si="66"/>
        <v>0.48867018408753626</v>
      </c>
      <c r="W505" s="86">
        <f t="shared" si="71"/>
        <v>4.8286701840875379</v>
      </c>
      <c r="X505" s="90">
        <f t="shared" si="67"/>
        <v>0.69578135971200283</v>
      </c>
    </row>
    <row r="506" spans="13:24" x14ac:dyDescent="0.25">
      <c r="M506" s="91">
        <v>5.03</v>
      </c>
      <c r="N506" s="89">
        <f t="shared" si="63"/>
        <v>8.9699999999999989</v>
      </c>
      <c r="O506" s="89">
        <f t="shared" si="64"/>
        <v>4.1542959846255716</v>
      </c>
      <c r="P506" s="97">
        <f t="shared" si="65"/>
        <v>4.5242959846255717</v>
      </c>
      <c r="Q506" s="135">
        <f t="shared" si="68"/>
        <v>7.0097739861010717E-5</v>
      </c>
      <c r="R506" s="89">
        <f t="shared" si="68"/>
        <v>2.9902260138989169E-5</v>
      </c>
      <c r="S506" s="89">
        <f t="shared" si="69"/>
        <v>9.3325430079698941E-6</v>
      </c>
      <c r="T506" s="136">
        <f t="shared" si="69"/>
        <v>1.071519305237607E-9</v>
      </c>
      <c r="U506" s="137">
        <f t="shared" si="70"/>
        <v>0.70097739861010799</v>
      </c>
      <c r="V506" s="88">
        <f t="shared" si="66"/>
        <v>0.50570401537442855</v>
      </c>
      <c r="W506" s="86">
        <f t="shared" si="71"/>
        <v>4.8157040153744273</v>
      </c>
      <c r="X506" s="90">
        <f t="shared" si="67"/>
        <v>0.69097739861010798</v>
      </c>
    </row>
    <row r="507" spans="13:24" x14ac:dyDescent="0.25">
      <c r="M507" s="91">
        <v>5.04</v>
      </c>
      <c r="N507" s="89">
        <f t="shared" si="63"/>
        <v>8.9600000000000009</v>
      </c>
      <c r="O507" s="89">
        <f t="shared" si="64"/>
        <v>4.1573104168345099</v>
      </c>
      <c r="P507" s="97">
        <f t="shared" si="65"/>
        <v>4.5173104168345102</v>
      </c>
      <c r="Q507" s="135">
        <f t="shared" si="68"/>
        <v>6.961287704295986E-5</v>
      </c>
      <c r="R507" s="89">
        <f t="shared" si="68"/>
        <v>3.0387122957039968E-5</v>
      </c>
      <c r="S507" s="89">
        <f t="shared" si="69"/>
        <v>9.1201083935590828E-6</v>
      </c>
      <c r="T507" s="136">
        <f t="shared" si="69"/>
        <v>1.0964781961431814E-9</v>
      </c>
      <c r="U507" s="137">
        <f t="shared" si="70"/>
        <v>0.69612877042959975</v>
      </c>
      <c r="V507" s="88">
        <f t="shared" si="66"/>
        <v>0.52268958316548986</v>
      </c>
      <c r="W507" s="86">
        <f t="shared" si="71"/>
        <v>4.802689583165491</v>
      </c>
      <c r="X507" s="90">
        <f t="shared" si="67"/>
        <v>0.68612877042959974</v>
      </c>
    </row>
    <row r="508" spans="13:24" x14ac:dyDescent="0.25">
      <c r="M508" s="91">
        <v>5.05</v>
      </c>
      <c r="N508" s="89">
        <f t="shared" si="63"/>
        <v>8.9499999999999993</v>
      </c>
      <c r="O508" s="89">
        <f t="shared" si="64"/>
        <v>4.1603735558537469</v>
      </c>
      <c r="P508" s="97">
        <f t="shared" si="65"/>
        <v>4.5103735558537474</v>
      </c>
      <c r="Q508" s="135">
        <f t="shared" si="68"/>
        <v>6.912361524147625E-5</v>
      </c>
      <c r="R508" s="89">
        <f t="shared" si="68"/>
        <v>3.0876384758523667E-5</v>
      </c>
      <c r="S508" s="89">
        <f t="shared" si="69"/>
        <v>8.9125093813374425E-6</v>
      </c>
      <c r="T508" s="136">
        <f t="shared" si="69"/>
        <v>1.1220184543019636E-9</v>
      </c>
      <c r="U508" s="137">
        <f t="shared" si="70"/>
        <v>0.69123615241476311</v>
      </c>
      <c r="V508" s="88">
        <f t="shared" si="66"/>
        <v>0.53962644414625238</v>
      </c>
      <c r="W508" s="86">
        <f t="shared" si="71"/>
        <v>4.7896264441462524</v>
      </c>
      <c r="X508" s="90">
        <f t="shared" si="67"/>
        <v>0.6812361524147631</v>
      </c>
    </row>
    <row r="509" spans="13:24" x14ac:dyDescent="0.25">
      <c r="M509" s="91">
        <v>5.0599999999999996</v>
      </c>
      <c r="N509" s="89">
        <f t="shared" si="63"/>
        <v>8.9400000000000013</v>
      </c>
      <c r="O509" s="89">
        <f t="shared" si="64"/>
        <v>4.1634858380459168</v>
      </c>
      <c r="P509" s="97">
        <f t="shared" si="65"/>
        <v>4.5034858380459175</v>
      </c>
      <c r="Q509" s="135">
        <f t="shared" si="68"/>
        <v>6.8630025768331166E-5</v>
      </c>
      <c r="R509" s="89">
        <f t="shared" si="68"/>
        <v>3.1369974231668649E-5</v>
      </c>
      <c r="S509" s="89">
        <f t="shared" si="69"/>
        <v>8.7096358995608107E-6</v>
      </c>
      <c r="T509" s="136">
        <f t="shared" si="69"/>
        <v>1.1481536214968789E-9</v>
      </c>
      <c r="U509" s="137">
        <f t="shared" si="70"/>
        <v>0.68630025768331293</v>
      </c>
      <c r="V509" s="88">
        <f t="shared" si="66"/>
        <v>0.5565141619540821</v>
      </c>
      <c r="W509" s="86">
        <f t="shared" si="71"/>
        <v>4.7765141619540845</v>
      </c>
      <c r="X509" s="90">
        <f t="shared" si="67"/>
        <v>0.67630025768331292</v>
      </c>
    </row>
    <row r="510" spans="13:24" x14ac:dyDescent="0.25">
      <c r="M510" s="91">
        <v>5.07</v>
      </c>
      <c r="N510" s="89">
        <f t="shared" si="63"/>
        <v>8.93</v>
      </c>
      <c r="O510" s="89">
        <f t="shared" si="64"/>
        <v>4.1666476924633331</v>
      </c>
      <c r="P510" s="97">
        <f t="shared" si="65"/>
        <v>4.4966476924633332</v>
      </c>
      <c r="Q510" s="135">
        <f t="shared" si="68"/>
        <v>6.8132183516639349E-5</v>
      </c>
      <c r="R510" s="89">
        <f t="shared" si="68"/>
        <v>3.1867816483360609E-5</v>
      </c>
      <c r="S510" s="89">
        <f t="shared" si="69"/>
        <v>8.5113803820237531E-6</v>
      </c>
      <c r="T510" s="136">
        <f t="shared" si="69"/>
        <v>1.1748975549395295E-9</v>
      </c>
      <c r="U510" s="137">
        <f t="shared" si="70"/>
        <v>0.68132183516639377</v>
      </c>
      <c r="V510" s="88">
        <f t="shared" si="66"/>
        <v>0.57335230753666711</v>
      </c>
      <c r="W510" s="86">
        <f t="shared" si="71"/>
        <v>4.7633523075366666</v>
      </c>
      <c r="X510" s="90">
        <f t="shared" si="67"/>
        <v>0.67132183516639377</v>
      </c>
    </row>
    <row r="511" spans="13:24" x14ac:dyDescent="0.25">
      <c r="M511" s="91">
        <v>5.08</v>
      </c>
      <c r="N511" s="89">
        <f t="shared" si="63"/>
        <v>8.92</v>
      </c>
      <c r="O511" s="89">
        <f t="shared" si="64"/>
        <v>4.1698595404903926</v>
      </c>
      <c r="P511" s="97">
        <f t="shared" si="65"/>
        <v>4.4898595404903929</v>
      </c>
      <c r="Q511" s="135">
        <f t="shared" si="68"/>
        <v>6.7630166949273607E-5</v>
      </c>
      <c r="R511" s="89">
        <f t="shared" si="68"/>
        <v>3.2369833050726255E-5</v>
      </c>
      <c r="S511" s="89">
        <f t="shared" si="69"/>
        <v>8.3176377110266992E-6</v>
      </c>
      <c r="T511" s="136">
        <f t="shared" si="69"/>
        <v>1.2022644346174128E-9</v>
      </c>
      <c r="U511" s="137">
        <f t="shared" si="70"/>
        <v>0.67630166949273707</v>
      </c>
      <c r="V511" s="88">
        <f t="shared" si="66"/>
        <v>0.59014045950960714</v>
      </c>
      <c r="W511" s="86">
        <f t="shared" si="71"/>
        <v>4.7501404595096073</v>
      </c>
      <c r="X511" s="90">
        <f t="shared" si="67"/>
        <v>0.66630166949273706</v>
      </c>
    </row>
    <row r="512" spans="13:24" x14ac:dyDescent="0.25">
      <c r="M512" s="91">
        <v>5.09</v>
      </c>
      <c r="N512" s="89">
        <f t="shared" si="63"/>
        <v>8.91</v>
      </c>
      <c r="O512" s="89">
        <f t="shared" si="64"/>
        <v>4.1731217954874111</v>
      </c>
      <c r="P512" s="97">
        <f t="shared" si="65"/>
        <v>4.4831217954874116</v>
      </c>
      <c r="Q512" s="135">
        <f t="shared" si="68"/>
        <v>6.7124058081583207E-5</v>
      </c>
      <c r="R512" s="89">
        <f t="shared" si="68"/>
        <v>3.2875941918416751E-5</v>
      </c>
      <c r="S512" s="89">
        <f t="shared" si="69"/>
        <v>8.128305161640983E-6</v>
      </c>
      <c r="T512" s="136">
        <f t="shared" si="69"/>
        <v>1.230268770812377E-9</v>
      </c>
      <c r="U512" s="137">
        <f t="shared" si="70"/>
        <v>0.67124058081583227</v>
      </c>
      <c r="V512" s="88">
        <f t="shared" si="66"/>
        <v>0.60687820451258823</v>
      </c>
      <c r="W512" s="86">
        <f t="shared" si="71"/>
        <v>4.736878204512589</v>
      </c>
      <c r="X512" s="90">
        <f t="shared" si="67"/>
        <v>0.66124058081583226</v>
      </c>
    </row>
    <row r="513" spans="13:24" x14ac:dyDescent="0.25">
      <c r="M513" s="91">
        <v>5.0999999999999996</v>
      </c>
      <c r="N513" s="89">
        <f t="shared" si="63"/>
        <v>8.9</v>
      </c>
      <c r="O513" s="89">
        <f t="shared" si="64"/>
        <v>4.1764348624364853</v>
      </c>
      <c r="P513" s="97">
        <f t="shared" si="65"/>
        <v>4.476434862436486</v>
      </c>
      <c r="Q513" s="135">
        <f t="shared" si="68"/>
        <v>6.6613942458312192E-5</v>
      </c>
      <c r="R513" s="89">
        <f t="shared" si="68"/>
        <v>3.3386057541687705E-5</v>
      </c>
      <c r="S513" s="89">
        <f t="shared" si="69"/>
        <v>7.9432823472428065E-6</v>
      </c>
      <c r="T513" s="136">
        <f t="shared" si="69"/>
        <v>1.2589254117941623E-9</v>
      </c>
      <c r="U513" s="137">
        <f t="shared" si="70"/>
        <v>0.66613942458312259</v>
      </c>
      <c r="V513" s="88">
        <f t="shared" si="66"/>
        <v>0.62356513756351362</v>
      </c>
      <c r="W513" s="86">
        <f t="shared" si="71"/>
        <v>4.723565137563515</v>
      </c>
      <c r="X513" s="90">
        <f t="shared" si="67"/>
        <v>0.65613942458312258</v>
      </c>
    </row>
    <row r="514" spans="13:24" x14ac:dyDescent="0.25">
      <c r="M514" s="91">
        <v>5.1100000000000003</v>
      </c>
      <c r="N514" s="89">
        <f t="shared" si="63"/>
        <v>8.89</v>
      </c>
      <c r="O514" s="89">
        <f t="shared" si="64"/>
        <v>4.1797991375899475</v>
      </c>
      <c r="P514" s="97">
        <f t="shared" si="65"/>
        <v>4.4697991375899475</v>
      </c>
      <c r="Q514" s="135">
        <f t="shared" si="68"/>
        <v>6.6099909124635753E-5</v>
      </c>
      <c r="R514" s="89">
        <f t="shared" si="68"/>
        <v>3.3900090875364116E-5</v>
      </c>
      <c r="S514" s="89">
        <f t="shared" si="69"/>
        <v>7.7624711662868956E-6</v>
      </c>
      <c r="T514" s="136">
        <f t="shared" si="69"/>
        <v>1.2882495516931289E-9</v>
      </c>
      <c r="U514" s="137">
        <f t="shared" si="70"/>
        <v>0.66099909124635836</v>
      </c>
      <c r="V514" s="88">
        <f t="shared" si="66"/>
        <v>0.64020086241005281</v>
      </c>
      <c r="W514" s="86">
        <f t="shared" si="71"/>
        <v>4.7102008624100531</v>
      </c>
      <c r="X514" s="90">
        <f t="shared" si="67"/>
        <v>0.65099909124635835</v>
      </c>
    </row>
    <row r="515" spans="13:24" x14ac:dyDescent="0.25">
      <c r="M515" s="91">
        <v>5.12</v>
      </c>
      <c r="N515" s="89">
        <f t="shared" ref="N515:N578" si="72">14-M515</f>
        <v>8.879999999999999</v>
      </c>
      <c r="O515" s="89">
        <f t="shared" ref="O515:O578" si="73">-LOG(10^-$B$3/(1+10^(M515-$A$3)))</f>
        <v>4.183215008122021</v>
      </c>
      <c r="P515" s="97">
        <f t="shared" ref="P515:P578" si="74">-LOG(10^-$B$3/(1+10^($A$3-M515)))</f>
        <v>4.4632150081220212</v>
      </c>
      <c r="Q515" s="135">
        <f t="shared" si="68"/>
        <v>6.5582050591239541E-5</v>
      </c>
      <c r="R515" s="89">
        <f t="shared" si="68"/>
        <v>3.4417949408760491E-5</v>
      </c>
      <c r="S515" s="89">
        <f t="shared" si="69"/>
        <v>7.5857757502918323E-6</v>
      </c>
      <c r="T515" s="136">
        <f t="shared" si="69"/>
        <v>1.3182567385564066E-9</v>
      </c>
      <c r="U515" s="137">
        <f t="shared" si="70"/>
        <v>0.65582050591239516</v>
      </c>
      <c r="V515" s="88">
        <f t="shared" ref="V515:V578" si="75">ABS(P515-M515)</f>
        <v>0.6567849918779789</v>
      </c>
      <c r="W515" s="86">
        <f t="shared" si="71"/>
        <v>4.696784991877978</v>
      </c>
      <c r="X515" s="90">
        <f t="shared" ref="X515:X578" si="76">ABS($J$2-U515)</f>
        <v>0.64582050591239515</v>
      </c>
    </row>
    <row r="516" spans="13:24" x14ac:dyDescent="0.25">
      <c r="M516" s="91">
        <v>5.13</v>
      </c>
      <c r="N516" s="89">
        <f t="shared" si="72"/>
        <v>8.870000000000001</v>
      </c>
      <c r="O516" s="89">
        <f t="shared" si="73"/>
        <v>4.1866828517842682</v>
      </c>
      <c r="P516" s="97">
        <f t="shared" si="74"/>
        <v>4.4566828517842687</v>
      </c>
      <c r="Q516" s="135">
        <f t="shared" ref="Q516:R579" si="77">10^-O516</f>
        <v>6.5060462793387248E-5</v>
      </c>
      <c r="R516" s="89">
        <f t="shared" si="77"/>
        <v>3.4939537206612641E-5</v>
      </c>
      <c r="S516" s="89">
        <f t="shared" ref="S516:T579" si="78">10^-M516</f>
        <v>7.4131024130091704E-6</v>
      </c>
      <c r="T516" s="136">
        <f t="shared" si="78"/>
        <v>1.3489628825916481E-9</v>
      </c>
      <c r="U516" s="137">
        <f t="shared" ref="U516:U579" si="79">Q516/(Q516+R516)</f>
        <v>0.65060462793387319</v>
      </c>
      <c r="V516" s="88">
        <f t="shared" si="75"/>
        <v>0.67331714821573119</v>
      </c>
      <c r="W516" s="86">
        <f t="shared" ref="W516:W579" si="80">ABS(O516-N516)</f>
        <v>4.6833171482157328</v>
      </c>
      <c r="X516" s="90">
        <f t="shared" si="76"/>
        <v>0.64060462793387318</v>
      </c>
    </row>
    <row r="517" spans="13:24" x14ac:dyDescent="0.25">
      <c r="M517" s="91">
        <v>5.14</v>
      </c>
      <c r="N517" s="89">
        <f t="shared" si="72"/>
        <v>8.86</v>
      </c>
      <c r="O517" s="89">
        <f t="shared" si="73"/>
        <v>4.1902030365654248</v>
      </c>
      <c r="P517" s="97">
        <f t="shared" si="74"/>
        <v>4.4502030365654255</v>
      </c>
      <c r="Q517" s="135">
        <f t="shared" si="77"/>
        <v>6.4535245043938243E-5</v>
      </c>
      <c r="R517" s="89">
        <f t="shared" si="77"/>
        <v>3.5464754956061721E-5</v>
      </c>
      <c r="S517" s="89">
        <f t="shared" si="78"/>
        <v>7.2443596007498957E-6</v>
      </c>
      <c r="T517" s="136">
        <f t="shared" si="78"/>
        <v>1.380384264602884E-9</v>
      </c>
      <c r="U517" s="137">
        <f t="shared" si="79"/>
        <v>0.64535245043938272</v>
      </c>
      <c r="V517" s="88">
        <f t="shared" si="75"/>
        <v>0.6897969634345742</v>
      </c>
      <c r="W517" s="86">
        <f t="shared" si="80"/>
        <v>4.6697969634345746</v>
      </c>
      <c r="X517" s="90">
        <f t="shared" si="76"/>
        <v>0.63535245043938271</v>
      </c>
    </row>
    <row r="518" spans="13:24" x14ac:dyDescent="0.25">
      <c r="M518" s="91">
        <v>5.15</v>
      </c>
      <c r="N518" s="89">
        <f t="shared" si="72"/>
        <v>8.85</v>
      </c>
      <c r="O518" s="89">
        <f t="shared" si="73"/>
        <v>4.1937759203562495</v>
      </c>
      <c r="P518" s="97">
        <f t="shared" si="74"/>
        <v>4.4437759203562495</v>
      </c>
      <c r="Q518" s="135">
        <f t="shared" si="77"/>
        <v>6.4006499980288504E-5</v>
      </c>
      <c r="R518" s="89">
        <f t="shared" si="77"/>
        <v>3.5993500019711453E-5</v>
      </c>
      <c r="S518" s="89">
        <f t="shared" si="78"/>
        <v>7.0794578438413623E-6</v>
      </c>
      <c r="T518" s="136">
        <f t="shared" si="78"/>
        <v>1.4125375446227532E-9</v>
      </c>
      <c r="U518" s="137">
        <f t="shared" si="79"/>
        <v>0.64006499980288523</v>
      </c>
      <c r="V518" s="88">
        <f t="shared" si="75"/>
        <v>0.70622407964375089</v>
      </c>
      <c r="W518" s="86">
        <f t="shared" si="80"/>
        <v>4.6562240796437502</v>
      </c>
      <c r="X518" s="90">
        <f t="shared" si="76"/>
        <v>0.63006499980288522</v>
      </c>
    </row>
    <row r="519" spans="13:24" x14ac:dyDescent="0.25">
      <c r="M519" s="91">
        <v>5.16</v>
      </c>
      <c r="N519" s="89">
        <f t="shared" si="72"/>
        <v>8.84</v>
      </c>
      <c r="O519" s="89">
        <f t="shared" si="73"/>
        <v>4.1974018506199711</v>
      </c>
      <c r="P519" s="97">
        <f t="shared" si="74"/>
        <v>4.4374018506199713</v>
      </c>
      <c r="Q519" s="135">
        <f t="shared" si="77"/>
        <v>6.3474333505231565E-5</v>
      </c>
      <c r="R519" s="89">
        <f t="shared" si="77"/>
        <v>3.652566649476827E-5</v>
      </c>
      <c r="S519" s="89">
        <f t="shared" si="78"/>
        <v>6.9183097091893498E-6</v>
      </c>
      <c r="T519" s="136">
        <f t="shared" si="78"/>
        <v>1.4454397707459262E-9</v>
      </c>
      <c r="U519" s="137">
        <f t="shared" si="79"/>
        <v>0.63474333505231673</v>
      </c>
      <c r="V519" s="88">
        <f t="shared" si="75"/>
        <v>0.72259814938002886</v>
      </c>
      <c r="W519" s="86">
        <f t="shared" si="80"/>
        <v>4.6425981493800288</v>
      </c>
      <c r="X519" s="90">
        <f t="shared" si="76"/>
        <v>0.62474333505231672</v>
      </c>
    </row>
    <row r="520" spans="13:24" x14ac:dyDescent="0.25">
      <c r="M520" s="91">
        <v>5.17</v>
      </c>
      <c r="N520" s="89">
        <f t="shared" si="72"/>
        <v>8.83</v>
      </c>
      <c r="O520" s="89">
        <f t="shared" si="73"/>
        <v>4.2010811640689614</v>
      </c>
      <c r="P520" s="97">
        <f t="shared" si="74"/>
        <v>4.4310811640689618</v>
      </c>
      <c r="Q520" s="135">
        <f t="shared" si="77"/>
        <v>6.293885472175019E-5</v>
      </c>
      <c r="R520" s="89">
        <f t="shared" si="77"/>
        <v>3.7061145278249699E-5</v>
      </c>
      <c r="S520" s="89">
        <f t="shared" si="78"/>
        <v>6.7608297539198155E-6</v>
      </c>
      <c r="T520" s="136">
        <f t="shared" si="78"/>
        <v>1.479108388168206E-9</v>
      </c>
      <c r="U520" s="137">
        <f t="shared" si="79"/>
        <v>0.62938854721750259</v>
      </c>
      <c r="V520" s="88">
        <f t="shared" si="75"/>
        <v>0.73891883593103813</v>
      </c>
      <c r="W520" s="86">
        <f t="shared" si="80"/>
        <v>4.6289188359310387</v>
      </c>
      <c r="X520" s="90">
        <f t="shared" si="76"/>
        <v>0.61938854721750258</v>
      </c>
    </row>
    <row r="521" spans="13:24" x14ac:dyDescent="0.25">
      <c r="M521" s="91">
        <v>5.18</v>
      </c>
      <c r="N521" s="89">
        <f t="shared" si="72"/>
        <v>8.82</v>
      </c>
      <c r="O521" s="89">
        <f t="shared" si="73"/>
        <v>4.2048141863482291</v>
      </c>
      <c r="P521" s="97">
        <f t="shared" si="74"/>
        <v>4.4248141863482298</v>
      </c>
      <c r="Q521" s="135">
        <f t="shared" si="77"/>
        <v>6.2400175861766731E-5</v>
      </c>
      <c r="R521" s="89">
        <f t="shared" si="77"/>
        <v>3.7599824138233234E-5</v>
      </c>
      <c r="S521" s="89">
        <f t="shared" si="78"/>
        <v>6.6069344800759593E-6</v>
      </c>
      <c r="T521" s="136">
        <f t="shared" si="78"/>
        <v>1.5135612484362064E-9</v>
      </c>
      <c r="U521" s="137">
        <f t="shared" si="79"/>
        <v>0.62400175861766749</v>
      </c>
      <c r="V521" s="88">
        <f t="shared" si="75"/>
        <v>0.75518581365176995</v>
      </c>
      <c r="W521" s="86">
        <f t="shared" si="80"/>
        <v>4.6151858136517712</v>
      </c>
      <c r="X521" s="90">
        <f t="shared" si="76"/>
        <v>0.61400175861766748</v>
      </c>
    </row>
    <row r="522" spans="13:24" x14ac:dyDescent="0.25">
      <c r="M522" s="91">
        <v>5.19</v>
      </c>
      <c r="N522" s="89">
        <f t="shared" si="72"/>
        <v>8.8099999999999987</v>
      </c>
      <c r="O522" s="89">
        <f t="shared" si="73"/>
        <v>4.2086012317263366</v>
      </c>
      <c r="P522" s="97">
        <f t="shared" si="74"/>
        <v>4.4186012317263366</v>
      </c>
      <c r="Q522" s="135">
        <f t="shared" si="77"/>
        <v>6.1858412208902987E-5</v>
      </c>
      <c r="R522" s="89">
        <f t="shared" si="77"/>
        <v>3.8141587791096882E-5</v>
      </c>
      <c r="S522" s="89">
        <f t="shared" si="78"/>
        <v>6.456542290346543E-6</v>
      </c>
      <c r="T522" s="136">
        <f t="shared" si="78"/>
        <v>1.5488166189124852E-9</v>
      </c>
      <c r="U522" s="137">
        <f t="shared" si="79"/>
        <v>0.61858412208903069</v>
      </c>
      <c r="V522" s="88">
        <f t="shared" si="75"/>
        <v>0.77139876827366383</v>
      </c>
      <c r="W522" s="86">
        <f t="shared" si="80"/>
        <v>4.6013987682736621</v>
      </c>
      <c r="X522" s="90">
        <f t="shared" si="76"/>
        <v>0.60858412208903068</v>
      </c>
    </row>
    <row r="523" spans="13:24" x14ac:dyDescent="0.25">
      <c r="M523" s="91">
        <v>5.2</v>
      </c>
      <c r="N523" s="89">
        <f t="shared" si="72"/>
        <v>8.8000000000000007</v>
      </c>
      <c r="O523" s="89">
        <f t="shared" si="73"/>
        <v>4.2124426027943391</v>
      </c>
      <c r="P523" s="97">
        <f t="shared" si="74"/>
        <v>4.4124426027943402</v>
      </c>
      <c r="Q523" s="135">
        <f t="shared" si="77"/>
        <v>6.1313682015314328E-5</v>
      </c>
      <c r="R523" s="89">
        <f t="shared" si="77"/>
        <v>3.8686317984685582E-5</v>
      </c>
      <c r="S523" s="89">
        <f t="shared" si="78"/>
        <v>6.3095734448019212E-6</v>
      </c>
      <c r="T523" s="136">
        <f t="shared" si="78"/>
        <v>1.584893192461106E-9</v>
      </c>
      <c r="U523" s="137">
        <f t="shared" si="79"/>
        <v>0.61313682015314386</v>
      </c>
      <c r="V523" s="88">
        <f t="shared" si="75"/>
        <v>0.78755739720565998</v>
      </c>
      <c r="W523" s="86">
        <f t="shared" si="80"/>
        <v>4.5875573972056616</v>
      </c>
      <c r="X523" s="90">
        <f t="shared" si="76"/>
        <v>0.60313682015314385</v>
      </c>
    </row>
    <row r="524" spans="13:24" x14ac:dyDescent="0.25">
      <c r="M524" s="91">
        <v>5.21</v>
      </c>
      <c r="N524" s="89">
        <f t="shared" si="72"/>
        <v>8.7899999999999991</v>
      </c>
      <c r="O524" s="89">
        <f t="shared" si="73"/>
        <v>4.2163385901733363</v>
      </c>
      <c r="P524" s="97">
        <f t="shared" si="74"/>
        <v>4.4063385901733367</v>
      </c>
      <c r="Q524" s="135">
        <f t="shared" si="77"/>
        <v>6.0766106412682018E-5</v>
      </c>
      <c r="R524" s="89">
        <f t="shared" si="77"/>
        <v>3.923389358731798E-5</v>
      </c>
      <c r="S524" s="89">
        <f t="shared" si="78"/>
        <v>6.1659500186148109E-6</v>
      </c>
      <c r="T524" s="136">
        <f t="shared" si="78"/>
        <v>1.6218100973589279E-9</v>
      </c>
      <c r="U524" s="137">
        <f t="shared" si="79"/>
        <v>0.60766106412682019</v>
      </c>
      <c r="V524" s="88">
        <f t="shared" si="75"/>
        <v>0.80366140982666323</v>
      </c>
      <c r="W524" s="86">
        <f t="shared" si="80"/>
        <v>4.5736614098266628</v>
      </c>
      <c r="X524" s="90">
        <f t="shared" si="76"/>
        <v>0.59766106412682019</v>
      </c>
    </row>
    <row r="525" spans="13:24" x14ac:dyDescent="0.25">
      <c r="M525" s="91">
        <v>5.22</v>
      </c>
      <c r="N525" s="89">
        <f t="shared" si="72"/>
        <v>8.7800000000000011</v>
      </c>
      <c r="O525" s="89">
        <f t="shared" si="73"/>
        <v>4.2202894722312054</v>
      </c>
      <c r="P525" s="97">
        <f t="shared" si="74"/>
        <v>4.400289472231206</v>
      </c>
      <c r="Q525" s="135">
        <f t="shared" si="77"/>
        <v>6.0215809317471735E-5</v>
      </c>
      <c r="R525" s="89">
        <f t="shared" si="77"/>
        <v>3.9784190682528256E-5</v>
      </c>
      <c r="S525" s="89">
        <f t="shared" si="78"/>
        <v>6.0255958607435782E-6</v>
      </c>
      <c r="T525" s="136">
        <f t="shared" si="78"/>
        <v>1.6595869074375524E-9</v>
      </c>
      <c r="U525" s="137">
        <f t="shared" si="79"/>
        <v>0.60215809317471736</v>
      </c>
      <c r="V525" s="88">
        <f t="shared" si="75"/>
        <v>0.81971052776879372</v>
      </c>
      <c r="W525" s="86">
        <f t="shared" si="80"/>
        <v>4.5597105277687957</v>
      </c>
      <c r="X525" s="90">
        <f t="shared" si="76"/>
        <v>0.59215809317471735</v>
      </c>
    </row>
    <row r="526" spans="13:24" x14ac:dyDescent="0.25">
      <c r="M526" s="91">
        <v>5.23</v>
      </c>
      <c r="N526" s="89">
        <f t="shared" si="72"/>
        <v>8.77</v>
      </c>
      <c r="O526" s="89">
        <f t="shared" si="73"/>
        <v>4.2242955148090982</v>
      </c>
      <c r="P526" s="97">
        <f t="shared" si="74"/>
        <v>4.3942955148090981</v>
      </c>
      <c r="Q526" s="135">
        <f t="shared" si="77"/>
        <v>5.9662917330577255E-5</v>
      </c>
      <c r="R526" s="89">
        <f t="shared" si="77"/>
        <v>4.0337082669422567E-5</v>
      </c>
      <c r="S526" s="89">
        <f t="shared" si="78"/>
        <v>5.8884365535558799E-6</v>
      </c>
      <c r="T526" s="136">
        <f t="shared" si="78"/>
        <v>1.6982436524617417E-9</v>
      </c>
      <c r="U526" s="137">
        <f t="shared" si="79"/>
        <v>0.59662917330577359</v>
      </c>
      <c r="V526" s="88">
        <f t="shared" si="75"/>
        <v>0.83570448519090235</v>
      </c>
      <c r="W526" s="86">
        <f t="shared" si="80"/>
        <v>4.5457044851909014</v>
      </c>
      <c r="X526" s="90">
        <f t="shared" si="76"/>
        <v>0.58662917330577358</v>
      </c>
    </row>
    <row r="527" spans="13:24" x14ac:dyDescent="0.25">
      <c r="M527" s="91">
        <v>5.24</v>
      </c>
      <c r="N527" s="89">
        <f t="shared" si="72"/>
        <v>8.76</v>
      </c>
      <c r="O527" s="89">
        <f t="shared" si="73"/>
        <v>4.2283569709582389</v>
      </c>
      <c r="P527" s="97">
        <f t="shared" si="74"/>
        <v>4.3883569709582391</v>
      </c>
      <c r="Q527" s="135">
        <f t="shared" si="77"/>
        <v>5.9107559631494312E-5</v>
      </c>
      <c r="R527" s="89">
        <f t="shared" si="77"/>
        <v>4.0892440368505639E-5</v>
      </c>
      <c r="S527" s="89">
        <f t="shared" si="78"/>
        <v>5.7543993733715608E-6</v>
      </c>
      <c r="T527" s="136">
        <f t="shared" si="78"/>
        <v>1.7378008287493727E-9</v>
      </c>
      <c r="U527" s="137">
        <f t="shared" si="79"/>
        <v>0.59107559631494344</v>
      </c>
      <c r="V527" s="88">
        <f t="shared" si="75"/>
        <v>0.85164302904176115</v>
      </c>
      <c r="W527" s="86">
        <f t="shared" si="80"/>
        <v>4.5316430290417609</v>
      </c>
      <c r="X527" s="90">
        <f t="shared" si="76"/>
        <v>0.58107559631494343</v>
      </c>
    </row>
    <row r="528" spans="13:24" x14ac:dyDescent="0.25">
      <c r="M528" s="91">
        <v>5.25</v>
      </c>
      <c r="N528" s="89">
        <f t="shared" si="72"/>
        <v>8.75</v>
      </c>
      <c r="O528" s="89">
        <f t="shared" si="73"/>
        <v>4.2324740806875862</v>
      </c>
      <c r="P528" s="97">
        <f t="shared" si="74"/>
        <v>4.3824740806875866</v>
      </c>
      <c r="Q528" s="135">
        <f t="shared" si="77"/>
        <v>5.8549867867180883E-5</v>
      </c>
      <c r="R528" s="89">
        <f t="shared" si="77"/>
        <v>4.1450132132818987E-5</v>
      </c>
      <c r="S528" s="89">
        <f t="shared" si="78"/>
        <v>5.6234132519034836E-6</v>
      </c>
      <c r="T528" s="136">
        <f t="shared" si="78"/>
        <v>1.7782794100389197E-9</v>
      </c>
      <c r="U528" s="137">
        <f t="shared" si="79"/>
        <v>0.5854986786718096</v>
      </c>
      <c r="V528" s="88">
        <f t="shared" si="75"/>
        <v>0.86752591931241341</v>
      </c>
      <c r="W528" s="86">
        <f t="shared" si="80"/>
        <v>4.5175259193124138</v>
      </c>
      <c r="X528" s="90">
        <f t="shared" si="76"/>
        <v>0.57549867867180959</v>
      </c>
    </row>
    <row r="529" spans="13:24" x14ac:dyDescent="0.25">
      <c r="M529" s="91">
        <v>5.26</v>
      </c>
      <c r="N529" s="89">
        <f t="shared" si="72"/>
        <v>8.74</v>
      </c>
      <c r="O529" s="89">
        <f t="shared" si="73"/>
        <v>4.2366470707228503</v>
      </c>
      <c r="P529" s="97">
        <f t="shared" si="74"/>
        <v>4.3766470707228509</v>
      </c>
      <c r="Q529" s="135">
        <f t="shared" si="77"/>
        <v>5.7989976035788151E-5</v>
      </c>
      <c r="R529" s="89">
        <f t="shared" si="77"/>
        <v>4.2010023964211765E-5</v>
      </c>
      <c r="S529" s="89">
        <f t="shared" si="78"/>
        <v>5.4954087385762383E-6</v>
      </c>
      <c r="T529" s="136">
        <f t="shared" si="78"/>
        <v>1.8197008586099804E-9</v>
      </c>
      <c r="U529" s="137">
        <f t="shared" si="79"/>
        <v>0.57989976035788204</v>
      </c>
      <c r="V529" s="88">
        <f t="shared" si="75"/>
        <v>0.88335292927714892</v>
      </c>
      <c r="W529" s="86">
        <f t="shared" si="80"/>
        <v>4.5033529292771499</v>
      </c>
      <c r="X529" s="90">
        <f t="shared" si="76"/>
        <v>0.56989976035788203</v>
      </c>
    </row>
    <row r="530" spans="13:24" x14ac:dyDescent="0.25">
      <c r="M530" s="91">
        <v>5.27</v>
      </c>
      <c r="N530" s="89">
        <f t="shared" si="72"/>
        <v>8.73</v>
      </c>
      <c r="O530" s="89">
        <f t="shared" si="73"/>
        <v>4.2408761542773981</v>
      </c>
      <c r="P530" s="97">
        <f t="shared" si="74"/>
        <v>4.3708761542773988</v>
      </c>
      <c r="Q530" s="135">
        <f t="shared" si="77"/>
        <v>5.7428020365452502E-5</v>
      </c>
      <c r="R530" s="89">
        <f t="shared" si="77"/>
        <v>4.2571979634547503E-5</v>
      </c>
      <c r="S530" s="89">
        <f t="shared" si="78"/>
        <v>5.3703179637025301E-6</v>
      </c>
      <c r="T530" s="136">
        <f t="shared" si="78"/>
        <v>1.8620871366628641E-9</v>
      </c>
      <c r="U530" s="137">
        <f t="shared" si="79"/>
        <v>0.57428020365452503</v>
      </c>
      <c r="V530" s="88">
        <f t="shared" si="75"/>
        <v>0.89912384572260073</v>
      </c>
      <c r="W530" s="86">
        <f t="shared" si="80"/>
        <v>4.4891238457226024</v>
      </c>
      <c r="X530" s="90">
        <f t="shared" si="76"/>
        <v>0.56428020365452503</v>
      </c>
    </row>
    <row r="531" spans="13:24" x14ac:dyDescent="0.25">
      <c r="M531" s="91">
        <v>5.28</v>
      </c>
      <c r="N531" s="89">
        <f t="shared" si="72"/>
        <v>8.7199999999999989</v>
      </c>
      <c r="O531" s="89">
        <f t="shared" si="73"/>
        <v>4.245161530835512</v>
      </c>
      <c r="P531" s="97">
        <f t="shared" si="74"/>
        <v>4.3651615308355121</v>
      </c>
      <c r="Q531" s="135">
        <f t="shared" si="77"/>
        <v>5.68641391883667E-5</v>
      </c>
      <c r="R531" s="89">
        <f t="shared" si="77"/>
        <v>4.3135860811633155E-5</v>
      </c>
      <c r="S531" s="89">
        <f t="shared" si="78"/>
        <v>5.2480746024977206E-6</v>
      </c>
      <c r="T531" s="136">
        <f t="shared" si="78"/>
        <v>1.9054607179632502E-9</v>
      </c>
      <c r="U531" s="137">
        <f t="shared" si="79"/>
        <v>0.5686413918836678</v>
      </c>
      <c r="V531" s="88">
        <f t="shared" si="75"/>
        <v>0.91483846916448819</v>
      </c>
      <c r="W531" s="86">
        <f t="shared" si="80"/>
        <v>4.4748384691644869</v>
      </c>
      <c r="X531" s="90">
        <f t="shared" si="76"/>
        <v>0.55864139188366779</v>
      </c>
    </row>
    <row r="532" spans="13:24" x14ac:dyDescent="0.25">
      <c r="M532" s="91">
        <v>5.29</v>
      </c>
      <c r="N532" s="89">
        <f t="shared" si="72"/>
        <v>8.7100000000000009</v>
      </c>
      <c r="O532" s="89">
        <f t="shared" si="73"/>
        <v>4.2495033859484668</v>
      </c>
      <c r="P532" s="97">
        <f t="shared" si="74"/>
        <v>4.3595033859484671</v>
      </c>
      <c r="Q532" s="135">
        <f t="shared" si="77"/>
        <v>5.6298472810359443E-5</v>
      </c>
      <c r="R532" s="89">
        <f t="shared" si="77"/>
        <v>4.3701527189640291E-5</v>
      </c>
      <c r="S532" s="89">
        <f t="shared" si="78"/>
        <v>5.1286138399136439E-6</v>
      </c>
      <c r="T532" s="136">
        <f t="shared" si="78"/>
        <v>1.9498445997580341E-9</v>
      </c>
      <c r="U532" s="137">
        <f t="shared" si="79"/>
        <v>0.5629847281035959</v>
      </c>
      <c r="V532" s="88">
        <f t="shared" si="75"/>
        <v>0.93049661405153294</v>
      </c>
      <c r="W532" s="86">
        <f t="shared" si="80"/>
        <v>4.4604966140515341</v>
      </c>
      <c r="X532" s="90">
        <f t="shared" si="76"/>
        <v>0.55298472810359589</v>
      </c>
    </row>
    <row r="533" spans="13:24" x14ac:dyDescent="0.25">
      <c r="M533" s="91">
        <v>5.3</v>
      </c>
      <c r="N533" s="89">
        <f t="shared" si="72"/>
        <v>8.6999999999999993</v>
      </c>
      <c r="O533" s="89">
        <f t="shared" si="73"/>
        <v>4.2539018910438671</v>
      </c>
      <c r="P533" s="97">
        <f t="shared" si="74"/>
        <v>4.3539018910438676</v>
      </c>
      <c r="Q533" s="135">
        <f t="shared" si="77"/>
        <v>5.5731163376229258E-5</v>
      </c>
      <c r="R533" s="89">
        <f t="shared" si="77"/>
        <v>4.4268836623770672E-5</v>
      </c>
      <c r="S533" s="89">
        <f t="shared" si="78"/>
        <v>5.011872336272719E-6</v>
      </c>
      <c r="T533" s="136">
        <f t="shared" si="78"/>
        <v>1.9952623149688824E-9</v>
      </c>
      <c r="U533" s="137">
        <f t="shared" si="79"/>
        <v>0.55731163376229298</v>
      </c>
      <c r="V533" s="88">
        <f t="shared" si="75"/>
        <v>0.94609810895613222</v>
      </c>
      <c r="W533" s="86">
        <f t="shared" si="80"/>
        <v>4.4460981089561322</v>
      </c>
      <c r="X533" s="90">
        <f t="shared" si="76"/>
        <v>0.54731163376229297</v>
      </c>
    </row>
    <row r="534" spans="13:24" x14ac:dyDescent="0.25">
      <c r="M534" s="91">
        <v>5.31</v>
      </c>
      <c r="N534" s="89">
        <f t="shared" si="72"/>
        <v>8.6900000000000013</v>
      </c>
      <c r="O534" s="89">
        <f t="shared" si="73"/>
        <v>4.2583572032486519</v>
      </c>
      <c r="P534" s="97">
        <f t="shared" si="74"/>
        <v>4.3483572032486526</v>
      </c>
      <c r="Q534" s="135">
        <f t="shared" si="77"/>
        <v>5.5162354731096024E-5</v>
      </c>
      <c r="R534" s="89">
        <f t="shared" si="77"/>
        <v>4.4837645268903879E-5</v>
      </c>
      <c r="S534" s="89">
        <f t="shared" si="78"/>
        <v>4.8977881936844583E-6</v>
      </c>
      <c r="T534" s="136">
        <f t="shared" si="78"/>
        <v>2.0417379446695176E-9</v>
      </c>
      <c r="U534" s="137">
        <f t="shared" si="79"/>
        <v>0.55162354731096075</v>
      </c>
      <c r="V534" s="88">
        <f t="shared" si="75"/>
        <v>0.96164279675134701</v>
      </c>
      <c r="W534" s="86">
        <f t="shared" si="80"/>
        <v>4.4316427967513494</v>
      </c>
      <c r="X534" s="90">
        <f t="shared" si="76"/>
        <v>0.54162354731096074</v>
      </c>
    </row>
    <row r="535" spans="13:24" x14ac:dyDescent="0.25">
      <c r="M535" s="91">
        <v>5.32</v>
      </c>
      <c r="N535" s="89">
        <f t="shared" si="72"/>
        <v>8.68</v>
      </c>
      <c r="O535" s="89">
        <f t="shared" si="73"/>
        <v>4.2628694652261476</v>
      </c>
      <c r="P535" s="97">
        <f t="shared" si="74"/>
        <v>4.3428694652261477</v>
      </c>
      <c r="Q535" s="135">
        <f t="shared" si="77"/>
        <v>5.4592192278048371E-5</v>
      </c>
      <c r="R535" s="89">
        <f t="shared" si="77"/>
        <v>4.5407807721951587E-5</v>
      </c>
      <c r="S535" s="89">
        <f t="shared" si="78"/>
        <v>4.7863009232263716E-6</v>
      </c>
      <c r="T535" s="136">
        <f t="shared" si="78"/>
        <v>2.0892961308540348E-9</v>
      </c>
      <c r="U535" s="137">
        <f t="shared" si="79"/>
        <v>0.5459219227804839</v>
      </c>
      <c r="V535" s="88">
        <f t="shared" si="75"/>
        <v>0.97713053477385259</v>
      </c>
      <c r="W535" s="86">
        <f t="shared" si="80"/>
        <v>4.4171305347738521</v>
      </c>
      <c r="X535" s="90">
        <f t="shared" si="76"/>
        <v>0.53592192278048389</v>
      </c>
    </row>
    <row r="536" spans="13:24" x14ac:dyDescent="0.25">
      <c r="M536" s="91">
        <v>5.33</v>
      </c>
      <c r="N536" s="89">
        <f t="shared" si="72"/>
        <v>8.67</v>
      </c>
      <c r="O536" s="89">
        <f t="shared" si="73"/>
        <v>4.2674388050275338</v>
      </c>
      <c r="P536" s="97">
        <f t="shared" si="74"/>
        <v>4.3374388050275341</v>
      </c>
      <c r="Q536" s="135">
        <f t="shared" si="77"/>
        <v>5.402082283237453E-5</v>
      </c>
      <c r="R536" s="89">
        <f t="shared" si="77"/>
        <v>4.5979177167625353E-5</v>
      </c>
      <c r="S536" s="89">
        <f t="shared" si="78"/>
        <v>4.6773514128719787E-6</v>
      </c>
      <c r="T536" s="136">
        <f t="shared" si="78"/>
        <v>2.137962089502227E-9</v>
      </c>
      <c r="U536" s="137">
        <f t="shared" si="79"/>
        <v>0.54020822832374593</v>
      </c>
      <c r="V536" s="88">
        <f t="shared" si="75"/>
        <v>0.99256119497246598</v>
      </c>
      <c r="W536" s="86">
        <f t="shared" si="80"/>
        <v>4.4025611949724661</v>
      </c>
      <c r="X536" s="90">
        <f t="shared" si="76"/>
        <v>0.53020822832374592</v>
      </c>
    </row>
    <row r="537" spans="13:24" x14ac:dyDescent="0.25">
      <c r="M537" s="91">
        <v>5.34</v>
      </c>
      <c r="N537" s="89">
        <f t="shared" si="72"/>
        <v>8.66</v>
      </c>
      <c r="O537" s="89">
        <f t="shared" si="73"/>
        <v>4.2720653359580423</v>
      </c>
      <c r="P537" s="97">
        <f t="shared" si="74"/>
        <v>4.3320653359580428</v>
      </c>
      <c r="Q537" s="135">
        <f t="shared" si="77"/>
        <v>5.344839447268313E-5</v>
      </c>
      <c r="R537" s="89">
        <f t="shared" si="77"/>
        <v>4.6551605527316787E-5</v>
      </c>
      <c r="S537" s="89">
        <f t="shared" si="78"/>
        <v>4.5708818961487476E-6</v>
      </c>
      <c r="T537" s="136">
        <f t="shared" si="78"/>
        <v>2.1877616239495468E-9</v>
      </c>
      <c r="U537" s="137">
        <f t="shared" si="79"/>
        <v>0.53448394472683181</v>
      </c>
      <c r="V537" s="88">
        <f t="shared" si="75"/>
        <v>1.0079346640419571</v>
      </c>
      <c r="W537" s="86">
        <f t="shared" si="80"/>
        <v>4.3879346640419579</v>
      </c>
      <c r="X537" s="90">
        <f t="shared" si="76"/>
        <v>0.5244839447268318</v>
      </c>
    </row>
    <row r="538" spans="13:24" x14ac:dyDescent="0.25">
      <c r="M538" s="91">
        <v>5.35</v>
      </c>
      <c r="N538" s="89">
        <f t="shared" si="72"/>
        <v>8.65</v>
      </c>
      <c r="O538" s="89">
        <f t="shared" si="73"/>
        <v>4.2767491564581865</v>
      </c>
      <c r="P538" s="97">
        <f t="shared" si="74"/>
        <v>4.3267491564581873</v>
      </c>
      <c r="Q538" s="135">
        <f t="shared" si="77"/>
        <v>5.2875056389226883E-5</v>
      </c>
      <c r="R538" s="89">
        <f t="shared" si="77"/>
        <v>4.7124943610773087E-5</v>
      </c>
      <c r="S538" s="89">
        <f t="shared" si="78"/>
        <v>4.4668359215096296E-6</v>
      </c>
      <c r="T538" s="136">
        <f t="shared" si="78"/>
        <v>2.2387211385683336E-9</v>
      </c>
      <c r="U538" s="137">
        <f t="shared" si="79"/>
        <v>0.52875056389226904</v>
      </c>
      <c r="V538" s="88">
        <f t="shared" si="75"/>
        <v>1.0232508435418124</v>
      </c>
      <c r="W538" s="86">
        <f t="shared" si="80"/>
        <v>4.3732508435418138</v>
      </c>
      <c r="X538" s="90">
        <f t="shared" si="76"/>
        <v>0.51875056389226903</v>
      </c>
    </row>
    <row r="539" spans="13:24" x14ac:dyDescent="0.25">
      <c r="M539" s="91">
        <v>5.36</v>
      </c>
      <c r="N539" s="89">
        <f t="shared" si="72"/>
        <v>8.64</v>
      </c>
      <c r="O539" s="89">
        <f t="shared" si="73"/>
        <v>4.2814903500002881</v>
      </c>
      <c r="P539" s="97">
        <f t="shared" si="74"/>
        <v>4.3214903500002881</v>
      </c>
      <c r="Q539" s="135">
        <f t="shared" si="77"/>
        <v>5.2300958729756145E-5</v>
      </c>
      <c r="R539" s="89">
        <f t="shared" si="77"/>
        <v>4.7699041270243725E-5</v>
      </c>
      <c r="S539" s="89">
        <f t="shared" si="78"/>
        <v>4.3651583224016507E-6</v>
      </c>
      <c r="T539" s="136">
        <f t="shared" si="78"/>
        <v>2.2908676527677671E-9</v>
      </c>
      <c r="U539" s="137">
        <f t="shared" si="79"/>
        <v>0.52300958729756208</v>
      </c>
      <c r="V539" s="88">
        <f t="shared" si="75"/>
        <v>1.0385096499997122</v>
      </c>
      <c r="W539" s="86">
        <f t="shared" si="80"/>
        <v>4.3585096499997125</v>
      </c>
      <c r="X539" s="90">
        <f t="shared" si="76"/>
        <v>0.51300958729756208</v>
      </c>
    </row>
    <row r="540" spans="13:24" x14ac:dyDescent="0.25">
      <c r="M540" s="91">
        <v>5.37</v>
      </c>
      <c r="N540" s="89">
        <f t="shared" si="72"/>
        <v>8.629999999999999</v>
      </c>
      <c r="O540" s="89">
        <f t="shared" si="73"/>
        <v>4.2862889850005192</v>
      </c>
      <c r="P540" s="97">
        <f t="shared" si="74"/>
        <v>4.3162889850005195</v>
      </c>
      <c r="Q540" s="135">
        <f t="shared" si="77"/>
        <v>5.1726252443237564E-5</v>
      </c>
      <c r="R540" s="89">
        <f t="shared" si="77"/>
        <v>4.8273747556762251E-5</v>
      </c>
      <c r="S540" s="89">
        <f t="shared" si="78"/>
        <v>4.2657951880159181E-6</v>
      </c>
      <c r="T540" s="136">
        <f t="shared" si="78"/>
        <v>2.3442288153199238E-9</v>
      </c>
      <c r="U540" s="137">
        <f t="shared" si="79"/>
        <v>0.51726252443237664</v>
      </c>
      <c r="V540" s="88">
        <f t="shared" si="75"/>
        <v>1.0537110149994806</v>
      </c>
      <c r="W540" s="86">
        <f t="shared" si="80"/>
        <v>4.3437110149994798</v>
      </c>
      <c r="X540" s="90">
        <f t="shared" si="76"/>
        <v>0.50726252443237663</v>
      </c>
    </row>
    <row r="541" spans="13:24" x14ac:dyDescent="0.25">
      <c r="M541" s="91">
        <v>5.38</v>
      </c>
      <c r="N541" s="89">
        <f t="shared" si="72"/>
        <v>8.620000000000001</v>
      </c>
      <c r="O541" s="89">
        <f t="shared" si="73"/>
        <v>4.2911451147466755</v>
      </c>
      <c r="P541" s="97">
        <f t="shared" si="74"/>
        <v>4.3111451147466759</v>
      </c>
      <c r="Q541" s="135">
        <f t="shared" si="77"/>
        <v>5.1151089121779156E-5</v>
      </c>
      <c r="R541" s="89">
        <f t="shared" si="77"/>
        <v>4.8848910878220829E-5</v>
      </c>
      <c r="S541" s="89">
        <f t="shared" si="78"/>
        <v>4.168693834703354E-6</v>
      </c>
      <c r="T541" s="136">
        <f t="shared" si="78"/>
        <v>2.3988329190194835E-9</v>
      </c>
      <c r="U541" s="137">
        <f t="shared" si="79"/>
        <v>0.51151089121779159</v>
      </c>
      <c r="V541" s="88">
        <f t="shared" si="75"/>
        <v>1.0688548852533239</v>
      </c>
      <c r="W541" s="86">
        <f t="shared" si="80"/>
        <v>4.3288548852533255</v>
      </c>
      <c r="X541" s="90">
        <f t="shared" si="76"/>
        <v>0.50151089121779158</v>
      </c>
    </row>
    <row r="542" spans="13:24" x14ac:dyDescent="0.25">
      <c r="M542" s="91">
        <v>5.39</v>
      </c>
      <c r="N542" s="89">
        <f t="shared" si="72"/>
        <v>8.61</v>
      </c>
      <c r="O542" s="89">
        <f t="shared" si="73"/>
        <v>4.2960587773418286</v>
      </c>
      <c r="P542" s="97">
        <f t="shared" si="74"/>
        <v>4.3060587773418293</v>
      </c>
      <c r="Q542" s="135">
        <f t="shared" si="77"/>
        <v>5.0575620841114524E-5</v>
      </c>
      <c r="R542" s="89">
        <f t="shared" si="77"/>
        <v>4.9424379158885447E-5</v>
      </c>
      <c r="S542" s="89">
        <f t="shared" si="78"/>
        <v>4.0738027780411272E-6</v>
      </c>
      <c r="T542" s="136">
        <f t="shared" si="78"/>
        <v>2.4547089156850316E-9</v>
      </c>
      <c r="U542" s="137">
        <f t="shared" si="79"/>
        <v>0.50575620841114544</v>
      </c>
      <c r="V542" s="88">
        <f t="shared" si="75"/>
        <v>1.0839412226581704</v>
      </c>
      <c r="W542" s="86">
        <f t="shared" si="80"/>
        <v>4.3139412226581708</v>
      </c>
      <c r="X542" s="90">
        <f t="shared" si="76"/>
        <v>0.49575620841114543</v>
      </c>
    </row>
    <row r="543" spans="13:24" x14ac:dyDescent="0.25">
      <c r="M543" s="91">
        <v>5.4</v>
      </c>
      <c r="N543" s="89">
        <f t="shared" si="72"/>
        <v>8.6</v>
      </c>
      <c r="O543" s="89">
        <f t="shared" si="73"/>
        <v>4.3010299956639813</v>
      </c>
      <c r="P543" s="97">
        <f t="shared" si="74"/>
        <v>4.3010299956639813</v>
      </c>
      <c r="Q543" s="135">
        <f t="shared" si="77"/>
        <v>4.9999999999999955E-5</v>
      </c>
      <c r="R543" s="89">
        <f t="shared" si="77"/>
        <v>4.9999999999999955E-5</v>
      </c>
      <c r="S543" s="89">
        <f t="shared" si="78"/>
        <v>3.9810717055349657E-6</v>
      </c>
      <c r="T543" s="136">
        <f t="shared" si="78"/>
        <v>2.5118864315095812E-9</v>
      </c>
      <c r="U543" s="137">
        <f t="shared" si="79"/>
        <v>0.5</v>
      </c>
      <c r="V543" s="88">
        <f t="shared" si="75"/>
        <v>1.0989700043360191</v>
      </c>
      <c r="W543" s="86">
        <f t="shared" si="80"/>
        <v>4.2989700043360184</v>
      </c>
      <c r="X543" s="90">
        <f t="shared" si="76"/>
        <v>0.49</v>
      </c>
    </row>
    <row r="544" spans="13:24" x14ac:dyDescent="0.25">
      <c r="M544" s="91">
        <v>5.41</v>
      </c>
      <c r="N544" s="89">
        <f t="shared" si="72"/>
        <v>8.59</v>
      </c>
      <c r="O544" s="89">
        <f t="shared" si="73"/>
        <v>4.3060587773418293</v>
      </c>
      <c r="P544" s="97">
        <f t="shared" si="74"/>
        <v>4.2960587773418295</v>
      </c>
      <c r="Q544" s="135">
        <f t="shared" si="77"/>
        <v>4.9424379158885447E-5</v>
      </c>
      <c r="R544" s="89">
        <f t="shared" si="77"/>
        <v>5.0575620841114429E-5</v>
      </c>
      <c r="S544" s="89">
        <f t="shared" si="78"/>
        <v>3.8904514499428E-6</v>
      </c>
      <c r="T544" s="136">
        <f t="shared" si="78"/>
        <v>2.5703957827688555E-9</v>
      </c>
      <c r="U544" s="137">
        <f t="shared" si="79"/>
        <v>0.49424379158885506</v>
      </c>
      <c r="V544" s="88">
        <f t="shared" si="75"/>
        <v>1.1139412226581706</v>
      </c>
      <c r="W544" s="86">
        <f t="shared" si="80"/>
        <v>4.2839412226581706</v>
      </c>
      <c r="X544" s="90">
        <f t="shared" si="76"/>
        <v>0.48424379158885505</v>
      </c>
    </row>
    <row r="545" spans="13:24" x14ac:dyDescent="0.25">
      <c r="M545" s="91">
        <v>5.42</v>
      </c>
      <c r="N545" s="89">
        <f t="shared" si="72"/>
        <v>8.58</v>
      </c>
      <c r="O545" s="89">
        <f t="shared" si="73"/>
        <v>4.3111451147466759</v>
      </c>
      <c r="P545" s="97">
        <f t="shared" si="74"/>
        <v>4.2911451147466764</v>
      </c>
      <c r="Q545" s="135">
        <f t="shared" si="77"/>
        <v>4.8848910878220829E-5</v>
      </c>
      <c r="R545" s="89">
        <f t="shared" si="77"/>
        <v>5.1151089121779061E-5</v>
      </c>
      <c r="S545" s="89">
        <f t="shared" si="78"/>
        <v>3.8018939632056064E-6</v>
      </c>
      <c r="T545" s="136">
        <f t="shared" si="78"/>
        <v>2.6302679918953733E-9</v>
      </c>
      <c r="U545" s="137">
        <f t="shared" si="79"/>
        <v>0.48848910878220886</v>
      </c>
      <c r="V545" s="88">
        <f t="shared" si="75"/>
        <v>1.1288548852533236</v>
      </c>
      <c r="W545" s="86">
        <f t="shared" si="80"/>
        <v>4.2688548852533241</v>
      </c>
      <c r="X545" s="90">
        <f t="shared" si="76"/>
        <v>0.47848910878220885</v>
      </c>
    </row>
    <row r="546" spans="13:24" x14ac:dyDescent="0.25">
      <c r="M546" s="91">
        <v>5.43</v>
      </c>
      <c r="N546" s="89">
        <f t="shared" si="72"/>
        <v>8.57</v>
      </c>
      <c r="O546" s="89">
        <f t="shared" si="73"/>
        <v>4.3162889850005186</v>
      </c>
      <c r="P546" s="97">
        <f t="shared" si="74"/>
        <v>4.2862889850005192</v>
      </c>
      <c r="Q546" s="135">
        <f t="shared" si="77"/>
        <v>4.8273747556762332E-5</v>
      </c>
      <c r="R546" s="89">
        <f t="shared" si="77"/>
        <v>5.1726252443237564E-5</v>
      </c>
      <c r="S546" s="89">
        <f t="shared" si="78"/>
        <v>3.7153522909717272E-6</v>
      </c>
      <c r="T546" s="136">
        <f t="shared" si="78"/>
        <v>2.6915348039269064E-9</v>
      </c>
      <c r="U546" s="137">
        <f t="shared" si="79"/>
        <v>0.48273747556762381</v>
      </c>
      <c r="V546" s="88">
        <f t="shared" si="75"/>
        <v>1.1437110149994805</v>
      </c>
      <c r="W546" s="86">
        <f t="shared" si="80"/>
        <v>4.2537110149994817</v>
      </c>
      <c r="X546" s="90">
        <f t="shared" si="76"/>
        <v>0.4727374755676238</v>
      </c>
    </row>
    <row r="547" spans="13:24" x14ac:dyDescent="0.25">
      <c r="M547" s="91">
        <v>5.44</v>
      </c>
      <c r="N547" s="89">
        <f t="shared" si="72"/>
        <v>8.5599999999999987</v>
      </c>
      <c r="O547" s="89">
        <f t="shared" si="73"/>
        <v>4.3214903500002881</v>
      </c>
      <c r="P547" s="97">
        <f t="shared" si="74"/>
        <v>4.2814903500002881</v>
      </c>
      <c r="Q547" s="135">
        <f t="shared" si="77"/>
        <v>4.7699041270243725E-5</v>
      </c>
      <c r="R547" s="89">
        <f t="shared" si="77"/>
        <v>5.2300958729756145E-5</v>
      </c>
      <c r="S547" s="89">
        <f t="shared" si="78"/>
        <v>3.6307805477010082E-6</v>
      </c>
      <c r="T547" s="136">
        <f t="shared" si="78"/>
        <v>2.7542287033381667E-9</v>
      </c>
      <c r="U547" s="137">
        <f t="shared" si="79"/>
        <v>0.47699041270243786</v>
      </c>
      <c r="V547" s="88">
        <f t="shared" si="75"/>
        <v>1.1585096499997123</v>
      </c>
      <c r="W547" s="86">
        <f t="shared" si="80"/>
        <v>4.2385096499997106</v>
      </c>
      <c r="X547" s="90">
        <f t="shared" si="76"/>
        <v>0.46699041270243785</v>
      </c>
    </row>
    <row r="548" spans="13:24" x14ac:dyDescent="0.25">
      <c r="M548" s="91">
        <v>5.45</v>
      </c>
      <c r="N548" s="89">
        <f t="shared" si="72"/>
        <v>8.5500000000000007</v>
      </c>
      <c r="O548" s="89">
        <f t="shared" si="73"/>
        <v>4.3267491564581873</v>
      </c>
      <c r="P548" s="97">
        <f t="shared" si="74"/>
        <v>4.2767491564581874</v>
      </c>
      <c r="Q548" s="135">
        <f t="shared" si="77"/>
        <v>4.7124943610773087E-5</v>
      </c>
      <c r="R548" s="89">
        <f t="shared" si="77"/>
        <v>5.2875056389226795E-5</v>
      </c>
      <c r="S548" s="89">
        <f t="shared" si="78"/>
        <v>3.5481338923357504E-6</v>
      </c>
      <c r="T548" s="136">
        <f t="shared" si="78"/>
        <v>2.818382931264444E-9</v>
      </c>
      <c r="U548" s="137">
        <f t="shared" si="79"/>
        <v>0.4712494361077314</v>
      </c>
      <c r="V548" s="88">
        <f t="shared" si="75"/>
        <v>1.1732508435418127</v>
      </c>
      <c r="W548" s="86">
        <f t="shared" si="80"/>
        <v>4.2232508435418135</v>
      </c>
      <c r="X548" s="90">
        <f t="shared" si="76"/>
        <v>0.46124943610773139</v>
      </c>
    </row>
    <row r="549" spans="13:24" x14ac:dyDescent="0.25">
      <c r="M549" s="91">
        <v>5.46</v>
      </c>
      <c r="N549" s="89">
        <f t="shared" si="72"/>
        <v>8.5399999999999991</v>
      </c>
      <c r="O549" s="89">
        <f t="shared" si="73"/>
        <v>4.3320653359580419</v>
      </c>
      <c r="P549" s="97">
        <f t="shared" si="74"/>
        <v>4.2720653359580423</v>
      </c>
      <c r="Q549" s="135">
        <f t="shared" si="77"/>
        <v>4.6551605527316862E-5</v>
      </c>
      <c r="R549" s="89">
        <f t="shared" si="77"/>
        <v>5.344839447268313E-5</v>
      </c>
      <c r="S549" s="89">
        <f t="shared" si="78"/>
        <v>3.4673685045253126E-6</v>
      </c>
      <c r="T549" s="136">
        <f t="shared" si="78"/>
        <v>2.8840315031266055E-9</v>
      </c>
      <c r="U549" s="137">
        <f t="shared" si="79"/>
        <v>0.46551605527316864</v>
      </c>
      <c r="V549" s="88">
        <f t="shared" si="75"/>
        <v>1.1879346640419577</v>
      </c>
      <c r="W549" s="86">
        <f t="shared" si="80"/>
        <v>4.2079346640419573</v>
      </c>
      <c r="X549" s="90">
        <f t="shared" si="76"/>
        <v>0.45551605527316863</v>
      </c>
    </row>
    <row r="550" spans="13:24" x14ac:dyDescent="0.25">
      <c r="M550" s="91">
        <v>5.47</v>
      </c>
      <c r="N550" s="89">
        <f t="shared" si="72"/>
        <v>8.5300000000000011</v>
      </c>
      <c r="O550" s="89">
        <f t="shared" si="73"/>
        <v>4.3374388050275341</v>
      </c>
      <c r="P550" s="97">
        <f t="shared" si="74"/>
        <v>4.2674388050275347</v>
      </c>
      <c r="Q550" s="135">
        <f t="shared" si="77"/>
        <v>4.5979177167625353E-5</v>
      </c>
      <c r="R550" s="89">
        <f t="shared" si="77"/>
        <v>5.4020822832374435E-5</v>
      </c>
      <c r="S550" s="89">
        <f t="shared" si="78"/>
        <v>3.388441561392022E-6</v>
      </c>
      <c r="T550" s="136">
        <f t="shared" si="78"/>
        <v>2.9512092266663743E-9</v>
      </c>
      <c r="U550" s="137">
        <f t="shared" si="79"/>
        <v>0.45979177167625451</v>
      </c>
      <c r="V550" s="88">
        <f t="shared" si="75"/>
        <v>1.2025611949724651</v>
      </c>
      <c r="W550" s="86">
        <f t="shared" si="80"/>
        <v>4.192561194972467</v>
      </c>
      <c r="X550" s="90">
        <f t="shared" si="76"/>
        <v>0.4497917716762545</v>
      </c>
    </row>
    <row r="551" spans="13:24" x14ac:dyDescent="0.25">
      <c r="M551" s="91">
        <v>5.48</v>
      </c>
      <c r="N551" s="89">
        <f t="shared" si="72"/>
        <v>8.52</v>
      </c>
      <c r="O551" s="89">
        <f t="shared" si="73"/>
        <v>4.3428694652261477</v>
      </c>
      <c r="P551" s="97">
        <f t="shared" si="74"/>
        <v>4.2628694652261476</v>
      </c>
      <c r="Q551" s="135">
        <f t="shared" si="77"/>
        <v>4.5407807721951587E-5</v>
      </c>
      <c r="R551" s="89">
        <f t="shared" si="77"/>
        <v>5.4592192278048371E-5</v>
      </c>
      <c r="S551" s="89">
        <f t="shared" si="78"/>
        <v>3.3113112148259022E-6</v>
      </c>
      <c r="T551" s="136">
        <f t="shared" si="78"/>
        <v>3.0199517204020151E-9</v>
      </c>
      <c r="U551" s="137">
        <f t="shared" si="79"/>
        <v>0.45407807721951604</v>
      </c>
      <c r="V551" s="88">
        <f t="shared" si="75"/>
        <v>1.2171305347738528</v>
      </c>
      <c r="W551" s="86">
        <f t="shared" si="80"/>
        <v>4.1771305347738519</v>
      </c>
      <c r="X551" s="90">
        <f t="shared" si="76"/>
        <v>0.44407807721951603</v>
      </c>
    </row>
    <row r="552" spans="13:24" x14ac:dyDescent="0.25">
      <c r="M552" s="91">
        <v>5.49</v>
      </c>
      <c r="N552" s="89">
        <f t="shared" si="72"/>
        <v>8.51</v>
      </c>
      <c r="O552" s="89">
        <f t="shared" si="73"/>
        <v>4.3483572032486517</v>
      </c>
      <c r="P552" s="97">
        <f t="shared" si="74"/>
        <v>4.2583572032486519</v>
      </c>
      <c r="Q552" s="135">
        <f t="shared" si="77"/>
        <v>4.4837645268903961E-5</v>
      </c>
      <c r="R552" s="89">
        <f t="shared" si="77"/>
        <v>5.5162354731096024E-5</v>
      </c>
      <c r="S552" s="89">
        <f t="shared" si="78"/>
        <v>3.2359365692962801E-6</v>
      </c>
      <c r="T552" s="136">
        <f t="shared" si="78"/>
        <v>3.0902954325135894E-9</v>
      </c>
      <c r="U552" s="137">
        <f t="shared" si="79"/>
        <v>0.44837645268903964</v>
      </c>
      <c r="V552" s="88">
        <f t="shared" si="75"/>
        <v>1.2316427967513484</v>
      </c>
      <c r="W552" s="86">
        <f t="shared" si="80"/>
        <v>4.1616427967513481</v>
      </c>
      <c r="X552" s="90">
        <f t="shared" si="76"/>
        <v>0.43837645268903963</v>
      </c>
    </row>
    <row r="553" spans="13:24" x14ac:dyDescent="0.25">
      <c r="M553" s="91">
        <v>5.5</v>
      </c>
      <c r="N553" s="89">
        <f t="shared" si="72"/>
        <v>8.5</v>
      </c>
      <c r="O553" s="89">
        <f t="shared" si="73"/>
        <v>4.3539018910438667</v>
      </c>
      <c r="P553" s="97">
        <f t="shared" si="74"/>
        <v>4.2539018910438671</v>
      </c>
      <c r="Q553" s="135">
        <f t="shared" si="77"/>
        <v>4.4268836623770753E-5</v>
      </c>
      <c r="R553" s="89">
        <f t="shared" si="77"/>
        <v>5.5731163376229258E-5</v>
      </c>
      <c r="S553" s="89">
        <f t="shared" si="78"/>
        <v>3.1622776601683767E-6</v>
      </c>
      <c r="T553" s="136">
        <f t="shared" si="78"/>
        <v>3.1622776601683779E-9</v>
      </c>
      <c r="U553" s="137">
        <f t="shared" si="79"/>
        <v>0.44268836623770746</v>
      </c>
      <c r="V553" s="88">
        <f t="shared" si="75"/>
        <v>1.2460981089561329</v>
      </c>
      <c r="W553" s="86">
        <f t="shared" si="80"/>
        <v>4.1460981089561333</v>
      </c>
      <c r="X553" s="90">
        <f t="shared" si="76"/>
        <v>0.43268836623770746</v>
      </c>
    </row>
    <row r="554" spans="13:24" x14ac:dyDescent="0.25">
      <c r="M554" s="91">
        <v>5.51</v>
      </c>
      <c r="N554" s="89">
        <f t="shared" si="72"/>
        <v>8.49</v>
      </c>
      <c r="O554" s="89">
        <f t="shared" si="73"/>
        <v>4.3595033859484662</v>
      </c>
      <c r="P554" s="97">
        <f t="shared" si="74"/>
        <v>4.2495033859484668</v>
      </c>
      <c r="Q554" s="135">
        <f t="shared" si="77"/>
        <v>4.370152718964044E-5</v>
      </c>
      <c r="R554" s="89">
        <f t="shared" si="77"/>
        <v>5.6298472810359443E-5</v>
      </c>
      <c r="S554" s="89">
        <f t="shared" si="78"/>
        <v>3.0902954325135885E-6</v>
      </c>
      <c r="T554" s="136">
        <f t="shared" si="78"/>
        <v>3.2359365692962808E-9</v>
      </c>
      <c r="U554" s="137">
        <f t="shared" si="79"/>
        <v>0.43701527189640493</v>
      </c>
      <c r="V554" s="88">
        <f t="shared" si="75"/>
        <v>1.260496614051533</v>
      </c>
      <c r="W554" s="86">
        <f t="shared" si="80"/>
        <v>4.130496614051534</v>
      </c>
      <c r="X554" s="90">
        <f t="shared" si="76"/>
        <v>0.42701527189640492</v>
      </c>
    </row>
    <row r="555" spans="13:24" x14ac:dyDescent="0.25">
      <c r="M555" s="91">
        <v>5.52</v>
      </c>
      <c r="N555" s="89">
        <f t="shared" si="72"/>
        <v>8.48</v>
      </c>
      <c r="O555" s="89">
        <f t="shared" si="73"/>
        <v>4.3651615308355112</v>
      </c>
      <c r="P555" s="97">
        <f t="shared" si="74"/>
        <v>4.245161530835512</v>
      </c>
      <c r="Q555" s="135">
        <f t="shared" si="77"/>
        <v>4.3135860811633311E-5</v>
      </c>
      <c r="R555" s="89">
        <f t="shared" si="77"/>
        <v>5.68641391883667E-5</v>
      </c>
      <c r="S555" s="89">
        <f t="shared" si="78"/>
        <v>3.0199517204020146E-6</v>
      </c>
      <c r="T555" s="136">
        <f t="shared" si="78"/>
        <v>3.3113112148258966E-9</v>
      </c>
      <c r="U555" s="137">
        <f t="shared" si="79"/>
        <v>0.43135860811633303</v>
      </c>
      <c r="V555" s="88">
        <f t="shared" si="75"/>
        <v>1.2748384691644876</v>
      </c>
      <c r="W555" s="86">
        <f t="shared" si="80"/>
        <v>4.1148384691644893</v>
      </c>
      <c r="X555" s="90">
        <f t="shared" si="76"/>
        <v>0.42135860811633302</v>
      </c>
    </row>
    <row r="556" spans="13:24" x14ac:dyDescent="0.25">
      <c r="M556" s="91">
        <v>5.53</v>
      </c>
      <c r="N556" s="89">
        <f t="shared" si="72"/>
        <v>8.4699999999999989</v>
      </c>
      <c r="O556" s="89">
        <f t="shared" si="73"/>
        <v>4.3708761542773988</v>
      </c>
      <c r="P556" s="97">
        <f t="shared" si="74"/>
        <v>4.2408761542773989</v>
      </c>
      <c r="Q556" s="135">
        <f t="shared" si="77"/>
        <v>4.2571979634547503E-5</v>
      </c>
      <c r="R556" s="89">
        <f t="shared" si="77"/>
        <v>5.7428020365452298E-5</v>
      </c>
      <c r="S556" s="89">
        <f t="shared" si="78"/>
        <v>2.951209226666379E-6</v>
      </c>
      <c r="T556" s="136">
        <f t="shared" si="78"/>
        <v>3.3884415613920228E-9</v>
      </c>
      <c r="U556" s="137">
        <f t="shared" si="79"/>
        <v>0.42571979634547585</v>
      </c>
      <c r="V556" s="88">
        <f t="shared" si="75"/>
        <v>1.2891238457226013</v>
      </c>
      <c r="W556" s="86">
        <f t="shared" si="80"/>
        <v>4.0991238457226</v>
      </c>
      <c r="X556" s="90">
        <f t="shared" si="76"/>
        <v>0.41571979634547584</v>
      </c>
    </row>
    <row r="557" spans="13:24" x14ac:dyDescent="0.25">
      <c r="M557" s="91">
        <v>5.54</v>
      </c>
      <c r="N557" s="89">
        <f t="shared" si="72"/>
        <v>8.4600000000000009</v>
      </c>
      <c r="O557" s="89">
        <f t="shared" si="73"/>
        <v>4.37664707072285</v>
      </c>
      <c r="P557" s="97">
        <f t="shared" si="74"/>
        <v>4.2366470707228512</v>
      </c>
      <c r="Q557" s="135">
        <f t="shared" si="77"/>
        <v>4.2010023964211914E-5</v>
      </c>
      <c r="R557" s="89">
        <f t="shared" si="77"/>
        <v>5.798997603578805E-5</v>
      </c>
      <c r="S557" s="89">
        <f t="shared" si="78"/>
        <v>2.8840315031265995E-6</v>
      </c>
      <c r="T557" s="136">
        <f t="shared" si="78"/>
        <v>3.467368504525301E-9</v>
      </c>
      <c r="U557" s="137">
        <f t="shared" si="79"/>
        <v>0.42010023964211929</v>
      </c>
      <c r="V557" s="88">
        <f t="shared" si="75"/>
        <v>1.3033529292771489</v>
      </c>
      <c r="W557" s="86">
        <f t="shared" si="80"/>
        <v>4.0833529292771509</v>
      </c>
      <c r="X557" s="90">
        <f t="shared" si="76"/>
        <v>0.41010023964211928</v>
      </c>
    </row>
    <row r="558" spans="13:24" x14ac:dyDescent="0.25">
      <c r="M558" s="91">
        <v>5.55</v>
      </c>
      <c r="N558" s="89">
        <f t="shared" si="72"/>
        <v>8.4499999999999993</v>
      </c>
      <c r="O558" s="89">
        <f t="shared" si="73"/>
        <v>4.3824740806875857</v>
      </c>
      <c r="P558" s="97">
        <f t="shared" si="74"/>
        <v>4.2324740806875862</v>
      </c>
      <c r="Q558" s="135">
        <f t="shared" si="77"/>
        <v>4.1450132132819061E-5</v>
      </c>
      <c r="R558" s="89">
        <f t="shared" si="77"/>
        <v>5.8549867867180883E-5</v>
      </c>
      <c r="S558" s="89">
        <f t="shared" si="78"/>
        <v>2.818382931264453E-6</v>
      </c>
      <c r="T558" s="136">
        <f t="shared" si="78"/>
        <v>3.5481338923357512E-9</v>
      </c>
      <c r="U558" s="137">
        <f t="shared" si="79"/>
        <v>0.4145013213281909</v>
      </c>
      <c r="V558" s="88">
        <f t="shared" si="75"/>
        <v>1.3175259193124136</v>
      </c>
      <c r="W558" s="86">
        <f t="shared" si="80"/>
        <v>4.0675259193124136</v>
      </c>
      <c r="X558" s="90">
        <f t="shared" si="76"/>
        <v>0.40450132132819089</v>
      </c>
    </row>
    <row r="559" spans="13:24" x14ac:dyDescent="0.25">
      <c r="M559" s="91">
        <v>5.56</v>
      </c>
      <c r="N559" s="89">
        <f t="shared" si="72"/>
        <v>8.4400000000000013</v>
      </c>
      <c r="O559" s="89">
        <f t="shared" si="73"/>
        <v>4.3883569709582391</v>
      </c>
      <c r="P559" s="97">
        <f t="shared" si="74"/>
        <v>4.2283569709582398</v>
      </c>
      <c r="Q559" s="135">
        <f t="shared" si="77"/>
        <v>4.0892440368505639E-5</v>
      </c>
      <c r="R559" s="89">
        <f t="shared" si="77"/>
        <v>5.910755963149421E-5</v>
      </c>
      <c r="S559" s="89">
        <f t="shared" si="78"/>
        <v>2.7542287033381663E-6</v>
      </c>
      <c r="T559" s="136">
        <f t="shared" si="78"/>
        <v>3.630780547700997E-9</v>
      </c>
      <c r="U559" s="137">
        <f t="shared" si="79"/>
        <v>0.408924403685057</v>
      </c>
      <c r="V559" s="88">
        <f t="shared" si="75"/>
        <v>1.3316430290417598</v>
      </c>
      <c r="W559" s="86">
        <f t="shared" si="80"/>
        <v>4.0516430290417622</v>
      </c>
      <c r="X559" s="90">
        <f t="shared" si="76"/>
        <v>0.39892440368505699</v>
      </c>
    </row>
    <row r="560" spans="13:24" x14ac:dyDescent="0.25">
      <c r="M560" s="91">
        <v>5.57</v>
      </c>
      <c r="N560" s="89">
        <f t="shared" si="72"/>
        <v>8.43</v>
      </c>
      <c r="O560" s="89">
        <f t="shared" si="73"/>
        <v>4.3942955148090981</v>
      </c>
      <c r="P560" s="97">
        <f t="shared" si="74"/>
        <v>4.2242955148090982</v>
      </c>
      <c r="Q560" s="135">
        <f t="shared" si="77"/>
        <v>4.0337082669422567E-5</v>
      </c>
      <c r="R560" s="89">
        <f t="shared" si="77"/>
        <v>5.9662917330577255E-5</v>
      </c>
      <c r="S560" s="89">
        <f t="shared" si="78"/>
        <v>2.6915348039269108E-6</v>
      </c>
      <c r="T560" s="136">
        <f t="shared" si="78"/>
        <v>3.7153522909717206E-9</v>
      </c>
      <c r="U560" s="137">
        <f t="shared" si="79"/>
        <v>0.40337082669422636</v>
      </c>
      <c r="V560" s="88">
        <f t="shared" si="75"/>
        <v>1.3457044851909021</v>
      </c>
      <c r="W560" s="86">
        <f t="shared" si="80"/>
        <v>4.0357044851909016</v>
      </c>
      <c r="X560" s="90">
        <f t="shared" si="76"/>
        <v>0.39337082669422635</v>
      </c>
    </row>
    <row r="561" spans="13:24" x14ac:dyDescent="0.25">
      <c r="M561" s="91">
        <v>5.58</v>
      </c>
      <c r="N561" s="89">
        <f t="shared" si="72"/>
        <v>8.42</v>
      </c>
      <c r="O561" s="89">
        <f t="shared" si="73"/>
        <v>4.400289472231206</v>
      </c>
      <c r="P561" s="97">
        <f t="shared" si="74"/>
        <v>4.2202894722312063</v>
      </c>
      <c r="Q561" s="135">
        <f t="shared" si="77"/>
        <v>3.9784190682528256E-5</v>
      </c>
      <c r="R561" s="89">
        <f t="shared" si="77"/>
        <v>6.0215809317471626E-5</v>
      </c>
      <c r="S561" s="89">
        <f t="shared" si="78"/>
        <v>2.630267991895377E-6</v>
      </c>
      <c r="T561" s="136">
        <f t="shared" si="78"/>
        <v>3.8018939632056068E-9</v>
      </c>
      <c r="U561" s="137">
        <f t="shared" si="79"/>
        <v>0.39784190682528303</v>
      </c>
      <c r="V561" s="88">
        <f t="shared" si="75"/>
        <v>1.3597105277687938</v>
      </c>
      <c r="W561" s="86">
        <f t="shared" si="80"/>
        <v>4.0197105277687939</v>
      </c>
      <c r="X561" s="90">
        <f t="shared" si="76"/>
        <v>0.38784190682528302</v>
      </c>
    </row>
    <row r="562" spans="13:24" x14ac:dyDescent="0.25">
      <c r="M562" s="91">
        <v>5.59</v>
      </c>
      <c r="N562" s="89">
        <f t="shared" si="72"/>
        <v>8.41</v>
      </c>
      <c r="O562" s="89">
        <f t="shared" si="73"/>
        <v>4.4063385901733367</v>
      </c>
      <c r="P562" s="97">
        <f t="shared" si="74"/>
        <v>4.2163385901733372</v>
      </c>
      <c r="Q562" s="135">
        <f t="shared" si="77"/>
        <v>3.923389358731798E-5</v>
      </c>
      <c r="R562" s="89">
        <f t="shared" si="77"/>
        <v>6.076610641268191E-5</v>
      </c>
      <c r="S562" s="89">
        <f t="shared" si="78"/>
        <v>2.5703957827688596E-6</v>
      </c>
      <c r="T562" s="136">
        <f t="shared" si="78"/>
        <v>3.8904514499428009E-9</v>
      </c>
      <c r="U562" s="137">
        <f t="shared" si="79"/>
        <v>0.39233893587318025</v>
      </c>
      <c r="V562" s="88">
        <f t="shared" si="75"/>
        <v>1.3736614098266626</v>
      </c>
      <c r="W562" s="86">
        <f t="shared" si="80"/>
        <v>4.0036614098266634</v>
      </c>
      <c r="X562" s="90">
        <f t="shared" si="76"/>
        <v>0.38233893587318024</v>
      </c>
    </row>
    <row r="563" spans="13:24" x14ac:dyDescent="0.25">
      <c r="M563" s="91">
        <v>5.6</v>
      </c>
      <c r="N563" s="89">
        <f t="shared" si="72"/>
        <v>8.4</v>
      </c>
      <c r="O563" s="89">
        <f t="shared" si="73"/>
        <v>4.4124426027943393</v>
      </c>
      <c r="P563" s="97">
        <f t="shared" si="74"/>
        <v>4.21244260279434</v>
      </c>
      <c r="Q563" s="135">
        <f t="shared" si="77"/>
        <v>3.8686317984685717E-5</v>
      </c>
      <c r="R563" s="89">
        <f t="shared" si="77"/>
        <v>6.131368201531422E-5</v>
      </c>
      <c r="S563" s="89">
        <f t="shared" si="78"/>
        <v>2.5118864315095806E-6</v>
      </c>
      <c r="T563" s="136">
        <f t="shared" si="78"/>
        <v>3.9810717055349665E-9</v>
      </c>
      <c r="U563" s="137">
        <f t="shared" si="79"/>
        <v>0.38686317984685742</v>
      </c>
      <c r="V563" s="88">
        <f t="shared" si="75"/>
        <v>1.3875573972056596</v>
      </c>
      <c r="W563" s="86">
        <f t="shared" si="80"/>
        <v>3.987557397205661</v>
      </c>
      <c r="X563" s="90">
        <f t="shared" si="76"/>
        <v>0.37686317984685741</v>
      </c>
    </row>
    <row r="564" spans="13:24" x14ac:dyDescent="0.25">
      <c r="M564" s="91">
        <v>5.61</v>
      </c>
      <c r="N564" s="89">
        <f t="shared" si="72"/>
        <v>8.39</v>
      </c>
      <c r="O564" s="89">
        <f t="shared" si="73"/>
        <v>4.4186012317263366</v>
      </c>
      <c r="P564" s="97">
        <f t="shared" si="74"/>
        <v>4.2086012317263366</v>
      </c>
      <c r="Q564" s="135">
        <f t="shared" si="77"/>
        <v>3.8141587791096882E-5</v>
      </c>
      <c r="R564" s="89">
        <f t="shared" si="77"/>
        <v>6.1858412208902987E-5</v>
      </c>
      <c r="S564" s="89">
        <f t="shared" si="78"/>
        <v>2.4547089156850267E-6</v>
      </c>
      <c r="T564" s="136">
        <f t="shared" si="78"/>
        <v>4.0738027780411214E-9</v>
      </c>
      <c r="U564" s="137">
        <f t="shared" si="79"/>
        <v>0.38141587791096931</v>
      </c>
      <c r="V564" s="88">
        <f t="shared" si="75"/>
        <v>1.4013987682736637</v>
      </c>
      <c r="W564" s="86">
        <f t="shared" si="80"/>
        <v>3.971398768273664</v>
      </c>
      <c r="X564" s="90">
        <f t="shared" si="76"/>
        <v>0.37141587791096931</v>
      </c>
    </row>
    <row r="565" spans="13:24" x14ac:dyDescent="0.25">
      <c r="M565" s="91">
        <v>5.62</v>
      </c>
      <c r="N565" s="89">
        <f t="shared" si="72"/>
        <v>8.379999999999999</v>
      </c>
      <c r="O565" s="89">
        <f t="shared" si="73"/>
        <v>4.4248141863482289</v>
      </c>
      <c r="P565" s="97">
        <f t="shared" si="74"/>
        <v>4.2048141863482291</v>
      </c>
      <c r="Q565" s="135">
        <f t="shared" si="77"/>
        <v>3.7599824138233301E-5</v>
      </c>
      <c r="R565" s="89">
        <f t="shared" si="77"/>
        <v>6.2400175861766731E-5</v>
      </c>
      <c r="S565" s="89">
        <f t="shared" si="78"/>
        <v>2.3988329190194872E-6</v>
      </c>
      <c r="T565" s="136">
        <f t="shared" si="78"/>
        <v>4.1686938347033617E-9</v>
      </c>
      <c r="U565" s="137">
        <f t="shared" si="79"/>
        <v>0.3759982413823329</v>
      </c>
      <c r="V565" s="88">
        <f t="shared" si="75"/>
        <v>1.415185813651771</v>
      </c>
      <c r="W565" s="86">
        <f t="shared" si="80"/>
        <v>3.9551858136517701</v>
      </c>
      <c r="X565" s="90">
        <f t="shared" si="76"/>
        <v>0.36599824138233289</v>
      </c>
    </row>
    <row r="566" spans="13:24" x14ac:dyDescent="0.25">
      <c r="M566" s="91">
        <v>5.63</v>
      </c>
      <c r="N566" s="89">
        <f t="shared" si="72"/>
        <v>8.370000000000001</v>
      </c>
      <c r="O566" s="89">
        <f t="shared" si="73"/>
        <v>4.4310811640689609</v>
      </c>
      <c r="P566" s="97">
        <f t="shared" si="74"/>
        <v>4.2010811640689614</v>
      </c>
      <c r="Q566" s="135">
        <f t="shared" si="77"/>
        <v>3.7061145278249774E-5</v>
      </c>
      <c r="R566" s="89">
        <f t="shared" si="77"/>
        <v>6.293885472175019E-5</v>
      </c>
      <c r="S566" s="89">
        <f t="shared" si="78"/>
        <v>2.3442288153199192E-6</v>
      </c>
      <c r="T566" s="136">
        <f t="shared" si="78"/>
        <v>4.2657951880159041E-9</v>
      </c>
      <c r="U566" s="137">
        <f t="shared" si="79"/>
        <v>0.37061145278249785</v>
      </c>
      <c r="V566" s="88">
        <f t="shared" si="75"/>
        <v>1.4289188359310385</v>
      </c>
      <c r="W566" s="86">
        <f t="shared" si="80"/>
        <v>3.9389188359310401</v>
      </c>
      <c r="X566" s="90">
        <f t="shared" si="76"/>
        <v>0.36061145278249784</v>
      </c>
    </row>
    <row r="567" spans="13:24" x14ac:dyDescent="0.25">
      <c r="M567" s="91">
        <v>5.64</v>
      </c>
      <c r="N567" s="89">
        <f t="shared" si="72"/>
        <v>8.36</v>
      </c>
      <c r="O567" s="89">
        <f t="shared" si="73"/>
        <v>4.4374018506199704</v>
      </c>
      <c r="P567" s="97">
        <f t="shared" si="74"/>
        <v>4.1974018506199711</v>
      </c>
      <c r="Q567" s="135">
        <f t="shared" si="77"/>
        <v>3.6525666494768338E-5</v>
      </c>
      <c r="R567" s="89">
        <f t="shared" si="77"/>
        <v>6.3474333505231565E-5</v>
      </c>
      <c r="S567" s="89">
        <f t="shared" si="78"/>
        <v>2.2908676527677705E-6</v>
      </c>
      <c r="T567" s="136">
        <f t="shared" si="78"/>
        <v>4.3651583224016521E-9</v>
      </c>
      <c r="U567" s="137">
        <f t="shared" si="79"/>
        <v>0.36525666494768372</v>
      </c>
      <c r="V567" s="88">
        <f t="shared" si="75"/>
        <v>1.4425981493800286</v>
      </c>
      <c r="W567" s="86">
        <f t="shared" si="80"/>
        <v>3.922598149380029</v>
      </c>
      <c r="X567" s="90">
        <f t="shared" si="76"/>
        <v>0.35525666494768371</v>
      </c>
    </row>
    <row r="568" spans="13:24" x14ac:dyDescent="0.25">
      <c r="M568" s="91">
        <v>5.65</v>
      </c>
      <c r="N568" s="89">
        <f t="shared" si="72"/>
        <v>8.35</v>
      </c>
      <c r="O568" s="89">
        <f t="shared" si="73"/>
        <v>4.4437759203562495</v>
      </c>
      <c r="P568" s="97">
        <f t="shared" si="74"/>
        <v>4.1937759203562495</v>
      </c>
      <c r="Q568" s="135">
        <f t="shared" si="77"/>
        <v>3.5993500019711453E-5</v>
      </c>
      <c r="R568" s="89">
        <f t="shared" si="77"/>
        <v>6.4006499980288504E-5</v>
      </c>
      <c r="S568" s="89">
        <f t="shared" si="78"/>
        <v>2.2387211385683329E-6</v>
      </c>
      <c r="T568" s="136">
        <f t="shared" si="78"/>
        <v>4.4668359215096219E-9</v>
      </c>
      <c r="U568" s="137">
        <f t="shared" si="79"/>
        <v>0.35993500019711466</v>
      </c>
      <c r="V568" s="88">
        <f t="shared" si="75"/>
        <v>1.4562240796437509</v>
      </c>
      <c r="W568" s="86">
        <f t="shared" si="80"/>
        <v>3.9062240796437502</v>
      </c>
      <c r="X568" s="90">
        <f t="shared" si="76"/>
        <v>0.34993500019711465</v>
      </c>
    </row>
    <row r="569" spans="13:24" x14ac:dyDescent="0.25">
      <c r="M569" s="91">
        <v>5.66</v>
      </c>
      <c r="N569" s="89">
        <f t="shared" si="72"/>
        <v>8.34</v>
      </c>
      <c r="O569" s="89">
        <f t="shared" si="73"/>
        <v>4.4502030365654246</v>
      </c>
      <c r="P569" s="97">
        <f t="shared" si="74"/>
        <v>4.1902030365654257</v>
      </c>
      <c r="Q569" s="135">
        <f t="shared" si="77"/>
        <v>3.5464754956061782E-5</v>
      </c>
      <c r="R569" s="89">
        <f t="shared" si="77"/>
        <v>6.4535245043938135E-5</v>
      </c>
      <c r="S569" s="89">
        <f t="shared" si="78"/>
        <v>2.1877616239495505E-6</v>
      </c>
      <c r="T569" s="136">
        <f t="shared" si="78"/>
        <v>4.570881896148741E-9</v>
      </c>
      <c r="U569" s="137">
        <f t="shared" si="79"/>
        <v>0.35464754956061811</v>
      </c>
      <c r="V569" s="88">
        <f t="shared" si="75"/>
        <v>1.4697969634345744</v>
      </c>
      <c r="W569" s="86">
        <f t="shared" si="80"/>
        <v>3.8897969634345753</v>
      </c>
      <c r="X569" s="90">
        <f t="shared" si="76"/>
        <v>0.3446475495606181</v>
      </c>
    </row>
    <row r="570" spans="13:24" x14ac:dyDescent="0.25">
      <c r="M570" s="91">
        <v>5.67</v>
      </c>
      <c r="N570" s="89">
        <f t="shared" si="72"/>
        <v>8.33</v>
      </c>
      <c r="O570" s="89">
        <f t="shared" si="73"/>
        <v>4.4566828517842678</v>
      </c>
      <c r="P570" s="97">
        <f t="shared" si="74"/>
        <v>4.1866828517842682</v>
      </c>
      <c r="Q570" s="135">
        <f t="shared" si="77"/>
        <v>3.493953720661277E-5</v>
      </c>
      <c r="R570" s="89">
        <f t="shared" si="77"/>
        <v>6.5060462793387248E-5</v>
      </c>
      <c r="S570" s="89">
        <f t="shared" si="78"/>
        <v>2.1379620895022301E-6</v>
      </c>
      <c r="T570" s="136">
        <f t="shared" si="78"/>
        <v>4.6773514128719724E-9</v>
      </c>
      <c r="U570" s="137">
        <f t="shared" si="79"/>
        <v>0.34939537206612764</v>
      </c>
      <c r="V570" s="88">
        <f t="shared" si="75"/>
        <v>1.4833171482157317</v>
      </c>
      <c r="W570" s="86">
        <f t="shared" si="80"/>
        <v>3.8733171482157323</v>
      </c>
      <c r="X570" s="90">
        <f t="shared" si="76"/>
        <v>0.33939537206612763</v>
      </c>
    </row>
    <row r="571" spans="13:24" x14ac:dyDescent="0.25">
      <c r="M571" s="91">
        <v>5.68</v>
      </c>
      <c r="N571" s="89">
        <f t="shared" si="72"/>
        <v>8.32</v>
      </c>
      <c r="O571" s="89">
        <f t="shared" si="73"/>
        <v>4.4632150081220212</v>
      </c>
      <c r="P571" s="97">
        <f t="shared" si="74"/>
        <v>4.1832150081220218</v>
      </c>
      <c r="Q571" s="135">
        <f t="shared" si="77"/>
        <v>3.4417949408760491E-5</v>
      </c>
      <c r="R571" s="89">
        <f t="shared" si="77"/>
        <v>6.5582050591239419E-5</v>
      </c>
      <c r="S571" s="89">
        <f t="shared" si="78"/>
        <v>2.0892961308540377E-6</v>
      </c>
      <c r="T571" s="136">
        <f t="shared" si="78"/>
        <v>4.7863009232263728E-9</v>
      </c>
      <c r="U571" s="137">
        <f t="shared" si="79"/>
        <v>0.34417949408760523</v>
      </c>
      <c r="V571" s="88">
        <f t="shared" si="75"/>
        <v>1.4967849918779779</v>
      </c>
      <c r="W571" s="86">
        <f t="shared" si="80"/>
        <v>3.8567849918779791</v>
      </c>
      <c r="X571" s="90">
        <f t="shared" si="76"/>
        <v>0.33417949408760522</v>
      </c>
    </row>
    <row r="572" spans="13:24" x14ac:dyDescent="0.25">
      <c r="M572" s="91">
        <v>5.69</v>
      </c>
      <c r="N572" s="89">
        <f t="shared" si="72"/>
        <v>8.3099999999999987</v>
      </c>
      <c r="O572" s="89">
        <f t="shared" si="73"/>
        <v>4.4697991375899475</v>
      </c>
      <c r="P572" s="97">
        <f t="shared" si="74"/>
        <v>4.1797991375899475</v>
      </c>
      <c r="Q572" s="135">
        <f t="shared" si="77"/>
        <v>3.3900090875364116E-5</v>
      </c>
      <c r="R572" s="89">
        <f t="shared" si="77"/>
        <v>6.6099909124635753E-5</v>
      </c>
      <c r="S572" s="89">
        <f t="shared" si="78"/>
        <v>2.0417379446695244E-6</v>
      </c>
      <c r="T572" s="136">
        <f t="shared" si="78"/>
        <v>4.8977881936844683E-9</v>
      </c>
      <c r="U572" s="137">
        <f t="shared" si="79"/>
        <v>0.33900090875364158</v>
      </c>
      <c r="V572" s="88">
        <f t="shared" si="75"/>
        <v>1.5102008624100529</v>
      </c>
      <c r="W572" s="86">
        <f t="shared" si="80"/>
        <v>3.8402008624100512</v>
      </c>
      <c r="X572" s="90">
        <f t="shared" si="76"/>
        <v>0.32900090875364157</v>
      </c>
    </row>
    <row r="573" spans="13:24" x14ac:dyDescent="0.25">
      <c r="M573" s="91">
        <v>5.7</v>
      </c>
      <c r="N573" s="89">
        <f t="shared" si="72"/>
        <v>8.3000000000000007</v>
      </c>
      <c r="O573" s="89">
        <f t="shared" si="73"/>
        <v>4.4764348624364851</v>
      </c>
      <c r="P573" s="97">
        <f t="shared" si="74"/>
        <v>4.1764348624364853</v>
      </c>
      <c r="Q573" s="135">
        <f t="shared" si="77"/>
        <v>3.3386057541687759E-5</v>
      </c>
      <c r="R573" s="89">
        <f t="shared" si="77"/>
        <v>6.6613942458312192E-5</v>
      </c>
      <c r="S573" s="89">
        <f t="shared" si="78"/>
        <v>1.9952623149688749E-6</v>
      </c>
      <c r="T573" s="136">
        <f t="shared" si="78"/>
        <v>5.0118723362727114E-9</v>
      </c>
      <c r="U573" s="137">
        <f t="shared" si="79"/>
        <v>0.33386057541687775</v>
      </c>
      <c r="V573" s="88">
        <f t="shared" si="75"/>
        <v>1.5235651375635149</v>
      </c>
      <c r="W573" s="86">
        <f t="shared" si="80"/>
        <v>3.8235651375635156</v>
      </c>
      <c r="X573" s="90">
        <f t="shared" si="76"/>
        <v>0.32386057541687774</v>
      </c>
    </row>
    <row r="574" spans="13:24" x14ac:dyDescent="0.25">
      <c r="M574" s="91">
        <v>5.71</v>
      </c>
      <c r="N574" s="89">
        <f t="shared" si="72"/>
        <v>8.2899999999999991</v>
      </c>
      <c r="O574" s="89">
        <f t="shared" si="73"/>
        <v>4.4831217954874116</v>
      </c>
      <c r="P574" s="97">
        <f t="shared" si="74"/>
        <v>4.1731217954874111</v>
      </c>
      <c r="Q574" s="135">
        <f t="shared" si="77"/>
        <v>3.2875941918416751E-5</v>
      </c>
      <c r="R574" s="89">
        <f t="shared" si="77"/>
        <v>6.7124058081583207E-5</v>
      </c>
      <c r="S574" s="89">
        <f t="shared" si="78"/>
        <v>1.9498445997580441E-6</v>
      </c>
      <c r="T574" s="136">
        <f t="shared" si="78"/>
        <v>5.1286138399136542E-9</v>
      </c>
      <c r="U574" s="137">
        <f t="shared" si="79"/>
        <v>0.32875941918416762</v>
      </c>
      <c r="V574" s="88">
        <f t="shared" si="75"/>
        <v>1.5368782045125888</v>
      </c>
      <c r="W574" s="86">
        <f t="shared" si="80"/>
        <v>3.8068782045125875</v>
      </c>
      <c r="X574" s="90">
        <f t="shared" si="76"/>
        <v>0.31875941918416761</v>
      </c>
    </row>
    <row r="575" spans="13:24" x14ac:dyDescent="0.25">
      <c r="M575" s="91">
        <v>5.72</v>
      </c>
      <c r="N575" s="89">
        <f t="shared" si="72"/>
        <v>8.2800000000000011</v>
      </c>
      <c r="O575" s="89">
        <f t="shared" si="73"/>
        <v>4.489859540490392</v>
      </c>
      <c r="P575" s="97">
        <f t="shared" si="74"/>
        <v>4.1698595404903926</v>
      </c>
      <c r="Q575" s="135">
        <f t="shared" si="77"/>
        <v>3.2369833050726309E-5</v>
      </c>
      <c r="R575" s="89">
        <f t="shared" si="77"/>
        <v>6.7630166949273607E-5</v>
      </c>
      <c r="S575" s="89">
        <f t="shared" si="78"/>
        <v>1.9054607179632462E-6</v>
      </c>
      <c r="T575" s="136">
        <f t="shared" si="78"/>
        <v>5.2480746024976932E-9</v>
      </c>
      <c r="U575" s="137">
        <f t="shared" si="79"/>
        <v>0.32369833050726338</v>
      </c>
      <c r="V575" s="88">
        <f t="shared" si="75"/>
        <v>1.5501404595096071</v>
      </c>
      <c r="W575" s="86">
        <f t="shared" si="80"/>
        <v>3.7901404595096091</v>
      </c>
      <c r="X575" s="90">
        <f t="shared" si="76"/>
        <v>0.31369833050726337</v>
      </c>
    </row>
    <row r="576" spans="13:24" x14ac:dyDescent="0.25">
      <c r="M576" s="91">
        <v>5.73</v>
      </c>
      <c r="N576" s="89">
        <f t="shared" si="72"/>
        <v>8.27</v>
      </c>
      <c r="O576" s="89">
        <f t="shared" si="73"/>
        <v>4.4966476924633332</v>
      </c>
      <c r="P576" s="97">
        <f t="shared" si="74"/>
        <v>4.1666476924633331</v>
      </c>
      <c r="Q576" s="135">
        <f t="shared" si="77"/>
        <v>3.1867816483360609E-5</v>
      </c>
      <c r="R576" s="89">
        <f t="shared" si="77"/>
        <v>6.8132183516639349E-5</v>
      </c>
      <c r="S576" s="89">
        <f t="shared" si="78"/>
        <v>1.8620871366628635E-6</v>
      </c>
      <c r="T576" s="136">
        <f t="shared" si="78"/>
        <v>5.3703179637025321E-9</v>
      </c>
      <c r="U576" s="137">
        <f t="shared" si="79"/>
        <v>0.31867816483360623</v>
      </c>
      <c r="V576" s="88">
        <f t="shared" si="75"/>
        <v>1.5633523075366673</v>
      </c>
      <c r="W576" s="86">
        <f t="shared" si="80"/>
        <v>3.7733523075366664</v>
      </c>
      <c r="X576" s="90">
        <f t="shared" si="76"/>
        <v>0.30867816483360622</v>
      </c>
    </row>
    <row r="577" spans="13:24" x14ac:dyDescent="0.25">
      <c r="M577" s="91">
        <v>5.74</v>
      </c>
      <c r="N577" s="89">
        <f t="shared" si="72"/>
        <v>8.26</v>
      </c>
      <c r="O577" s="89">
        <f t="shared" si="73"/>
        <v>4.5034858380459166</v>
      </c>
      <c r="P577" s="97">
        <f t="shared" si="74"/>
        <v>4.1634858380459168</v>
      </c>
      <c r="Q577" s="135">
        <f t="shared" si="77"/>
        <v>3.136997423166871E-5</v>
      </c>
      <c r="R577" s="89">
        <f t="shared" si="77"/>
        <v>6.8630025768331166E-5</v>
      </c>
      <c r="S577" s="89">
        <f t="shared" si="78"/>
        <v>1.8197008586099798E-6</v>
      </c>
      <c r="T577" s="136">
        <f t="shared" si="78"/>
        <v>5.4954087385762298E-9</v>
      </c>
      <c r="U577" s="137">
        <f t="shared" si="79"/>
        <v>0.31369974231668746</v>
      </c>
      <c r="V577" s="88">
        <f t="shared" si="75"/>
        <v>1.5765141619540834</v>
      </c>
      <c r="W577" s="86">
        <f t="shared" si="80"/>
        <v>3.7565141619540832</v>
      </c>
      <c r="X577" s="90">
        <f t="shared" si="76"/>
        <v>0.30369974231668745</v>
      </c>
    </row>
    <row r="578" spans="13:24" x14ac:dyDescent="0.25">
      <c r="M578" s="91">
        <v>5.75</v>
      </c>
      <c r="N578" s="89">
        <f t="shared" si="72"/>
        <v>8.25</v>
      </c>
      <c r="O578" s="89">
        <f t="shared" si="73"/>
        <v>4.5103735558537466</v>
      </c>
      <c r="P578" s="97">
        <f t="shared" si="74"/>
        <v>4.1603735558537469</v>
      </c>
      <c r="Q578" s="135">
        <f t="shared" si="77"/>
        <v>3.0876384758523721E-5</v>
      </c>
      <c r="R578" s="89">
        <f t="shared" si="77"/>
        <v>6.912361524147625E-5</v>
      </c>
      <c r="S578" s="89">
        <f t="shared" si="78"/>
        <v>1.7782794100389193E-6</v>
      </c>
      <c r="T578" s="136">
        <f t="shared" si="78"/>
        <v>5.6234132519034744E-9</v>
      </c>
      <c r="U578" s="137">
        <f t="shared" si="79"/>
        <v>0.30876384758523734</v>
      </c>
      <c r="V578" s="88">
        <f t="shared" si="75"/>
        <v>1.5896264441462531</v>
      </c>
      <c r="W578" s="86">
        <f t="shared" si="80"/>
        <v>3.7396264441462534</v>
      </c>
      <c r="X578" s="90">
        <f t="shared" si="76"/>
        <v>0.29876384758523733</v>
      </c>
    </row>
    <row r="579" spans="13:24" x14ac:dyDescent="0.25">
      <c r="M579" s="91">
        <v>5.76</v>
      </c>
      <c r="N579" s="89">
        <f t="shared" ref="N579:N642" si="81">14-M579</f>
        <v>8.24</v>
      </c>
      <c r="O579" s="89">
        <f t="shared" ref="O579:O642" si="82">-LOG(10^-$B$3/(1+10^(M579-$A$3)))</f>
        <v>4.5173104168345093</v>
      </c>
      <c r="P579" s="97">
        <f t="shared" ref="P579:P642" si="83">-LOG(10^-$B$3/(1+10^($A$3-M579)))</f>
        <v>4.1573104168345099</v>
      </c>
      <c r="Q579" s="135">
        <f t="shared" si="77"/>
        <v>3.0387122957040019E-5</v>
      </c>
      <c r="R579" s="89">
        <f t="shared" si="77"/>
        <v>6.961287704295986E-5</v>
      </c>
      <c r="S579" s="89">
        <f t="shared" si="78"/>
        <v>1.7378008287493753E-6</v>
      </c>
      <c r="T579" s="136">
        <f t="shared" si="78"/>
        <v>5.754399373371552E-9</v>
      </c>
      <c r="U579" s="137">
        <f t="shared" si="79"/>
        <v>0.30387122957040053</v>
      </c>
      <c r="V579" s="88">
        <f t="shared" ref="V579:V642" si="84">ABS(P579-M579)</f>
        <v>1.6026895831654899</v>
      </c>
      <c r="W579" s="86">
        <f t="shared" si="80"/>
        <v>3.7226895831654909</v>
      </c>
      <c r="X579" s="90">
        <f t="shared" ref="X579:X642" si="85">ABS($J$2-U579)</f>
        <v>0.29387122957040052</v>
      </c>
    </row>
    <row r="580" spans="13:24" x14ac:dyDescent="0.25">
      <c r="M580" s="91">
        <v>5.77</v>
      </c>
      <c r="N580" s="89">
        <f t="shared" si="81"/>
        <v>8.23</v>
      </c>
      <c r="O580" s="89">
        <f t="shared" si="82"/>
        <v>4.5242959846255708</v>
      </c>
      <c r="P580" s="97">
        <f t="shared" si="83"/>
        <v>4.1542959846255716</v>
      </c>
      <c r="Q580" s="135">
        <f t="shared" ref="Q580:R643" si="86">10^-O580</f>
        <v>2.9902260138989227E-5</v>
      </c>
      <c r="R580" s="89">
        <f t="shared" si="86"/>
        <v>7.0097739861010717E-5</v>
      </c>
      <c r="S580" s="89">
        <f t="shared" ref="S580:T643" si="87">10^-M580</f>
        <v>1.6982436524617446E-6</v>
      </c>
      <c r="T580" s="136">
        <f t="shared" si="87"/>
        <v>5.8884365535558713E-9</v>
      </c>
      <c r="U580" s="137">
        <f t="shared" ref="U580:U643" si="88">Q580/(Q580+R580)</f>
        <v>0.29902260138989245</v>
      </c>
      <c r="V580" s="88">
        <f t="shared" si="84"/>
        <v>1.615704015374428</v>
      </c>
      <c r="W580" s="86">
        <f t="shared" ref="W580:W643" si="89">ABS(O580-N580)</f>
        <v>3.7057040153744296</v>
      </c>
      <c r="X580" s="90">
        <f t="shared" si="85"/>
        <v>0.28902260138989244</v>
      </c>
    </row>
    <row r="581" spans="13:24" x14ac:dyDescent="0.25">
      <c r="M581" s="91">
        <v>5.78</v>
      </c>
      <c r="N581" s="89">
        <f t="shared" si="81"/>
        <v>8.2199999999999989</v>
      </c>
      <c r="O581" s="89">
        <f t="shared" si="82"/>
        <v>4.5313298159124624</v>
      </c>
      <c r="P581" s="97">
        <f t="shared" si="83"/>
        <v>4.1513298159124625</v>
      </c>
      <c r="Q581" s="135">
        <f t="shared" si="86"/>
        <v>2.9421864028799725E-5</v>
      </c>
      <c r="R581" s="89">
        <f t="shared" si="86"/>
        <v>7.0578135971200175E-5</v>
      </c>
      <c r="S581" s="89">
        <f t="shared" si="87"/>
        <v>1.6595869074375577E-6</v>
      </c>
      <c r="T581" s="136">
        <f t="shared" si="87"/>
        <v>6.0255958607435797E-9</v>
      </c>
      <c r="U581" s="137">
        <f t="shared" si="88"/>
        <v>0.29421864028799755</v>
      </c>
      <c r="V581" s="88">
        <f t="shared" si="84"/>
        <v>1.6286701840875377</v>
      </c>
      <c r="W581" s="86">
        <f t="shared" si="89"/>
        <v>3.6886701840875364</v>
      </c>
      <c r="X581" s="90">
        <f t="shared" si="85"/>
        <v>0.28421864028799754</v>
      </c>
    </row>
    <row r="582" spans="13:24" x14ac:dyDescent="0.25">
      <c r="M582" s="91">
        <v>5.79</v>
      </c>
      <c r="N582" s="89">
        <f t="shared" si="81"/>
        <v>8.2100000000000009</v>
      </c>
      <c r="O582" s="89">
        <f t="shared" si="82"/>
        <v>4.5384114607876826</v>
      </c>
      <c r="P582" s="97">
        <f t="shared" si="83"/>
        <v>4.148411460787683</v>
      </c>
      <c r="Q582" s="135">
        <f t="shared" si="86"/>
        <v>2.8945998763016225E-5</v>
      </c>
      <c r="R582" s="89">
        <f t="shared" si="86"/>
        <v>7.1054001236983648E-5</v>
      </c>
      <c r="S582" s="89">
        <f t="shared" si="87"/>
        <v>1.6218100973589276E-6</v>
      </c>
      <c r="T582" s="136">
        <f t="shared" si="87"/>
        <v>6.1659500186148016E-9</v>
      </c>
      <c r="U582" s="137">
        <f t="shared" si="88"/>
        <v>0.28945998763016262</v>
      </c>
      <c r="V582" s="88">
        <f t="shared" si="84"/>
        <v>1.6415885392123171</v>
      </c>
      <c r="W582" s="86">
        <f t="shared" si="89"/>
        <v>3.6715885392123182</v>
      </c>
      <c r="X582" s="90">
        <f t="shared" si="85"/>
        <v>0.27945998763016261</v>
      </c>
    </row>
    <row r="583" spans="13:24" x14ac:dyDescent="0.25">
      <c r="M583" s="91">
        <v>5.8</v>
      </c>
      <c r="N583" s="89">
        <f t="shared" si="81"/>
        <v>8.1999999999999993</v>
      </c>
      <c r="O583" s="89">
        <f t="shared" si="82"/>
        <v>4.5455404631092931</v>
      </c>
      <c r="P583" s="97">
        <f t="shared" si="83"/>
        <v>4.1455404631092936</v>
      </c>
      <c r="Q583" s="135">
        <f t="shared" si="86"/>
        <v>2.8474724895080152E-5</v>
      </c>
      <c r="R583" s="89">
        <f t="shared" si="86"/>
        <v>7.152527510491986E-5</v>
      </c>
      <c r="S583" s="89">
        <f t="shared" si="87"/>
        <v>1.5848931924611111E-6</v>
      </c>
      <c r="T583" s="136">
        <f t="shared" si="87"/>
        <v>6.3095734448019329E-9</v>
      </c>
      <c r="U583" s="137">
        <f t="shared" si="88"/>
        <v>0.28474724895080145</v>
      </c>
      <c r="V583" s="88">
        <f t="shared" si="84"/>
        <v>1.6544595368907062</v>
      </c>
      <c r="W583" s="86">
        <f t="shared" si="89"/>
        <v>3.6544595368907062</v>
      </c>
      <c r="X583" s="90">
        <f t="shared" si="85"/>
        <v>0.27474724895080144</v>
      </c>
    </row>
    <row r="584" spans="13:24" x14ac:dyDescent="0.25">
      <c r="M584" s="91">
        <v>5.81</v>
      </c>
      <c r="N584" s="89">
        <f t="shared" si="81"/>
        <v>8.1900000000000013</v>
      </c>
      <c r="O584" s="89">
        <f t="shared" si="82"/>
        <v>4.5527163608587742</v>
      </c>
      <c r="P584" s="97">
        <f t="shared" si="83"/>
        <v>4.1427163608587749</v>
      </c>
      <c r="Q584" s="135">
        <f t="shared" si="86"/>
        <v>2.8008099405284785E-5</v>
      </c>
      <c r="R584" s="89">
        <f t="shared" si="86"/>
        <v>7.1991900594715105E-5</v>
      </c>
      <c r="S584" s="89">
        <f t="shared" si="87"/>
        <v>1.5488166189124819E-6</v>
      </c>
      <c r="T584" s="136">
        <f t="shared" si="87"/>
        <v>6.4565422903465326E-9</v>
      </c>
      <c r="U584" s="137">
        <f t="shared" si="88"/>
        <v>0.2800809940528482</v>
      </c>
      <c r="V584" s="88">
        <f t="shared" si="84"/>
        <v>1.6672836391412247</v>
      </c>
      <c r="W584" s="86">
        <f t="shared" si="89"/>
        <v>3.6372836391412271</v>
      </c>
      <c r="X584" s="90">
        <f t="shared" si="85"/>
        <v>0.27008099405284819</v>
      </c>
    </row>
    <row r="585" spans="13:24" x14ac:dyDescent="0.25">
      <c r="M585" s="91">
        <v>5.82</v>
      </c>
      <c r="N585" s="89">
        <f t="shared" si="81"/>
        <v>8.18</v>
      </c>
      <c r="O585" s="89">
        <f t="shared" si="82"/>
        <v>4.5599386864976292</v>
      </c>
      <c r="P585" s="97">
        <f t="shared" si="83"/>
        <v>4.1399386864976293</v>
      </c>
      <c r="Q585" s="135">
        <f t="shared" si="86"/>
        <v>2.7546175715746356E-5</v>
      </c>
      <c r="R585" s="89">
        <f t="shared" si="86"/>
        <v>7.2453824284253598E-5</v>
      </c>
      <c r="S585" s="89">
        <f t="shared" si="87"/>
        <v>1.5135612484362063E-6</v>
      </c>
      <c r="T585" s="136">
        <f t="shared" si="87"/>
        <v>6.6069344800759602E-9</v>
      </c>
      <c r="U585" s="137">
        <f t="shared" si="88"/>
        <v>0.27546175715746368</v>
      </c>
      <c r="V585" s="88">
        <f t="shared" si="84"/>
        <v>1.680061313502371</v>
      </c>
      <c r="W585" s="86">
        <f t="shared" si="89"/>
        <v>3.6200613135023705</v>
      </c>
      <c r="X585" s="90">
        <f t="shared" si="85"/>
        <v>0.26546175715746367</v>
      </c>
    </row>
    <row r="586" spans="13:24" x14ac:dyDescent="0.25">
      <c r="M586" s="91">
        <v>5.83</v>
      </c>
      <c r="N586" s="89">
        <f t="shared" si="81"/>
        <v>8.17</v>
      </c>
      <c r="O586" s="89">
        <f t="shared" si="82"/>
        <v>4.5672069673222531</v>
      </c>
      <c r="P586" s="97">
        <f t="shared" si="83"/>
        <v>4.1372069673222533</v>
      </c>
      <c r="Q586" s="135">
        <f t="shared" si="86"/>
        <v>2.7089003710224722E-5</v>
      </c>
      <c r="R586" s="89">
        <f t="shared" si="86"/>
        <v>7.2910996289775144E-5</v>
      </c>
      <c r="S586" s="89">
        <f t="shared" si="87"/>
        <v>1.4791083881682056E-6</v>
      </c>
      <c r="T586" s="136">
        <f t="shared" si="87"/>
        <v>6.7608297539198166E-9</v>
      </c>
      <c r="U586" s="137">
        <f t="shared" si="88"/>
        <v>0.27089003710224757</v>
      </c>
      <c r="V586" s="88">
        <f t="shared" si="84"/>
        <v>1.6927930326777467</v>
      </c>
      <c r="W586" s="86">
        <f t="shared" si="89"/>
        <v>3.6027930326777469</v>
      </c>
      <c r="X586" s="90">
        <f t="shared" si="85"/>
        <v>0.26089003710224756</v>
      </c>
    </row>
    <row r="587" spans="13:24" x14ac:dyDescent="0.25">
      <c r="M587" s="91">
        <v>5.84</v>
      </c>
      <c r="N587" s="89">
        <f t="shared" si="81"/>
        <v>8.16</v>
      </c>
      <c r="O587" s="89">
        <f t="shared" si="82"/>
        <v>4.5745207258165808</v>
      </c>
      <c r="P587" s="97">
        <f t="shared" si="83"/>
        <v>4.1345207258165813</v>
      </c>
      <c r="Q587" s="135">
        <f t="shared" si="86"/>
        <v>2.6636629758619263E-5</v>
      </c>
      <c r="R587" s="89">
        <f t="shared" si="86"/>
        <v>7.3363370241380694E-5</v>
      </c>
      <c r="S587" s="89">
        <f t="shared" si="87"/>
        <v>1.445439770745926E-6</v>
      </c>
      <c r="T587" s="136">
        <f t="shared" si="87"/>
        <v>6.9183097091893386E-9</v>
      </c>
      <c r="U587" s="137">
        <f t="shared" si="88"/>
        <v>0.26636629758619274</v>
      </c>
      <c r="V587" s="88">
        <f t="shared" si="84"/>
        <v>1.7054792741834186</v>
      </c>
      <c r="W587" s="86">
        <f t="shared" si="89"/>
        <v>3.5854792741834194</v>
      </c>
      <c r="X587" s="90">
        <f t="shared" si="85"/>
        <v>0.25636629758619273</v>
      </c>
    </row>
    <row r="588" spans="13:24" x14ac:dyDescent="0.25">
      <c r="M588" s="91">
        <v>5.85</v>
      </c>
      <c r="N588" s="89">
        <f t="shared" si="81"/>
        <v>8.15</v>
      </c>
      <c r="O588" s="89">
        <f t="shared" si="82"/>
        <v>4.5818794800020619</v>
      </c>
      <c r="P588" s="97">
        <f t="shared" si="83"/>
        <v>4.1318794800020626</v>
      </c>
      <c r="Q588" s="135">
        <f t="shared" si="86"/>
        <v>2.6189096745958144E-5</v>
      </c>
      <c r="R588" s="89">
        <f t="shared" si="86"/>
        <v>7.3810903254041698E-5</v>
      </c>
      <c r="S588" s="89">
        <f t="shared" si="87"/>
        <v>1.4125375446227531E-6</v>
      </c>
      <c r="T588" s="136">
        <f t="shared" si="87"/>
        <v>7.0794578438413513E-9</v>
      </c>
      <c r="U588" s="137">
        <f t="shared" si="88"/>
        <v>0.26189096745958185</v>
      </c>
      <c r="V588" s="88">
        <f t="shared" si="84"/>
        <v>1.718120519997937</v>
      </c>
      <c r="W588" s="86">
        <f t="shared" si="89"/>
        <v>3.5681205199979384</v>
      </c>
      <c r="X588" s="90">
        <f t="shared" si="85"/>
        <v>0.25189096745958184</v>
      </c>
    </row>
    <row r="589" spans="13:24" x14ac:dyDescent="0.25">
      <c r="M589" s="91">
        <v>5.86</v>
      </c>
      <c r="N589" s="89">
        <f t="shared" si="81"/>
        <v>8.14</v>
      </c>
      <c r="O589" s="89">
        <f t="shared" si="82"/>
        <v>4.5892827437845156</v>
      </c>
      <c r="P589" s="97">
        <f t="shared" si="83"/>
        <v>4.1292827437845157</v>
      </c>
      <c r="Q589" s="135">
        <f t="shared" si="86"/>
        <v>2.574644410569299E-5</v>
      </c>
      <c r="R589" s="89">
        <f t="shared" si="86"/>
        <v>7.4253555894306968E-5</v>
      </c>
      <c r="S589" s="89">
        <f t="shared" si="87"/>
        <v>1.3803842646028812E-6</v>
      </c>
      <c r="T589" s="136">
        <f t="shared" si="87"/>
        <v>7.2443596007498722E-9</v>
      </c>
      <c r="U589" s="137">
        <f t="shared" si="88"/>
        <v>0.25746444105693</v>
      </c>
      <c r="V589" s="88">
        <f t="shared" si="84"/>
        <v>1.7307172562154847</v>
      </c>
      <c r="W589" s="86">
        <f t="shared" si="89"/>
        <v>3.550717256215485</v>
      </c>
      <c r="X589" s="90">
        <f t="shared" si="85"/>
        <v>0.24746444105693</v>
      </c>
    </row>
    <row r="590" spans="13:24" x14ac:dyDescent="0.25">
      <c r="M590" s="91">
        <v>5.87</v>
      </c>
      <c r="N590" s="89">
        <f t="shared" si="81"/>
        <v>8.129999999999999</v>
      </c>
      <c r="O590" s="89">
        <f t="shared" si="82"/>
        <v>4.5967300272974532</v>
      </c>
      <c r="P590" s="97">
        <f t="shared" si="83"/>
        <v>4.1267300272974525</v>
      </c>
      <c r="Q590" s="135">
        <f t="shared" si="86"/>
        <v>2.5308707857105656E-5</v>
      </c>
      <c r="R590" s="89">
        <f t="shared" si="86"/>
        <v>7.4691292142894328E-5</v>
      </c>
      <c r="S590" s="89">
        <f t="shared" si="87"/>
        <v>1.3489628825916527E-6</v>
      </c>
      <c r="T590" s="136">
        <f t="shared" si="87"/>
        <v>7.4131024130091707E-9</v>
      </c>
      <c r="U590" s="137">
        <f t="shared" si="88"/>
        <v>0.25308707857105656</v>
      </c>
      <c r="V590" s="88">
        <f t="shared" si="84"/>
        <v>1.7432699727025476</v>
      </c>
      <c r="W590" s="86">
        <f t="shared" si="89"/>
        <v>3.5332699727025458</v>
      </c>
      <c r="X590" s="90">
        <f t="shared" si="85"/>
        <v>0.24308707857105655</v>
      </c>
    </row>
    <row r="591" spans="13:24" x14ac:dyDescent="0.25">
      <c r="M591" s="91">
        <v>5.88</v>
      </c>
      <c r="N591" s="89">
        <f t="shared" si="81"/>
        <v>8.120000000000001</v>
      </c>
      <c r="O591" s="89">
        <f t="shared" si="82"/>
        <v>4.604220837241459</v>
      </c>
      <c r="P591" s="97">
        <f t="shared" si="83"/>
        <v>4.1242208372414595</v>
      </c>
      <c r="Q591" s="135">
        <f t="shared" si="86"/>
        <v>2.4875920646628911E-5</v>
      </c>
      <c r="R591" s="89">
        <f t="shared" si="86"/>
        <v>7.5124079353371063E-5</v>
      </c>
      <c r="S591" s="89">
        <f t="shared" si="87"/>
        <v>1.3182567385564063E-6</v>
      </c>
      <c r="T591" s="136">
        <f t="shared" si="87"/>
        <v>7.5857757502918059E-9</v>
      </c>
      <c r="U591" s="137">
        <f t="shared" si="88"/>
        <v>0.24875920646628916</v>
      </c>
      <c r="V591" s="88">
        <f t="shared" si="84"/>
        <v>1.7557791627585404</v>
      </c>
      <c r="W591" s="86">
        <f t="shared" si="89"/>
        <v>3.515779162758542</v>
      </c>
      <c r="X591" s="90">
        <f t="shared" si="85"/>
        <v>0.23875920646628915</v>
      </c>
    </row>
    <row r="592" spans="13:24" x14ac:dyDescent="0.25">
      <c r="M592" s="91">
        <v>5.89</v>
      </c>
      <c r="N592" s="89">
        <f t="shared" si="81"/>
        <v>8.11</v>
      </c>
      <c r="O592" s="89">
        <f t="shared" si="82"/>
        <v>4.6117546772192588</v>
      </c>
      <c r="P592" s="97">
        <f t="shared" si="83"/>
        <v>4.1217546772192586</v>
      </c>
      <c r="Q592" s="135">
        <f t="shared" si="86"/>
        <v>2.4448111792880302E-5</v>
      </c>
      <c r="R592" s="89">
        <f t="shared" si="86"/>
        <v>7.5551888207119693E-5</v>
      </c>
      <c r="S592" s="89">
        <f t="shared" si="87"/>
        <v>1.2882495516931333E-6</v>
      </c>
      <c r="T592" s="136">
        <f t="shared" si="87"/>
        <v>7.7624711662869124E-9</v>
      </c>
      <c r="U592" s="137">
        <f t="shared" si="88"/>
        <v>0.24448111792880303</v>
      </c>
      <c r="V592" s="88">
        <f t="shared" si="84"/>
        <v>1.7682453227807411</v>
      </c>
      <c r="W592" s="86">
        <f t="shared" si="89"/>
        <v>3.4982453227807406</v>
      </c>
      <c r="X592" s="90">
        <f t="shared" si="85"/>
        <v>0.23448111792880302</v>
      </c>
    </row>
    <row r="593" spans="13:24" x14ac:dyDescent="0.25">
      <c r="M593" s="91">
        <v>5.9</v>
      </c>
      <c r="N593" s="89">
        <f t="shared" si="81"/>
        <v>8.1</v>
      </c>
      <c r="O593" s="89">
        <f t="shared" si="82"/>
        <v>4.619331048066095</v>
      </c>
      <c r="P593" s="97">
        <f t="shared" si="83"/>
        <v>4.119331048066095</v>
      </c>
      <c r="Q593" s="135">
        <f t="shared" si="86"/>
        <v>2.4025307335204179E-5</v>
      </c>
      <c r="R593" s="89">
        <f t="shared" si="86"/>
        <v>7.5974692664795707E-5</v>
      </c>
      <c r="S593" s="89">
        <f t="shared" si="87"/>
        <v>1.2589254117941642E-6</v>
      </c>
      <c r="T593" s="136">
        <f t="shared" si="87"/>
        <v>7.9432823472428087E-9</v>
      </c>
      <c r="U593" s="137">
        <f t="shared" si="88"/>
        <v>0.24025307335204207</v>
      </c>
      <c r="V593" s="88">
        <f t="shared" si="84"/>
        <v>1.7806689519339054</v>
      </c>
      <c r="W593" s="86">
        <f t="shared" si="89"/>
        <v>3.4806689519339047</v>
      </c>
      <c r="X593" s="90">
        <f t="shared" si="85"/>
        <v>0.23025307335204206</v>
      </c>
    </row>
    <row r="594" spans="13:24" x14ac:dyDescent="0.25">
      <c r="M594" s="91">
        <v>5.91</v>
      </c>
      <c r="N594" s="89">
        <f t="shared" si="81"/>
        <v>8.09</v>
      </c>
      <c r="O594" s="89">
        <f t="shared" si="82"/>
        <v>4.6269494481750932</v>
      </c>
      <c r="P594" s="97">
        <f t="shared" si="83"/>
        <v>4.1169494481750935</v>
      </c>
      <c r="Q594" s="135">
        <f t="shared" si="86"/>
        <v>2.3607530085516086E-5</v>
      </c>
      <c r="R594" s="89">
        <f t="shared" si="86"/>
        <v>7.6392469914483732E-5</v>
      </c>
      <c r="S594" s="89">
        <f t="shared" si="87"/>
        <v>1.230268770812379E-6</v>
      </c>
      <c r="T594" s="136">
        <f t="shared" si="87"/>
        <v>8.1283051616409861E-9</v>
      </c>
      <c r="U594" s="137">
        <f t="shared" si="88"/>
        <v>0.23607530085516129</v>
      </c>
      <c r="V594" s="88">
        <f t="shared" si="84"/>
        <v>1.7930505518249067</v>
      </c>
      <c r="W594" s="86">
        <f t="shared" si="89"/>
        <v>3.4630505518249066</v>
      </c>
      <c r="X594" s="90">
        <f t="shared" si="85"/>
        <v>0.22607530085516128</v>
      </c>
    </row>
    <row r="595" spans="13:24" x14ac:dyDescent="0.25">
      <c r="M595" s="91">
        <v>5.92</v>
      </c>
      <c r="N595" s="89">
        <f t="shared" si="81"/>
        <v>8.08</v>
      </c>
      <c r="O595" s="89">
        <f t="shared" si="82"/>
        <v>4.6346093738172831</v>
      </c>
      <c r="P595" s="97">
        <f t="shared" si="83"/>
        <v>4.1146093738172835</v>
      </c>
      <c r="Q595" s="135">
        <f t="shared" si="86"/>
        <v>2.3194799683241587E-5</v>
      </c>
      <c r="R595" s="89">
        <f t="shared" si="86"/>
        <v>7.6805200316758251E-5</v>
      </c>
      <c r="S595" s="89">
        <f t="shared" si="87"/>
        <v>1.2022644346174125E-6</v>
      </c>
      <c r="T595" s="136">
        <f t="shared" si="87"/>
        <v>8.3176377110267021E-9</v>
      </c>
      <c r="U595" s="137">
        <f t="shared" si="88"/>
        <v>0.23194799683241624</v>
      </c>
      <c r="V595" s="88">
        <f t="shared" si="84"/>
        <v>1.8053906261827164</v>
      </c>
      <c r="W595" s="86">
        <f t="shared" si="89"/>
        <v>3.445390626182717</v>
      </c>
      <c r="X595" s="90">
        <f t="shared" si="85"/>
        <v>0.22194799683241623</v>
      </c>
    </row>
    <row r="596" spans="13:24" x14ac:dyDescent="0.25">
      <c r="M596" s="91">
        <v>5.93</v>
      </c>
      <c r="N596" s="89">
        <f t="shared" si="81"/>
        <v>8.07</v>
      </c>
      <c r="O596" s="89">
        <f t="shared" si="82"/>
        <v>4.6423103194559783</v>
      </c>
      <c r="P596" s="97">
        <f t="shared" si="83"/>
        <v>4.112310319455978</v>
      </c>
      <c r="Q596" s="135">
        <f t="shared" si="86"/>
        <v>2.2787132653141595E-5</v>
      </c>
      <c r="R596" s="89">
        <f t="shared" si="86"/>
        <v>7.7212867346858335E-5</v>
      </c>
      <c r="S596" s="89">
        <f t="shared" si="87"/>
        <v>1.1748975549395291E-6</v>
      </c>
      <c r="T596" s="136">
        <f t="shared" si="87"/>
        <v>8.5113803820237553E-9</v>
      </c>
      <c r="U596" s="137">
        <f t="shared" si="88"/>
        <v>0.22787132653141609</v>
      </c>
      <c r="V596" s="88">
        <f t="shared" si="84"/>
        <v>1.8176896805440217</v>
      </c>
      <c r="W596" s="86">
        <f t="shared" si="89"/>
        <v>3.427689680544022</v>
      </c>
      <c r="X596" s="90">
        <f t="shared" si="85"/>
        <v>0.21787132653141608</v>
      </c>
    </row>
    <row r="597" spans="13:24" x14ac:dyDescent="0.25">
      <c r="M597" s="91">
        <v>5.94</v>
      </c>
      <c r="N597" s="89">
        <f t="shared" si="81"/>
        <v>8.0599999999999987</v>
      </c>
      <c r="O597" s="89">
        <f t="shared" si="82"/>
        <v>4.6500517780552384</v>
      </c>
      <c r="P597" s="97">
        <f t="shared" si="83"/>
        <v>4.1100517780552384</v>
      </c>
      <c r="Q597" s="135">
        <f t="shared" si="86"/>
        <v>2.2384542465816906E-5</v>
      </c>
      <c r="R597" s="89">
        <f t="shared" si="86"/>
        <v>7.761545753418302E-5</v>
      </c>
      <c r="S597" s="89">
        <f t="shared" si="87"/>
        <v>1.1481536214968806E-6</v>
      </c>
      <c r="T597" s="136">
        <f t="shared" si="87"/>
        <v>8.7096358995608263E-9</v>
      </c>
      <c r="U597" s="137">
        <f t="shared" si="88"/>
        <v>0.22384542465816923</v>
      </c>
      <c r="V597" s="88">
        <f t="shared" si="84"/>
        <v>1.829948221944762</v>
      </c>
      <c r="W597" s="86">
        <f t="shared" si="89"/>
        <v>3.4099482219447603</v>
      </c>
      <c r="X597" s="90">
        <f t="shared" si="85"/>
        <v>0.21384542465816922</v>
      </c>
    </row>
    <row r="598" spans="13:24" x14ac:dyDescent="0.25">
      <c r="M598" s="91">
        <v>5.95</v>
      </c>
      <c r="N598" s="89">
        <f t="shared" si="81"/>
        <v>8.0500000000000007</v>
      </c>
      <c r="O598" s="89">
        <f t="shared" si="82"/>
        <v>4.657833241382157</v>
      </c>
      <c r="P598" s="97">
        <f t="shared" si="83"/>
        <v>4.1078332413821572</v>
      </c>
      <c r="Q598" s="135">
        <f t="shared" si="86"/>
        <v>2.1987039600684143E-5</v>
      </c>
      <c r="R598" s="89">
        <f t="shared" si="86"/>
        <v>7.8012960399315804E-5</v>
      </c>
      <c r="S598" s="89">
        <f t="shared" si="87"/>
        <v>1.1220184543019616E-6</v>
      </c>
      <c r="T598" s="136">
        <f t="shared" si="87"/>
        <v>8.9125093813374133E-9</v>
      </c>
      <c r="U598" s="137">
        <f t="shared" si="88"/>
        <v>0.21987039600684152</v>
      </c>
      <c r="V598" s="88">
        <f t="shared" si="84"/>
        <v>1.842166758617843</v>
      </c>
      <c r="W598" s="86">
        <f t="shared" si="89"/>
        <v>3.3921667586178437</v>
      </c>
      <c r="X598" s="90">
        <f t="shared" si="85"/>
        <v>0.20987039600684151</v>
      </c>
    </row>
    <row r="599" spans="13:24" x14ac:dyDescent="0.25">
      <c r="M599" s="91">
        <v>5.96</v>
      </c>
      <c r="N599" s="89">
        <f t="shared" si="81"/>
        <v>8.0399999999999991</v>
      </c>
      <c r="O599" s="89">
        <f t="shared" si="82"/>
        <v>4.6656542003027361</v>
      </c>
      <c r="P599" s="97">
        <f t="shared" si="83"/>
        <v>4.1056542003027365</v>
      </c>
      <c r="Q599" s="135">
        <f t="shared" si="86"/>
        <v>2.1594631611218483E-5</v>
      </c>
      <c r="R599" s="89">
        <f t="shared" si="86"/>
        <v>7.8405368388781332E-5</v>
      </c>
      <c r="S599" s="89">
        <f t="shared" si="87"/>
        <v>1.0964781961431832E-6</v>
      </c>
      <c r="T599" s="136">
        <f t="shared" si="87"/>
        <v>9.1201083935590851E-9</v>
      </c>
      <c r="U599" s="137">
        <f t="shared" si="88"/>
        <v>0.21594631611218523</v>
      </c>
      <c r="V599" s="88">
        <f t="shared" si="84"/>
        <v>1.8543457996972634</v>
      </c>
      <c r="W599" s="86">
        <f t="shared" si="89"/>
        <v>3.374345799697263</v>
      </c>
      <c r="X599" s="90">
        <f t="shared" si="85"/>
        <v>0.20594631611218522</v>
      </c>
    </row>
    <row r="600" spans="13:24" x14ac:dyDescent="0.25">
      <c r="M600" s="91">
        <v>5.97</v>
      </c>
      <c r="N600" s="89">
        <f t="shared" si="81"/>
        <v>8.0300000000000011</v>
      </c>
      <c r="O600" s="89">
        <f t="shared" si="82"/>
        <v>4.6735141450711302</v>
      </c>
      <c r="P600" s="97">
        <f t="shared" si="83"/>
        <v>4.1035141450711308</v>
      </c>
      <c r="Q600" s="135">
        <f t="shared" si="86"/>
        <v>2.1207323192259764E-5</v>
      </c>
      <c r="R600" s="89">
        <f t="shared" si="86"/>
        <v>7.8792676807740115E-5</v>
      </c>
      <c r="S600" s="89">
        <f t="shared" si="87"/>
        <v>1.0715193052376047E-6</v>
      </c>
      <c r="T600" s="136">
        <f t="shared" si="87"/>
        <v>9.3325430079698635E-9</v>
      </c>
      <c r="U600" s="137">
        <f t="shared" si="88"/>
        <v>0.21207323192259789</v>
      </c>
      <c r="V600" s="88">
        <f t="shared" si="84"/>
        <v>1.866485854928869</v>
      </c>
      <c r="W600" s="86">
        <f t="shared" si="89"/>
        <v>3.356485854928871</v>
      </c>
      <c r="X600" s="90">
        <f t="shared" si="85"/>
        <v>0.20207323192259788</v>
      </c>
    </row>
    <row r="601" spans="13:24" x14ac:dyDescent="0.25">
      <c r="M601" s="91">
        <v>5.98</v>
      </c>
      <c r="N601" s="89">
        <f t="shared" si="81"/>
        <v>8.02</v>
      </c>
      <c r="O601" s="89">
        <f t="shared" si="82"/>
        <v>4.6814125656120673</v>
      </c>
      <c r="P601" s="97">
        <f t="shared" si="83"/>
        <v>4.1014125656120672</v>
      </c>
      <c r="Q601" s="135">
        <f t="shared" si="86"/>
        <v>2.082511624918154E-5</v>
      </c>
      <c r="R601" s="89">
        <f t="shared" si="86"/>
        <v>7.9174883750818373E-5</v>
      </c>
      <c r="S601" s="89">
        <f t="shared" si="87"/>
        <v>1.0471285480508979E-6</v>
      </c>
      <c r="T601" s="136">
        <f t="shared" si="87"/>
        <v>9.5499258602143453E-9</v>
      </c>
      <c r="U601" s="137">
        <f t="shared" si="88"/>
        <v>0.20825116249181558</v>
      </c>
      <c r="V601" s="88">
        <f t="shared" si="84"/>
        <v>1.8785874343879332</v>
      </c>
      <c r="W601" s="86">
        <f t="shared" si="89"/>
        <v>3.3385874343879323</v>
      </c>
      <c r="X601" s="90">
        <f t="shared" si="85"/>
        <v>0.19825116249181557</v>
      </c>
    </row>
    <row r="602" spans="13:24" x14ac:dyDescent="0.25">
      <c r="M602" s="91">
        <v>5.99</v>
      </c>
      <c r="N602" s="89">
        <f t="shared" si="81"/>
        <v>8.01</v>
      </c>
      <c r="O602" s="89">
        <f t="shared" si="82"/>
        <v>4.6893489517962657</v>
      </c>
      <c r="P602" s="97">
        <f t="shared" si="83"/>
        <v>4.0993489517962658</v>
      </c>
      <c r="Q602" s="135">
        <f t="shared" si="86"/>
        <v>2.0448009968725784E-5</v>
      </c>
      <c r="R602" s="89">
        <f t="shared" si="86"/>
        <v>7.9551990031274163E-5</v>
      </c>
      <c r="S602" s="89">
        <f t="shared" si="87"/>
        <v>1.0232929922807527E-6</v>
      </c>
      <c r="T602" s="136">
        <f t="shared" si="87"/>
        <v>9.7723722095580911E-9</v>
      </c>
      <c r="U602" s="137">
        <f t="shared" si="88"/>
        <v>0.20448009968725794</v>
      </c>
      <c r="V602" s="88">
        <f t="shared" si="84"/>
        <v>1.8906510482037344</v>
      </c>
      <c r="W602" s="86">
        <f t="shared" si="89"/>
        <v>3.3206510482037341</v>
      </c>
      <c r="X602" s="90">
        <f t="shared" si="85"/>
        <v>0.19448009968725793</v>
      </c>
    </row>
    <row r="603" spans="13:24" x14ac:dyDescent="0.25">
      <c r="M603" s="91">
        <v>6</v>
      </c>
      <c r="N603" s="89">
        <f t="shared" si="81"/>
        <v>8</v>
      </c>
      <c r="O603" s="89">
        <f t="shared" si="82"/>
        <v>4.697322793708695</v>
      </c>
      <c r="P603" s="97">
        <f t="shared" si="83"/>
        <v>4.0973227937086953</v>
      </c>
      <c r="Q603" s="135">
        <f t="shared" si="86"/>
        <v>2.0076000891310177E-5</v>
      </c>
      <c r="R603" s="89">
        <f t="shared" si="86"/>
        <v>7.9923999108689797E-5</v>
      </c>
      <c r="S603" s="89">
        <f t="shared" si="87"/>
        <v>9.9999999999999995E-7</v>
      </c>
      <c r="T603" s="136">
        <f t="shared" si="87"/>
        <v>1E-8</v>
      </c>
      <c r="U603" s="137">
        <f t="shared" si="88"/>
        <v>0.20076000891310181</v>
      </c>
      <c r="V603" s="88">
        <f t="shared" si="84"/>
        <v>1.9026772062913047</v>
      </c>
      <c r="W603" s="86">
        <f t="shared" si="89"/>
        <v>3.302677206291305</v>
      </c>
      <c r="X603" s="90">
        <f t="shared" si="85"/>
        <v>0.1907600089131018</v>
      </c>
    </row>
    <row r="604" spans="13:24" x14ac:dyDescent="0.25">
      <c r="M604" s="91">
        <v>6.01</v>
      </c>
      <c r="N604" s="89">
        <f t="shared" si="81"/>
        <v>7.99</v>
      </c>
      <c r="O604" s="89">
        <f t="shared" si="82"/>
        <v>4.705333581909537</v>
      </c>
      <c r="P604" s="97">
        <f t="shared" si="83"/>
        <v>4.0953335819095376</v>
      </c>
      <c r="Q604" s="135">
        <f t="shared" si="86"/>
        <v>1.9709082984618428E-5</v>
      </c>
      <c r="R604" s="89">
        <f t="shared" si="86"/>
        <v>8.0290917015381482E-5</v>
      </c>
      <c r="S604" s="89">
        <f t="shared" si="87"/>
        <v>9.7723722095580961E-7</v>
      </c>
      <c r="T604" s="136">
        <f t="shared" si="87"/>
        <v>1.0232929922807522E-8</v>
      </c>
      <c r="U604" s="137">
        <f t="shared" si="88"/>
        <v>0.19709082984618445</v>
      </c>
      <c r="V604" s="88">
        <f t="shared" si="84"/>
        <v>1.9146664180904622</v>
      </c>
      <c r="W604" s="86">
        <f t="shared" si="89"/>
        <v>3.2846664180904632</v>
      </c>
      <c r="X604" s="90">
        <f t="shared" si="85"/>
        <v>0.18709082984618444</v>
      </c>
    </row>
    <row r="605" spans="13:24" x14ac:dyDescent="0.25">
      <c r="M605" s="91">
        <v>6.02</v>
      </c>
      <c r="N605" s="89">
        <f t="shared" si="81"/>
        <v>7.98</v>
      </c>
      <c r="O605" s="89">
        <f t="shared" si="82"/>
        <v>4.7133808076877344</v>
      </c>
      <c r="P605" s="97">
        <f t="shared" si="83"/>
        <v>4.0933808076877352</v>
      </c>
      <c r="Q605" s="135">
        <f t="shared" si="86"/>
        <v>1.934724771828922E-5</v>
      </c>
      <c r="R605" s="89">
        <f t="shared" si="86"/>
        <v>8.0652752281710612E-5</v>
      </c>
      <c r="S605" s="89">
        <f t="shared" si="87"/>
        <v>9.5499258602143498E-7</v>
      </c>
      <c r="T605" s="136">
        <f t="shared" si="87"/>
        <v>1.0471285480508974E-8</v>
      </c>
      <c r="U605" s="137">
        <f t="shared" si="88"/>
        <v>0.19347247718289254</v>
      </c>
      <c r="V605" s="88">
        <f t="shared" si="84"/>
        <v>1.9266191923122644</v>
      </c>
      <c r="W605" s="86">
        <f t="shared" si="89"/>
        <v>3.2666191923122661</v>
      </c>
      <c r="X605" s="90">
        <f t="shared" si="85"/>
        <v>0.18347247718289253</v>
      </c>
    </row>
    <row r="606" spans="13:24" x14ac:dyDescent="0.25">
      <c r="M606" s="91">
        <v>6.03</v>
      </c>
      <c r="N606" s="89">
        <f t="shared" si="81"/>
        <v>7.97</v>
      </c>
      <c r="O606" s="89">
        <f t="shared" si="82"/>
        <v>4.7214639633070208</v>
      </c>
      <c r="P606" s="97">
        <f t="shared" si="83"/>
        <v>4.0914639633070209</v>
      </c>
      <c r="Q606" s="135">
        <f t="shared" si="86"/>
        <v>1.8990484139524311E-5</v>
      </c>
      <c r="R606" s="89">
        <f t="shared" si="86"/>
        <v>8.1009515860475535E-5</v>
      </c>
      <c r="S606" s="89">
        <f t="shared" si="87"/>
        <v>9.3325430079699009E-7</v>
      </c>
      <c r="T606" s="136">
        <f t="shared" si="87"/>
        <v>1.0715193052376043E-8</v>
      </c>
      <c r="U606" s="137">
        <f t="shared" si="88"/>
        <v>0.18990484139524341</v>
      </c>
      <c r="V606" s="88">
        <f t="shared" si="84"/>
        <v>1.9385360366929794</v>
      </c>
      <c r="W606" s="86">
        <f t="shared" si="89"/>
        <v>3.248536036692979</v>
      </c>
      <c r="X606" s="90">
        <f t="shared" si="85"/>
        <v>0.1799048413952434</v>
      </c>
    </row>
    <row r="607" spans="13:24" x14ac:dyDescent="0.25">
      <c r="M607" s="91">
        <v>6.04</v>
      </c>
      <c r="N607" s="89">
        <f t="shared" si="81"/>
        <v>7.96</v>
      </c>
      <c r="O607" s="89">
        <f t="shared" si="82"/>
        <v>4.7295825422443523</v>
      </c>
      <c r="P607" s="97">
        <f t="shared" si="83"/>
        <v>4.0895825422443526</v>
      </c>
      <c r="Q607" s="135">
        <f t="shared" si="86"/>
        <v>1.8638778949441302E-5</v>
      </c>
      <c r="R607" s="89">
        <f t="shared" si="86"/>
        <v>8.1361221050558509E-5</v>
      </c>
      <c r="S607" s="89">
        <f t="shared" si="87"/>
        <v>9.12010839355909E-7</v>
      </c>
      <c r="T607" s="136">
        <f t="shared" si="87"/>
        <v>1.0964781961431828E-8</v>
      </c>
      <c r="U607" s="137">
        <f t="shared" si="88"/>
        <v>0.18638778949441337</v>
      </c>
      <c r="V607" s="88">
        <f t="shared" si="84"/>
        <v>1.9504174577556475</v>
      </c>
      <c r="W607" s="86">
        <f t="shared" si="89"/>
        <v>3.2304174577556477</v>
      </c>
      <c r="X607" s="90">
        <f t="shared" si="85"/>
        <v>0.17638778949441336</v>
      </c>
    </row>
    <row r="608" spans="13:24" x14ac:dyDescent="0.25">
      <c r="M608" s="91">
        <v>6.05</v>
      </c>
      <c r="N608" s="89">
        <f t="shared" si="81"/>
        <v>7.95</v>
      </c>
      <c r="O608" s="89">
        <f t="shared" si="82"/>
        <v>4.7377360394206756</v>
      </c>
      <c r="P608" s="97">
        <f t="shared" si="83"/>
        <v>4.0877360394206761</v>
      </c>
      <c r="Q608" s="135">
        <f t="shared" si="86"/>
        <v>1.8292116580002552E-5</v>
      </c>
      <c r="R608" s="89">
        <f t="shared" si="86"/>
        <v>8.1707883419997239E-5</v>
      </c>
      <c r="S608" s="89">
        <f t="shared" si="87"/>
        <v>8.9125093813374487E-7</v>
      </c>
      <c r="T608" s="136">
        <f t="shared" si="87"/>
        <v>1.1220184543019609E-8</v>
      </c>
      <c r="U608" s="137">
        <f t="shared" si="88"/>
        <v>0.1829211658000259</v>
      </c>
      <c r="V608" s="88">
        <f t="shared" si="84"/>
        <v>1.9622639605793237</v>
      </c>
      <c r="W608" s="86">
        <f t="shared" si="89"/>
        <v>3.2122639605793246</v>
      </c>
      <c r="X608" s="90">
        <f t="shared" si="85"/>
        <v>0.17292116580002589</v>
      </c>
    </row>
    <row r="609" spans="13:24" x14ac:dyDescent="0.25">
      <c r="M609" s="91">
        <v>6.06</v>
      </c>
      <c r="N609" s="89">
        <f t="shared" si="81"/>
        <v>7.94</v>
      </c>
      <c r="O609" s="89">
        <f t="shared" si="82"/>
        <v>4.7459239514239755</v>
      </c>
      <c r="P609" s="97">
        <f t="shared" si="83"/>
        <v>4.0859239514239762</v>
      </c>
      <c r="Q609" s="135">
        <f t="shared" si="86"/>
        <v>1.7950479271357704E-5</v>
      </c>
      <c r="R609" s="89">
        <f t="shared" si="86"/>
        <v>8.2049520728642267E-5</v>
      </c>
      <c r="S609" s="89">
        <f t="shared" si="87"/>
        <v>8.7096358995607992E-7</v>
      </c>
      <c r="T609" s="136">
        <f t="shared" si="87"/>
        <v>1.14815362149688E-8</v>
      </c>
      <c r="U609" s="137">
        <f t="shared" si="88"/>
        <v>0.17950479271357711</v>
      </c>
      <c r="V609" s="88">
        <f t="shared" si="84"/>
        <v>1.9740760485760234</v>
      </c>
      <c r="W609" s="86">
        <f t="shared" si="89"/>
        <v>3.1940760485760249</v>
      </c>
      <c r="X609" s="90">
        <f t="shared" si="85"/>
        <v>0.1695047927135771</v>
      </c>
    </row>
    <row r="610" spans="13:24" x14ac:dyDescent="0.25">
      <c r="M610" s="91">
        <v>6.07</v>
      </c>
      <c r="N610" s="89">
        <f t="shared" si="81"/>
        <v>7.93</v>
      </c>
      <c r="O610" s="89">
        <f t="shared" si="82"/>
        <v>4.7541457767245836</v>
      </c>
      <c r="P610" s="97">
        <f t="shared" si="83"/>
        <v>4.0841457767245837</v>
      </c>
      <c r="Q610" s="135">
        <f t="shared" si="86"/>
        <v>1.7613847149442734E-5</v>
      </c>
      <c r="R610" s="89">
        <f t="shared" si="86"/>
        <v>8.2386152850557156E-5</v>
      </c>
      <c r="S610" s="89">
        <f t="shared" si="87"/>
        <v>8.511380382023744E-7</v>
      </c>
      <c r="T610" s="136">
        <f t="shared" si="87"/>
        <v>1.1748975549395268E-8</v>
      </c>
      <c r="U610" s="137">
        <f t="shared" si="88"/>
        <v>0.17613847149442755</v>
      </c>
      <c r="V610" s="88">
        <f t="shared" si="84"/>
        <v>1.9858542232754166</v>
      </c>
      <c r="W610" s="86">
        <f t="shared" si="89"/>
        <v>3.1758542232754161</v>
      </c>
      <c r="X610" s="90">
        <f t="shared" si="85"/>
        <v>0.16613847149442754</v>
      </c>
    </row>
    <row r="611" spans="13:24" x14ac:dyDescent="0.25">
      <c r="M611" s="91">
        <v>6.08</v>
      </c>
      <c r="N611" s="89">
        <f t="shared" si="81"/>
        <v>7.92</v>
      </c>
      <c r="O611" s="89">
        <f t="shared" si="82"/>
        <v>4.7624010158827055</v>
      </c>
      <c r="P611" s="97">
        <f t="shared" si="83"/>
        <v>4.0824010158827058</v>
      </c>
      <c r="Q611" s="135">
        <f t="shared" si="86"/>
        <v>1.7282198303686045E-5</v>
      </c>
      <c r="R611" s="89">
        <f t="shared" si="86"/>
        <v>8.2717801696313855E-5</v>
      </c>
      <c r="S611" s="89">
        <f t="shared" si="87"/>
        <v>8.3176377110266907E-7</v>
      </c>
      <c r="T611" s="136">
        <f t="shared" si="87"/>
        <v>1.2022644346174099E-8</v>
      </c>
      <c r="U611" s="137">
        <f t="shared" si="88"/>
        <v>0.17282198303686064</v>
      </c>
      <c r="V611" s="88">
        <f t="shared" si="84"/>
        <v>1.9975989841172943</v>
      </c>
      <c r="W611" s="86">
        <f t="shared" si="89"/>
        <v>3.1575989841172944</v>
      </c>
      <c r="X611" s="90">
        <f t="shared" si="85"/>
        <v>0.16282198303686063</v>
      </c>
    </row>
    <row r="612" spans="13:24" x14ac:dyDescent="0.25">
      <c r="M612" s="91">
        <v>6.09</v>
      </c>
      <c r="N612" s="89">
        <f t="shared" si="81"/>
        <v>7.91</v>
      </c>
      <c r="O612" s="89">
        <f t="shared" si="82"/>
        <v>4.7706891717481978</v>
      </c>
      <c r="P612" s="97">
        <f t="shared" si="83"/>
        <v>4.0806891717481975</v>
      </c>
      <c r="Q612" s="135">
        <f t="shared" si="86"/>
        <v>1.695550886467626E-5</v>
      </c>
      <c r="R612" s="89">
        <f t="shared" si="86"/>
        <v>8.3044491135323654E-5</v>
      </c>
      <c r="S612" s="89">
        <f t="shared" si="87"/>
        <v>8.1283051616409889E-7</v>
      </c>
      <c r="T612" s="136">
        <f t="shared" si="87"/>
        <v>1.2302687708123783E-8</v>
      </c>
      <c r="U612" s="137">
        <f t="shared" si="88"/>
        <v>0.16955508864676275</v>
      </c>
      <c r="V612" s="88">
        <f t="shared" si="84"/>
        <v>2.0093108282518024</v>
      </c>
      <c r="W612" s="86">
        <f t="shared" si="89"/>
        <v>3.1393108282518023</v>
      </c>
      <c r="X612" s="90">
        <f t="shared" si="85"/>
        <v>0.15955508864676274</v>
      </c>
    </row>
    <row r="613" spans="13:24" x14ac:dyDescent="0.25">
      <c r="M613" s="91">
        <v>6.1</v>
      </c>
      <c r="N613" s="89">
        <f t="shared" si="81"/>
        <v>7.9</v>
      </c>
      <c r="O613" s="89">
        <f t="shared" si="82"/>
        <v>4.7790097496525661</v>
      </c>
      <c r="P613" s="97">
        <f t="shared" si="83"/>
        <v>4.0790097496525668</v>
      </c>
      <c r="Q613" s="135">
        <f t="shared" si="86"/>
        <v>1.6633753081656176E-5</v>
      </c>
      <c r="R613" s="89">
        <f t="shared" si="86"/>
        <v>8.3366246918343642E-5</v>
      </c>
      <c r="S613" s="89">
        <f t="shared" si="87"/>
        <v>7.9432823472428114E-7</v>
      </c>
      <c r="T613" s="136">
        <f t="shared" si="87"/>
        <v>1.2589254117941638E-8</v>
      </c>
      <c r="U613" s="137">
        <f t="shared" si="88"/>
        <v>0.16633753081656208</v>
      </c>
      <c r="V613" s="88">
        <f t="shared" si="84"/>
        <v>2.0209902503474328</v>
      </c>
      <c r="W613" s="86">
        <f t="shared" si="89"/>
        <v>3.1209902503474343</v>
      </c>
      <c r="X613" s="90">
        <f t="shared" si="85"/>
        <v>0.15633753081656207</v>
      </c>
    </row>
    <row r="614" spans="13:24" x14ac:dyDescent="0.25">
      <c r="M614" s="91">
        <v>6.11</v>
      </c>
      <c r="N614" s="89">
        <f t="shared" si="81"/>
        <v>7.89</v>
      </c>
      <c r="O614" s="89">
        <f t="shared" si="82"/>
        <v>4.7873622575932444</v>
      </c>
      <c r="P614" s="97">
        <f t="shared" si="83"/>
        <v>4.0773622575932444</v>
      </c>
      <c r="Q614" s="135">
        <f t="shared" si="86"/>
        <v>1.6316903399710532E-5</v>
      </c>
      <c r="R614" s="89">
        <f t="shared" si="86"/>
        <v>8.3683096600289527E-5</v>
      </c>
      <c r="S614" s="89">
        <f t="shared" si="87"/>
        <v>7.7624711662869019E-7</v>
      </c>
      <c r="T614" s="136">
        <f t="shared" si="87"/>
        <v>1.288249551693135E-8</v>
      </c>
      <c r="U614" s="137">
        <f t="shared" si="88"/>
        <v>0.16316903399710522</v>
      </c>
      <c r="V614" s="88">
        <f t="shared" si="84"/>
        <v>2.0326377424067559</v>
      </c>
      <c r="W614" s="86">
        <f t="shared" si="89"/>
        <v>3.1026377424067553</v>
      </c>
      <c r="X614" s="90">
        <f t="shared" si="85"/>
        <v>0.15316903399710521</v>
      </c>
    </row>
    <row r="615" spans="13:24" x14ac:dyDescent="0.25">
      <c r="M615" s="91">
        <v>6.12</v>
      </c>
      <c r="N615" s="89">
        <f t="shared" si="81"/>
        <v>7.88</v>
      </c>
      <c r="O615" s="89">
        <f t="shared" si="82"/>
        <v>4.7957462064101639</v>
      </c>
      <c r="P615" s="97">
        <f t="shared" si="83"/>
        <v>4.0757462064101642</v>
      </c>
      <c r="Q615" s="135">
        <f t="shared" si="86"/>
        <v>1.6004930536524671E-5</v>
      </c>
      <c r="R615" s="89">
        <f t="shared" si="86"/>
        <v>8.3995069463475294E-5</v>
      </c>
      <c r="S615" s="89">
        <f t="shared" si="87"/>
        <v>7.585775750291823E-7</v>
      </c>
      <c r="T615" s="136">
        <f t="shared" si="87"/>
        <v>1.3182567385564031E-8</v>
      </c>
      <c r="U615" s="137">
        <f t="shared" si="88"/>
        <v>0.16004930536524675</v>
      </c>
      <c r="V615" s="88">
        <f t="shared" si="84"/>
        <v>2.0442537935898359</v>
      </c>
      <c r="W615" s="86">
        <f t="shared" si="89"/>
        <v>3.084253793589836</v>
      </c>
      <c r="X615" s="90">
        <f t="shared" si="85"/>
        <v>0.15004930536524674</v>
      </c>
    </row>
    <row r="616" spans="13:24" x14ac:dyDescent="0.25">
      <c r="M616" s="91">
        <v>6.13</v>
      </c>
      <c r="N616" s="89">
        <f t="shared" si="81"/>
        <v>7.87</v>
      </c>
      <c r="O616" s="89">
        <f t="shared" si="82"/>
        <v>4.8041611099546806</v>
      </c>
      <c r="P616" s="97">
        <f t="shared" si="83"/>
        <v>4.0741611099546811</v>
      </c>
      <c r="Q616" s="135">
        <f t="shared" si="86"/>
        <v>1.5697803558596361E-5</v>
      </c>
      <c r="R616" s="89">
        <f t="shared" si="86"/>
        <v>8.4302196441403488E-5</v>
      </c>
      <c r="S616" s="89">
        <f t="shared" si="87"/>
        <v>7.4131024130091606E-7</v>
      </c>
      <c r="T616" s="136">
        <f t="shared" si="87"/>
        <v>1.3489628825916498E-8</v>
      </c>
      <c r="U616" s="137">
        <f t="shared" si="88"/>
        <v>0.15697803558596382</v>
      </c>
      <c r="V616" s="88">
        <f t="shared" si="84"/>
        <v>2.0558388900453188</v>
      </c>
      <c r="W616" s="86">
        <f t="shared" si="89"/>
        <v>3.0658388900453195</v>
      </c>
      <c r="X616" s="90">
        <f t="shared" si="85"/>
        <v>0.14697803558596381</v>
      </c>
    </row>
    <row r="617" spans="13:24" x14ac:dyDescent="0.25">
      <c r="M617" s="91">
        <v>6.14</v>
      </c>
      <c r="N617" s="89">
        <f t="shared" si="81"/>
        <v>7.86</v>
      </c>
      <c r="O617" s="89">
        <f t="shared" si="82"/>
        <v>4.8126064852509067</v>
      </c>
      <c r="P617" s="97">
        <f t="shared" si="83"/>
        <v>4.0726064852509074</v>
      </c>
      <c r="Q617" s="135">
        <f t="shared" si="86"/>
        <v>1.5395489956790513E-5</v>
      </c>
      <c r="R617" s="89">
        <f t="shared" si="86"/>
        <v>8.4604510043209251E-5</v>
      </c>
      <c r="S617" s="89">
        <f t="shared" si="87"/>
        <v>7.2443596007499005E-7</v>
      </c>
      <c r="T617" s="136">
        <f t="shared" si="87"/>
        <v>1.3803842646028805E-8</v>
      </c>
      <c r="U617" s="137">
        <f t="shared" si="88"/>
        <v>0.15395489956790551</v>
      </c>
      <c r="V617" s="88">
        <f t="shared" si="84"/>
        <v>2.0673935147490923</v>
      </c>
      <c r="W617" s="86">
        <f t="shared" si="89"/>
        <v>3.0473935147490936</v>
      </c>
      <c r="X617" s="90">
        <f t="shared" si="85"/>
        <v>0.1439548995679055</v>
      </c>
    </row>
    <row r="618" spans="13:24" x14ac:dyDescent="0.25">
      <c r="M618" s="91">
        <v>6.15</v>
      </c>
      <c r="N618" s="89">
        <f t="shared" si="81"/>
        <v>7.85</v>
      </c>
      <c r="O618" s="89">
        <f t="shared" si="82"/>
        <v>4.8210818526495327</v>
      </c>
      <c r="P618" s="97">
        <f t="shared" si="83"/>
        <v>4.0710818526495327</v>
      </c>
      <c r="Q618" s="135">
        <f t="shared" si="86"/>
        <v>1.5097955721132298E-5</v>
      </c>
      <c r="R618" s="89">
        <f t="shared" si="86"/>
        <v>8.4902044278867487E-5</v>
      </c>
      <c r="S618" s="89">
        <f t="shared" si="87"/>
        <v>7.0794578438413674E-7</v>
      </c>
      <c r="T618" s="136">
        <f t="shared" si="87"/>
        <v>1.4125375446227547E-8</v>
      </c>
      <c r="U618" s="137">
        <f t="shared" si="88"/>
        <v>0.15097955721132331</v>
      </c>
      <c r="V618" s="88">
        <f t="shared" si="84"/>
        <v>2.0789181473504676</v>
      </c>
      <c r="W618" s="86">
        <f t="shared" si="89"/>
        <v>3.0289181473504669</v>
      </c>
      <c r="X618" s="90">
        <f t="shared" si="85"/>
        <v>0.1409795572113233</v>
      </c>
    </row>
    <row r="619" spans="13:24" x14ac:dyDescent="0.25">
      <c r="M619" s="91">
        <v>6.16</v>
      </c>
      <c r="N619" s="89">
        <f t="shared" si="81"/>
        <v>7.84</v>
      </c>
      <c r="O619" s="89">
        <f t="shared" si="82"/>
        <v>4.8295867359742006</v>
      </c>
      <c r="P619" s="97">
        <f t="shared" si="83"/>
        <v>4.0695867359742008</v>
      </c>
      <c r="Q619" s="135">
        <f t="shared" si="86"/>
        <v>1.4805165414742621E-5</v>
      </c>
      <c r="R619" s="89">
        <f t="shared" si="86"/>
        <v>8.5194834585257346E-5</v>
      </c>
      <c r="S619" s="89">
        <f t="shared" si="87"/>
        <v>6.9183097091893534E-7</v>
      </c>
      <c r="T619" s="136">
        <f t="shared" si="87"/>
        <v>1.4454397707459279E-8</v>
      </c>
      <c r="U619" s="137">
        <f t="shared" si="88"/>
        <v>0.14805165414742627</v>
      </c>
      <c r="V619" s="88">
        <f t="shared" si="84"/>
        <v>2.0904132640257993</v>
      </c>
      <c r="W619" s="86">
        <f t="shared" si="89"/>
        <v>3.0104132640257992</v>
      </c>
      <c r="X619" s="90">
        <f t="shared" si="85"/>
        <v>0.13805165414742626</v>
      </c>
    </row>
    <row r="620" spans="13:24" x14ac:dyDescent="0.25">
      <c r="M620" s="91">
        <v>6.17</v>
      </c>
      <c r="N620" s="89">
        <f t="shared" si="81"/>
        <v>7.83</v>
      </c>
      <c r="O620" s="89">
        <f t="shared" si="82"/>
        <v>4.8381206626605433</v>
      </c>
      <c r="P620" s="97">
        <f t="shared" si="83"/>
        <v>4.0681206626605437</v>
      </c>
      <c r="Q620" s="135">
        <f t="shared" si="86"/>
        <v>1.4517082246824052E-5</v>
      </c>
      <c r="R620" s="89">
        <f t="shared" si="86"/>
        <v>8.5482917753175843E-5</v>
      </c>
      <c r="S620" s="89">
        <f t="shared" si="87"/>
        <v>6.7608297539198085E-7</v>
      </c>
      <c r="T620" s="136">
        <f t="shared" si="87"/>
        <v>1.4791083881682026E-8</v>
      </c>
      <c r="U620" s="137">
        <f t="shared" si="88"/>
        <v>0.14517082246824067</v>
      </c>
      <c r="V620" s="88">
        <f t="shared" si="84"/>
        <v>2.1018793373394562</v>
      </c>
      <c r="W620" s="86">
        <f t="shared" si="89"/>
        <v>2.9918793373394568</v>
      </c>
      <c r="X620" s="90">
        <f t="shared" si="85"/>
        <v>0.13517082246824066</v>
      </c>
    </row>
    <row r="621" spans="13:24" x14ac:dyDescent="0.25">
      <c r="M621" s="91">
        <v>6.18</v>
      </c>
      <c r="N621" s="89">
        <f t="shared" si="81"/>
        <v>7.82</v>
      </c>
      <c r="O621" s="89">
        <f t="shared" si="82"/>
        <v>4.8466831638879659</v>
      </c>
      <c r="P621" s="97">
        <f t="shared" si="83"/>
        <v>4.0666831638879666</v>
      </c>
      <c r="Q621" s="135">
        <f t="shared" si="86"/>
        <v>1.4233668144614308E-5</v>
      </c>
      <c r="R621" s="89">
        <f t="shared" si="86"/>
        <v>8.5766331855385652E-5</v>
      </c>
      <c r="S621" s="89">
        <f t="shared" si="87"/>
        <v>6.6069344800759506E-7</v>
      </c>
      <c r="T621" s="136">
        <f t="shared" si="87"/>
        <v>1.5135612484362029E-8</v>
      </c>
      <c r="U621" s="137">
        <f t="shared" si="88"/>
        <v>0.14233668144614312</v>
      </c>
      <c r="V621" s="88">
        <f t="shared" si="84"/>
        <v>2.1133168361120331</v>
      </c>
      <c r="W621" s="86">
        <f t="shared" si="89"/>
        <v>2.9733168361120343</v>
      </c>
      <c r="X621" s="90">
        <f t="shared" si="85"/>
        <v>0.13233668144614311</v>
      </c>
    </row>
    <row r="622" spans="13:24" x14ac:dyDescent="0.25">
      <c r="M622" s="91">
        <v>6.19</v>
      </c>
      <c r="N622" s="89">
        <f t="shared" si="81"/>
        <v>7.81</v>
      </c>
      <c r="O622" s="89">
        <f t="shared" si="82"/>
        <v>4.8552737747042922</v>
      </c>
      <c r="P622" s="97">
        <f t="shared" si="83"/>
        <v>4.0652737747042922</v>
      </c>
      <c r="Q622" s="135">
        <f t="shared" si="86"/>
        <v>1.3954883824228768E-5</v>
      </c>
      <c r="R622" s="89">
        <f t="shared" si="86"/>
        <v>8.6045116175771172E-5</v>
      </c>
      <c r="S622" s="89">
        <f t="shared" si="87"/>
        <v>6.456542290346535E-7</v>
      </c>
      <c r="T622" s="136">
        <f t="shared" si="87"/>
        <v>1.5488166189124814E-8</v>
      </c>
      <c r="U622" s="137">
        <f t="shared" si="88"/>
        <v>0.13954883824228778</v>
      </c>
      <c r="V622" s="88">
        <f t="shared" si="84"/>
        <v>2.1247262252957082</v>
      </c>
      <c r="W622" s="86">
        <f t="shared" si="89"/>
        <v>2.9547262252957074</v>
      </c>
      <c r="X622" s="90">
        <f t="shared" si="85"/>
        <v>0.12954883824228777</v>
      </c>
    </row>
    <row r="623" spans="13:24" x14ac:dyDescent="0.25">
      <c r="M623" s="91">
        <v>6.2</v>
      </c>
      <c r="N623" s="89">
        <f t="shared" si="81"/>
        <v>7.8</v>
      </c>
      <c r="O623" s="89">
        <f t="shared" si="82"/>
        <v>4.8638920341433796</v>
      </c>
      <c r="P623" s="97">
        <f t="shared" si="83"/>
        <v>4.0638920341433797</v>
      </c>
      <c r="Q623" s="135">
        <f t="shared" si="86"/>
        <v>1.3680688860320976E-5</v>
      </c>
      <c r="R623" s="89">
        <f t="shared" si="86"/>
        <v>8.6319311139678961E-5</v>
      </c>
      <c r="S623" s="89">
        <f t="shared" si="87"/>
        <v>6.3095734448019254E-7</v>
      </c>
      <c r="T623" s="136">
        <f t="shared" si="87"/>
        <v>1.5848931924611133E-8</v>
      </c>
      <c r="U623" s="137">
        <f t="shared" si="88"/>
        <v>0.13680688860320986</v>
      </c>
      <c r="V623" s="88">
        <f t="shared" si="84"/>
        <v>2.1361079658566204</v>
      </c>
      <c r="W623" s="86">
        <f t="shared" si="89"/>
        <v>2.9361079658566203</v>
      </c>
      <c r="X623" s="90">
        <f t="shared" si="85"/>
        <v>0.12680688860320985</v>
      </c>
    </row>
    <row r="624" spans="13:24" x14ac:dyDescent="0.25">
      <c r="M624" s="91">
        <v>6.21</v>
      </c>
      <c r="N624" s="89">
        <f t="shared" si="81"/>
        <v>7.79</v>
      </c>
      <c r="O624" s="89">
        <f t="shared" si="82"/>
        <v>4.8725374853358403</v>
      </c>
      <c r="P624" s="97">
        <f t="shared" si="83"/>
        <v>4.0625374853358407</v>
      </c>
      <c r="Q624" s="135">
        <f t="shared" si="86"/>
        <v>1.3411041754495612E-5</v>
      </c>
      <c r="R624" s="89">
        <f t="shared" si="86"/>
        <v>8.6588958245504327E-5</v>
      </c>
      <c r="S624" s="89">
        <f t="shared" si="87"/>
        <v>6.1659500186148145E-7</v>
      </c>
      <c r="T624" s="136">
        <f t="shared" si="87"/>
        <v>1.6218100973589297E-8</v>
      </c>
      <c r="U624" s="137">
        <f t="shared" si="88"/>
        <v>0.1341104175449562</v>
      </c>
      <c r="V624" s="88">
        <f t="shared" si="84"/>
        <v>2.1474625146641593</v>
      </c>
      <c r="W624" s="86">
        <f t="shared" si="89"/>
        <v>2.9174625146641597</v>
      </c>
      <c r="X624" s="90">
        <f t="shared" si="85"/>
        <v>0.12411041754495621</v>
      </c>
    </row>
    <row r="625" spans="13:24" x14ac:dyDescent="0.25">
      <c r="M625" s="91">
        <v>6.22</v>
      </c>
      <c r="N625" s="89">
        <f t="shared" si="81"/>
        <v>7.78</v>
      </c>
      <c r="O625" s="89">
        <f t="shared" si="82"/>
        <v>4.8812096756129773</v>
      </c>
      <c r="P625" s="97">
        <f t="shared" si="83"/>
        <v>4.0612096756129779</v>
      </c>
      <c r="Q625" s="135">
        <f t="shared" si="86"/>
        <v>1.3145900002414832E-5</v>
      </c>
      <c r="R625" s="89">
        <f t="shared" si="86"/>
        <v>8.6854099997585142E-5</v>
      </c>
      <c r="S625" s="89">
        <f t="shared" si="87"/>
        <v>6.0255958607435721E-7</v>
      </c>
      <c r="T625" s="136">
        <f t="shared" si="87"/>
        <v>1.6595869074375541E-8</v>
      </c>
      <c r="U625" s="137">
        <f t="shared" si="88"/>
        <v>0.13145900002414834</v>
      </c>
      <c r="V625" s="88">
        <f t="shared" si="84"/>
        <v>2.1587903243870219</v>
      </c>
      <c r="W625" s="86">
        <f t="shared" si="89"/>
        <v>2.898790324387023</v>
      </c>
      <c r="X625" s="90">
        <f t="shared" si="85"/>
        <v>0.12145900002414835</v>
      </c>
    </row>
    <row r="626" spans="13:24" x14ac:dyDescent="0.25">
      <c r="M626" s="91">
        <v>6.23</v>
      </c>
      <c r="N626" s="89">
        <f t="shared" si="81"/>
        <v>7.77</v>
      </c>
      <c r="O626" s="89">
        <f t="shared" si="82"/>
        <v>4.8899081566040783</v>
      </c>
      <c r="P626" s="97">
        <f t="shared" si="83"/>
        <v>4.0599081566040782</v>
      </c>
      <c r="Q626" s="135">
        <f t="shared" si="86"/>
        <v>1.288522015954442E-5</v>
      </c>
      <c r="R626" s="89">
        <f t="shared" si="86"/>
        <v>8.7114779840455469E-5</v>
      </c>
      <c r="S626" s="89">
        <f t="shared" si="87"/>
        <v>5.8884365535558744E-7</v>
      </c>
      <c r="T626" s="136">
        <f t="shared" si="87"/>
        <v>1.6982436524617439E-8</v>
      </c>
      <c r="U626" s="137">
        <f t="shared" si="88"/>
        <v>0.12885220159544436</v>
      </c>
      <c r="V626" s="88">
        <f t="shared" si="84"/>
        <v>2.1700918433959222</v>
      </c>
      <c r="W626" s="86">
        <f t="shared" si="89"/>
        <v>2.8800918433959213</v>
      </c>
      <c r="X626" s="90">
        <f t="shared" si="85"/>
        <v>0.11885220159544437</v>
      </c>
    </row>
    <row r="627" spans="13:24" x14ac:dyDescent="0.25">
      <c r="M627" s="91">
        <v>6.24</v>
      </c>
      <c r="N627" s="89">
        <f t="shared" si="81"/>
        <v>7.76</v>
      </c>
      <c r="O627" s="89">
        <f t="shared" si="82"/>
        <v>4.8986324843272051</v>
      </c>
      <c r="P627" s="97">
        <f t="shared" si="83"/>
        <v>4.0586324843272052</v>
      </c>
      <c r="Q627" s="135">
        <f t="shared" si="86"/>
        <v>1.2628957905491849E-5</v>
      </c>
      <c r="R627" s="89">
        <f t="shared" si="86"/>
        <v>8.7371042094508124E-5</v>
      </c>
      <c r="S627" s="89">
        <f t="shared" si="87"/>
        <v>5.7543993733715549E-7</v>
      </c>
      <c r="T627" s="136">
        <f t="shared" si="87"/>
        <v>1.7378008287493747E-8</v>
      </c>
      <c r="U627" s="137">
        <f t="shared" si="88"/>
        <v>0.12628957905491853</v>
      </c>
      <c r="V627" s="88">
        <f t="shared" si="84"/>
        <v>2.181367515672795</v>
      </c>
      <c r="W627" s="86">
        <f t="shared" si="89"/>
        <v>2.8613675156727947</v>
      </c>
      <c r="X627" s="90">
        <f t="shared" si="85"/>
        <v>0.11628957905491853</v>
      </c>
    </row>
    <row r="628" spans="13:24" x14ac:dyDescent="0.25">
      <c r="M628" s="91">
        <v>6.25</v>
      </c>
      <c r="N628" s="89">
        <f t="shared" si="81"/>
        <v>7.75</v>
      </c>
      <c r="O628" s="89">
        <f t="shared" si="82"/>
        <v>4.9073822192736296</v>
      </c>
      <c r="P628" s="97">
        <f t="shared" si="83"/>
        <v>4.05738221927363</v>
      </c>
      <c r="Q628" s="135">
        <f t="shared" si="86"/>
        <v>1.2377068106893525E-5</v>
      </c>
      <c r="R628" s="89">
        <f t="shared" si="86"/>
        <v>8.7622931893106243E-5</v>
      </c>
      <c r="S628" s="89">
        <f t="shared" si="87"/>
        <v>5.6234132519034872E-7</v>
      </c>
      <c r="T628" s="136">
        <f t="shared" si="87"/>
        <v>1.7782794100389218E-8</v>
      </c>
      <c r="U628" s="137">
        <f t="shared" si="88"/>
        <v>0.12377068106893553</v>
      </c>
      <c r="V628" s="88">
        <f t="shared" si="84"/>
        <v>2.19261778072637</v>
      </c>
      <c r="W628" s="86">
        <f t="shared" si="89"/>
        <v>2.8426177807263704</v>
      </c>
      <c r="X628" s="90">
        <f t="shared" si="85"/>
        <v>0.11377068106893554</v>
      </c>
    </row>
    <row r="629" spans="13:24" x14ac:dyDescent="0.25">
      <c r="M629" s="91">
        <v>6.26</v>
      </c>
      <c r="N629" s="89">
        <f t="shared" si="81"/>
        <v>7.74</v>
      </c>
      <c r="O629" s="89">
        <f t="shared" si="82"/>
        <v>4.9161569264860407</v>
      </c>
      <c r="P629" s="97">
        <f t="shared" si="83"/>
        <v>4.0561569264860413</v>
      </c>
      <c r="Q629" s="135">
        <f t="shared" si="86"/>
        <v>1.2129504878814844E-5</v>
      </c>
      <c r="R629" s="89">
        <f t="shared" si="86"/>
        <v>8.7870495121184961E-5</v>
      </c>
      <c r="S629" s="89">
        <f t="shared" si="87"/>
        <v>5.4954087385762417E-7</v>
      </c>
      <c r="T629" s="136">
        <f t="shared" si="87"/>
        <v>1.8197008586099822E-8</v>
      </c>
      <c r="U629" s="137">
        <f t="shared" si="88"/>
        <v>0.12129504878814867</v>
      </c>
      <c r="V629" s="88">
        <f t="shared" si="84"/>
        <v>2.2038430735139585</v>
      </c>
      <c r="W629" s="86">
        <f t="shared" si="89"/>
        <v>2.8238430735139595</v>
      </c>
      <c r="X629" s="90">
        <f t="shared" si="85"/>
        <v>0.11129504878814868</v>
      </c>
    </row>
    <row r="630" spans="13:24" x14ac:dyDescent="0.25">
      <c r="M630" s="91">
        <v>6.27</v>
      </c>
      <c r="N630" s="89">
        <f t="shared" si="81"/>
        <v>7.73</v>
      </c>
      <c r="O630" s="89">
        <f t="shared" si="82"/>
        <v>4.9249561756306992</v>
      </c>
      <c r="P630" s="97">
        <f t="shared" si="83"/>
        <v>4.0549561756307</v>
      </c>
      <c r="Q630" s="135">
        <f t="shared" si="86"/>
        <v>1.1886221644630185E-5</v>
      </c>
      <c r="R630" s="89">
        <f t="shared" si="86"/>
        <v>8.811377835536981E-5</v>
      </c>
      <c r="S630" s="89">
        <f t="shared" si="87"/>
        <v>5.3703179637025244E-7</v>
      </c>
      <c r="T630" s="136">
        <f t="shared" si="87"/>
        <v>1.8620871366628593E-8</v>
      </c>
      <c r="U630" s="137">
        <f t="shared" si="88"/>
        <v>0.11886221644630186</v>
      </c>
      <c r="V630" s="88">
        <f t="shared" si="84"/>
        <v>2.2150438243692996</v>
      </c>
      <c r="W630" s="86">
        <f t="shared" si="89"/>
        <v>2.8050438243693012</v>
      </c>
      <c r="X630" s="90">
        <f t="shared" si="85"/>
        <v>0.10886221644630187</v>
      </c>
    </row>
    <row r="631" spans="13:24" x14ac:dyDescent="0.25">
      <c r="M631" s="91">
        <v>6.28</v>
      </c>
      <c r="N631" s="89">
        <f t="shared" si="81"/>
        <v>7.72</v>
      </c>
      <c r="O631" s="89">
        <f t="shared" si="82"/>
        <v>4.9337795410636778</v>
      </c>
      <c r="P631" s="97">
        <f t="shared" si="83"/>
        <v>4.053779541063677</v>
      </c>
      <c r="Q631" s="135">
        <f t="shared" si="86"/>
        <v>1.1647171194356048E-5</v>
      </c>
      <c r="R631" s="89">
        <f t="shared" si="86"/>
        <v>8.8352828805643945E-5</v>
      </c>
      <c r="S631" s="89">
        <f t="shared" si="87"/>
        <v>5.2480746024977148E-7</v>
      </c>
      <c r="T631" s="136">
        <f t="shared" si="87"/>
        <v>1.9054607179632456E-8</v>
      </c>
      <c r="U631" s="137">
        <f t="shared" si="88"/>
        <v>0.11647171194356049</v>
      </c>
      <c r="V631" s="88">
        <f t="shared" si="84"/>
        <v>2.2262204589363233</v>
      </c>
      <c r="W631" s="86">
        <f t="shared" si="89"/>
        <v>2.786220458936322</v>
      </c>
      <c r="X631" s="90">
        <f t="shared" si="85"/>
        <v>0.10647171194356049</v>
      </c>
    </row>
    <row r="632" spans="13:24" x14ac:dyDescent="0.25">
      <c r="M632" s="91">
        <v>6.29</v>
      </c>
      <c r="N632" s="89">
        <f t="shared" si="81"/>
        <v>7.71</v>
      </c>
      <c r="O632" s="89">
        <f t="shared" si="82"/>
        <v>4.9426266018913383</v>
      </c>
      <c r="P632" s="97">
        <f t="shared" si="83"/>
        <v>4.0526266018913386</v>
      </c>
      <c r="Q632" s="135">
        <f t="shared" si="86"/>
        <v>1.1412305741415048E-5</v>
      </c>
      <c r="R632" s="89">
        <f t="shared" si="86"/>
        <v>8.8587694258584836E-5</v>
      </c>
      <c r="S632" s="89">
        <f t="shared" si="87"/>
        <v>5.1286138399136375E-7</v>
      </c>
      <c r="T632" s="136">
        <f t="shared" si="87"/>
        <v>1.9498445997580434E-8</v>
      </c>
      <c r="U632" s="137">
        <f t="shared" si="88"/>
        <v>0.11412305741415062</v>
      </c>
      <c r="V632" s="88">
        <f t="shared" si="84"/>
        <v>2.2373733981086614</v>
      </c>
      <c r="W632" s="86">
        <f t="shared" si="89"/>
        <v>2.7673733981086617</v>
      </c>
      <c r="X632" s="90">
        <f t="shared" si="85"/>
        <v>0.10412305741415062</v>
      </c>
    </row>
    <row r="633" spans="13:24" x14ac:dyDescent="0.25">
      <c r="M633" s="91">
        <v>6.3</v>
      </c>
      <c r="N633" s="89">
        <f t="shared" si="81"/>
        <v>7.7</v>
      </c>
      <c r="O633" s="89">
        <f t="shared" si="82"/>
        <v>4.9514969420252299</v>
      </c>
      <c r="P633" s="97">
        <f t="shared" si="83"/>
        <v>4.0514969420252305</v>
      </c>
      <c r="Q633" s="135">
        <f t="shared" si="86"/>
        <v>1.1181576977811693E-5</v>
      </c>
      <c r="R633" s="89">
        <f t="shared" si="86"/>
        <v>8.8818423022188163E-5</v>
      </c>
      <c r="S633" s="89">
        <f t="shared" si="87"/>
        <v>5.0118723362727218E-7</v>
      </c>
      <c r="T633" s="136">
        <f t="shared" si="87"/>
        <v>1.9952623149688773E-8</v>
      </c>
      <c r="U633" s="137">
        <f t="shared" si="88"/>
        <v>0.11181576977811709</v>
      </c>
      <c r="V633" s="88">
        <f t="shared" si="84"/>
        <v>2.2485030579747693</v>
      </c>
      <c r="W633" s="86">
        <f t="shared" si="89"/>
        <v>2.7485030579747702</v>
      </c>
      <c r="X633" s="90">
        <f t="shared" si="85"/>
        <v>0.1018157697781171</v>
      </c>
    </row>
    <row r="634" spans="13:24" x14ac:dyDescent="0.25">
      <c r="M634" s="91">
        <v>6.31</v>
      </c>
      <c r="N634" s="89">
        <f t="shared" si="81"/>
        <v>7.69</v>
      </c>
      <c r="O634" s="89">
        <f t="shared" si="82"/>
        <v>4.9603901502315306</v>
      </c>
      <c r="P634" s="97">
        <f t="shared" si="83"/>
        <v>4.0503901502315314</v>
      </c>
      <c r="Q634" s="135">
        <f t="shared" si="86"/>
        <v>1.0954936127707514E-5</v>
      </c>
      <c r="R634" s="89">
        <f t="shared" si="86"/>
        <v>8.9045063872292233E-5</v>
      </c>
      <c r="S634" s="89">
        <f t="shared" si="87"/>
        <v>4.8977881936844619E-7</v>
      </c>
      <c r="T634" s="136">
        <f t="shared" si="87"/>
        <v>2.0417379446695271E-8</v>
      </c>
      <c r="U634" s="137">
        <f t="shared" si="88"/>
        <v>0.10954936127707542</v>
      </c>
      <c r="V634" s="88">
        <f t="shared" si="84"/>
        <v>2.2596098497684682</v>
      </c>
      <c r="W634" s="86">
        <f t="shared" si="89"/>
        <v>2.7296098497684698</v>
      </c>
      <c r="X634" s="90">
        <f t="shared" si="85"/>
        <v>9.9549361277075421E-2</v>
      </c>
    </row>
    <row r="635" spans="13:24" x14ac:dyDescent="0.25">
      <c r="M635" s="91">
        <v>6.32</v>
      </c>
      <c r="N635" s="89">
        <f t="shared" si="81"/>
        <v>7.68</v>
      </c>
      <c r="O635" s="89">
        <f t="shared" si="82"/>
        <v>4.9693058201752232</v>
      </c>
      <c r="P635" s="97">
        <f t="shared" si="83"/>
        <v>4.0493058201752232</v>
      </c>
      <c r="Q635" s="135">
        <f t="shared" si="86"/>
        <v>1.0732333999384592E-5</v>
      </c>
      <c r="R635" s="89">
        <f t="shared" si="86"/>
        <v>8.9267666000615413E-5</v>
      </c>
      <c r="S635" s="89">
        <f t="shared" si="87"/>
        <v>4.7863009232263745E-7</v>
      </c>
      <c r="T635" s="136">
        <f t="shared" si="87"/>
        <v>2.0892961308540368E-8</v>
      </c>
      <c r="U635" s="137">
        <f t="shared" si="88"/>
        <v>0.10732333999384591</v>
      </c>
      <c r="V635" s="88">
        <f t="shared" si="84"/>
        <v>2.2706941798247771</v>
      </c>
      <c r="W635" s="86">
        <f t="shared" si="89"/>
        <v>2.7106941798247766</v>
      </c>
      <c r="X635" s="90">
        <f t="shared" si="85"/>
        <v>9.7323339993845917E-2</v>
      </c>
    </row>
    <row r="636" spans="13:24" x14ac:dyDescent="0.25">
      <c r="M636" s="91">
        <v>6.33</v>
      </c>
      <c r="N636" s="89">
        <f t="shared" si="81"/>
        <v>7.67</v>
      </c>
      <c r="O636" s="89">
        <f t="shared" si="82"/>
        <v>4.9782435504591511</v>
      </c>
      <c r="P636" s="97">
        <f t="shared" si="83"/>
        <v>4.0482435504591514</v>
      </c>
      <c r="Q636" s="135">
        <f t="shared" si="86"/>
        <v>1.0513721035591952E-5</v>
      </c>
      <c r="R636" s="89">
        <f t="shared" si="86"/>
        <v>8.9486278964407919E-5</v>
      </c>
      <c r="S636" s="89">
        <f t="shared" si="87"/>
        <v>4.6773514128719735E-7</v>
      </c>
      <c r="T636" s="136">
        <f t="shared" si="87"/>
        <v>2.1379620895022292E-8</v>
      </c>
      <c r="U636" s="137">
        <f t="shared" si="88"/>
        <v>0.10513721035591965</v>
      </c>
      <c r="V636" s="88">
        <f t="shared" si="84"/>
        <v>2.2817564495408487</v>
      </c>
      <c r="W636" s="86">
        <f t="shared" si="89"/>
        <v>2.6917564495408488</v>
      </c>
      <c r="X636" s="90">
        <f t="shared" si="85"/>
        <v>9.5137210355919655E-2</v>
      </c>
    </row>
    <row r="637" spans="13:24" x14ac:dyDescent="0.25">
      <c r="M637" s="91">
        <v>6.34</v>
      </c>
      <c r="N637" s="89">
        <f t="shared" si="81"/>
        <v>7.66</v>
      </c>
      <c r="O637" s="89">
        <f t="shared" si="82"/>
        <v>4.9872029446581223</v>
      </c>
      <c r="P637" s="97">
        <f t="shared" si="83"/>
        <v>4.0472029446581228</v>
      </c>
      <c r="Q637" s="135">
        <f t="shared" si="86"/>
        <v>1.0299047362272704E-5</v>
      </c>
      <c r="R637" s="89">
        <f t="shared" si="86"/>
        <v>8.9700952637727205E-5</v>
      </c>
      <c r="S637" s="89">
        <f t="shared" si="87"/>
        <v>4.5708818961487426E-7</v>
      </c>
      <c r="T637" s="136">
        <f t="shared" si="87"/>
        <v>2.1877616239495494E-8</v>
      </c>
      <c r="U637" s="137">
        <f t="shared" si="88"/>
        <v>0.10299047362272713</v>
      </c>
      <c r="V637" s="88">
        <f t="shared" si="84"/>
        <v>2.2927970553418771</v>
      </c>
      <c r="W637" s="86">
        <f t="shared" si="89"/>
        <v>2.6727970553418778</v>
      </c>
      <c r="X637" s="90">
        <f t="shared" si="85"/>
        <v>9.2990473622727138E-2</v>
      </c>
    </row>
    <row r="638" spans="13:24" x14ac:dyDescent="0.25">
      <c r="M638" s="91">
        <v>6.35</v>
      </c>
      <c r="N638" s="89">
        <f t="shared" si="81"/>
        <v>7.65</v>
      </c>
      <c r="O638" s="89">
        <f t="shared" si="82"/>
        <v>4.996183611348223</v>
      </c>
      <c r="P638" s="97">
        <f t="shared" si="83"/>
        <v>4.0461836113482237</v>
      </c>
      <c r="Q638" s="135">
        <f t="shared" si="86"/>
        <v>1.0088262835672334E-5</v>
      </c>
      <c r="R638" s="89">
        <f t="shared" si="86"/>
        <v>8.9911737164327668E-5</v>
      </c>
      <c r="S638" s="89">
        <f t="shared" si="87"/>
        <v>4.4668359215096327E-7</v>
      </c>
      <c r="T638" s="136">
        <f t="shared" si="87"/>
        <v>2.2387211385683365E-8</v>
      </c>
      <c r="U638" s="137">
        <f t="shared" si="88"/>
        <v>0.10088262835672333</v>
      </c>
      <c r="V638" s="88">
        <f t="shared" si="84"/>
        <v>2.303816388651776</v>
      </c>
      <c r="W638" s="86">
        <f t="shared" si="89"/>
        <v>2.6538163886517774</v>
      </c>
      <c r="X638" s="90">
        <f t="shared" si="85"/>
        <v>9.0882628356723338E-2</v>
      </c>
    </row>
    <row r="639" spans="13:24" x14ac:dyDescent="0.25">
      <c r="M639" s="91">
        <v>6.36</v>
      </c>
      <c r="N639" s="89">
        <f t="shared" si="81"/>
        <v>7.64</v>
      </c>
      <c r="O639" s="89">
        <f t="shared" si="82"/>
        <v>5.0051851641314968</v>
      </c>
      <c r="P639" s="97">
        <f t="shared" si="83"/>
        <v>4.045185164131496</v>
      </c>
      <c r="Q639" s="135">
        <f t="shared" si="86"/>
        <v>9.8813170878332132E-6</v>
      </c>
      <c r="R639" s="89">
        <f t="shared" si="86"/>
        <v>9.0118682912166751E-5</v>
      </c>
      <c r="S639" s="89">
        <f t="shared" si="87"/>
        <v>4.365158322401653E-7</v>
      </c>
      <c r="T639" s="136">
        <f t="shared" si="87"/>
        <v>2.2908676527677693E-8</v>
      </c>
      <c r="U639" s="137">
        <f t="shared" si="88"/>
        <v>9.8813170878332163E-2</v>
      </c>
      <c r="V639" s="88">
        <f t="shared" si="84"/>
        <v>2.3148148358685043</v>
      </c>
      <c r="W639" s="86">
        <f t="shared" si="89"/>
        <v>2.6348148358685028</v>
      </c>
      <c r="X639" s="90">
        <f t="shared" si="85"/>
        <v>8.8813170878332168E-2</v>
      </c>
    </row>
    <row r="640" spans="13:24" x14ac:dyDescent="0.25">
      <c r="M640" s="91">
        <v>6.37</v>
      </c>
      <c r="N640" s="89">
        <f t="shared" si="81"/>
        <v>7.63</v>
      </c>
      <c r="O640" s="89">
        <f t="shared" si="82"/>
        <v>5.0142072216561546</v>
      </c>
      <c r="P640" s="97">
        <f t="shared" si="83"/>
        <v>4.0442072216561549</v>
      </c>
      <c r="Q640" s="135">
        <f t="shared" si="86"/>
        <v>9.6781595704818953E-6</v>
      </c>
      <c r="R640" s="89">
        <f t="shared" si="86"/>
        <v>9.032184042951784E-5</v>
      </c>
      <c r="S640" s="89">
        <f t="shared" si="87"/>
        <v>4.2657951880159212E-7</v>
      </c>
      <c r="T640" s="136">
        <f t="shared" si="87"/>
        <v>2.3442288153199181E-8</v>
      </c>
      <c r="U640" s="137">
        <f t="shared" si="88"/>
        <v>9.6781595704819215E-2</v>
      </c>
      <c r="V640" s="88">
        <f t="shared" si="84"/>
        <v>2.3257927783438452</v>
      </c>
      <c r="W640" s="86">
        <f t="shared" si="89"/>
        <v>2.6157927783438453</v>
      </c>
      <c r="X640" s="90">
        <f t="shared" si="85"/>
        <v>8.678159570481922E-2</v>
      </c>
    </row>
    <row r="641" spans="13:24" x14ac:dyDescent="0.25">
      <c r="M641" s="91">
        <v>6.38</v>
      </c>
      <c r="N641" s="89">
        <f t="shared" si="81"/>
        <v>7.62</v>
      </c>
      <c r="O641" s="89">
        <f t="shared" si="82"/>
        <v>5.0232494076324858</v>
      </c>
      <c r="P641" s="97">
        <f t="shared" si="83"/>
        <v>4.0432494076324854</v>
      </c>
      <c r="Q641" s="135">
        <f t="shared" si="86"/>
        <v>9.4787395973196007E-6</v>
      </c>
      <c r="R641" s="89">
        <f t="shared" si="86"/>
        <v>9.0521260402680426E-5</v>
      </c>
      <c r="S641" s="89">
        <f t="shared" si="87"/>
        <v>4.1686938347033493E-7</v>
      </c>
      <c r="T641" s="136">
        <f t="shared" si="87"/>
        <v>2.3988329190194864E-8</v>
      </c>
      <c r="U641" s="137">
        <f t="shared" si="88"/>
        <v>9.4787395973195979E-2</v>
      </c>
      <c r="V641" s="88">
        <f t="shared" si="84"/>
        <v>2.3367505923675145</v>
      </c>
      <c r="W641" s="86">
        <f t="shared" si="89"/>
        <v>2.5967505923675143</v>
      </c>
      <c r="X641" s="90">
        <f t="shared" si="85"/>
        <v>8.4787395973195984E-2</v>
      </c>
    </row>
    <row r="642" spans="13:24" x14ac:dyDescent="0.25">
      <c r="M642" s="91">
        <v>6.39</v>
      </c>
      <c r="N642" s="89">
        <f t="shared" si="81"/>
        <v>7.61</v>
      </c>
      <c r="O642" s="89">
        <f t="shared" si="82"/>
        <v>5.0323113508446067</v>
      </c>
      <c r="P642" s="97">
        <f t="shared" si="83"/>
        <v>4.0423113508446074</v>
      </c>
      <c r="Q642" s="135">
        <f t="shared" si="86"/>
        <v>9.2830063847285197E-6</v>
      </c>
      <c r="R642" s="89">
        <f t="shared" si="86"/>
        <v>9.0716993615271404E-5</v>
      </c>
      <c r="S642" s="89">
        <f t="shared" si="87"/>
        <v>4.0738027780411229E-7</v>
      </c>
      <c r="T642" s="136">
        <f t="shared" si="87"/>
        <v>2.4547089156850259E-8</v>
      </c>
      <c r="U642" s="137">
        <f t="shared" si="88"/>
        <v>9.2830063847285274E-2</v>
      </c>
      <c r="V642" s="88">
        <f t="shared" si="84"/>
        <v>2.3476886491553923</v>
      </c>
      <c r="W642" s="86">
        <f t="shared" si="89"/>
        <v>2.5776886491553936</v>
      </c>
      <c r="X642" s="90">
        <f t="shared" si="85"/>
        <v>8.2830063847285279E-2</v>
      </c>
    </row>
    <row r="643" spans="13:24" x14ac:dyDescent="0.25">
      <c r="M643" s="91">
        <v>6.4</v>
      </c>
      <c r="N643" s="89">
        <f t="shared" ref="N643:N706" si="90">14-M643</f>
        <v>7.6</v>
      </c>
      <c r="O643" s="89">
        <f t="shared" ref="O643:O706" si="91">-LOG(10^-$B$3/(1+10^(M643-$A$3)))</f>
        <v>5.0413926851582254</v>
      </c>
      <c r="P643" s="97">
        <f t="shared" ref="P643:P706" si="92">-LOG(10^-$B$3/(1+10^($A$3-M643)))</f>
        <v>4.0413926851582254</v>
      </c>
      <c r="Q643" s="135">
        <f t="shared" si="86"/>
        <v>9.0909090909090809E-6</v>
      </c>
      <c r="R643" s="89">
        <f t="shared" si="86"/>
        <v>9.0909090909090755E-5</v>
      </c>
      <c r="S643" s="89">
        <f t="shared" si="87"/>
        <v>3.9810717055349618E-7</v>
      </c>
      <c r="T643" s="136">
        <f t="shared" si="87"/>
        <v>2.5118864315095751E-8</v>
      </c>
      <c r="U643" s="137">
        <f t="shared" si="88"/>
        <v>9.0909090909090967E-2</v>
      </c>
      <c r="V643" s="88">
        <f t="shared" ref="V643:V706" si="93">ABS(P643-M643)</f>
        <v>2.358607314841775</v>
      </c>
      <c r="W643" s="86">
        <f t="shared" si="89"/>
        <v>2.5586073148417743</v>
      </c>
      <c r="X643" s="90">
        <f t="shared" ref="X643:X706" si="94">ABS($J$2-U643)</f>
        <v>8.0909090909090972E-2</v>
      </c>
    </row>
    <row r="644" spans="13:24" x14ac:dyDescent="0.25">
      <c r="M644" s="91">
        <v>6.41</v>
      </c>
      <c r="N644" s="89">
        <f t="shared" si="90"/>
        <v>7.59</v>
      </c>
      <c r="O644" s="89">
        <f t="shared" si="91"/>
        <v>5.0504930495245635</v>
      </c>
      <c r="P644" s="97">
        <f t="shared" si="92"/>
        <v>4.0404930495245637</v>
      </c>
      <c r="Q644" s="135">
        <f t="shared" ref="Q644:R707" si="95">10^-O644</f>
        <v>8.9023968534654632E-6</v>
      </c>
      <c r="R644" s="89">
        <f t="shared" si="95"/>
        <v>9.109760314653437E-5</v>
      </c>
      <c r="S644" s="89">
        <f t="shared" ref="S644:T707" si="96">10^-M644</f>
        <v>3.8904514499428027E-7</v>
      </c>
      <c r="T644" s="136">
        <f t="shared" si="96"/>
        <v>2.5703957827688587E-8</v>
      </c>
      <c r="U644" s="137">
        <f t="shared" ref="U644:U707" si="97">Q644/(Q644+R644)</f>
        <v>8.9023968534654788E-2</v>
      </c>
      <c r="V644" s="88">
        <f t="shared" si="93"/>
        <v>2.3695069504754365</v>
      </c>
      <c r="W644" s="86">
        <f t="shared" ref="W644:W707" si="98">ABS(O644-N644)</f>
        <v>2.5395069504754364</v>
      </c>
      <c r="X644" s="90">
        <f t="shared" si="94"/>
        <v>7.9023968534654793E-2</v>
      </c>
    </row>
    <row r="645" spans="13:24" x14ac:dyDescent="0.25">
      <c r="M645" s="91">
        <v>6.42</v>
      </c>
      <c r="N645" s="89">
        <f t="shared" si="90"/>
        <v>7.58</v>
      </c>
      <c r="O645" s="89">
        <f t="shared" si="91"/>
        <v>5.0596120879806064</v>
      </c>
      <c r="P645" s="97">
        <f t="shared" si="92"/>
        <v>4.0396120879806068</v>
      </c>
      <c r="Q645" s="135">
        <f t="shared" si="95"/>
        <v>8.7174188254586842E-6</v>
      </c>
      <c r="R645" s="89">
        <f t="shared" si="95"/>
        <v>9.1282581174541229E-5</v>
      </c>
      <c r="S645" s="89">
        <f t="shared" si="96"/>
        <v>3.8018939632056089E-7</v>
      </c>
      <c r="T645" s="136">
        <f t="shared" si="96"/>
        <v>2.6302679918953758E-8</v>
      </c>
      <c r="U645" s="137">
        <f t="shared" si="97"/>
        <v>8.7174188254586921E-2</v>
      </c>
      <c r="V645" s="88">
        <f t="shared" si="93"/>
        <v>2.3803879120193931</v>
      </c>
      <c r="W645" s="86">
        <f t="shared" si="98"/>
        <v>2.5203879120193937</v>
      </c>
      <c r="X645" s="90">
        <f t="shared" si="94"/>
        <v>7.7174188254586926E-2</v>
      </c>
    </row>
    <row r="646" spans="13:24" x14ac:dyDescent="0.25">
      <c r="M646" s="91">
        <v>6.43</v>
      </c>
      <c r="N646" s="89">
        <f t="shared" si="90"/>
        <v>7.57</v>
      </c>
      <c r="O646" s="89">
        <f t="shared" si="91"/>
        <v>5.0687494496458134</v>
      </c>
      <c r="P646" s="97">
        <f t="shared" si="92"/>
        <v>4.0387494496458141</v>
      </c>
      <c r="Q646" s="135">
        <f t="shared" si="95"/>
        <v>8.535924209948737E-6</v>
      </c>
      <c r="R646" s="89">
        <f t="shared" si="95"/>
        <v>9.1464075790051254E-5</v>
      </c>
      <c r="S646" s="89">
        <f t="shared" si="96"/>
        <v>3.7153522909717226E-7</v>
      </c>
      <c r="T646" s="136">
        <f t="shared" si="96"/>
        <v>2.6915348039269097E-8</v>
      </c>
      <c r="U646" s="137">
        <f t="shared" si="97"/>
        <v>8.5359242099487379E-2</v>
      </c>
      <c r="V646" s="88">
        <f t="shared" si="93"/>
        <v>2.3912505503541857</v>
      </c>
      <c r="W646" s="86">
        <f t="shared" si="98"/>
        <v>2.5012505503541869</v>
      </c>
      <c r="X646" s="90">
        <f t="shared" si="94"/>
        <v>7.5359242099487384E-2</v>
      </c>
    </row>
    <row r="647" spans="13:24" x14ac:dyDescent="0.25">
      <c r="M647" s="91">
        <v>6.44</v>
      </c>
      <c r="N647" s="89">
        <f t="shared" si="90"/>
        <v>7.56</v>
      </c>
      <c r="O647" s="89">
        <f t="shared" si="91"/>
        <v>5.0779047887154576</v>
      </c>
      <c r="P647" s="97">
        <f t="shared" si="92"/>
        <v>4.0379047887154575</v>
      </c>
      <c r="Q647" s="135">
        <f t="shared" si="95"/>
        <v>8.357862293048637E-6</v>
      </c>
      <c r="R647" s="89">
        <f t="shared" si="95"/>
        <v>9.164213770695119E-5</v>
      </c>
      <c r="S647" s="89">
        <f t="shared" si="96"/>
        <v>3.6307805477010047E-7</v>
      </c>
      <c r="T647" s="136">
        <f t="shared" si="96"/>
        <v>2.75422870333816E-8</v>
      </c>
      <c r="U647" s="137">
        <f t="shared" si="97"/>
        <v>8.3578622930486512E-2</v>
      </c>
      <c r="V647" s="88">
        <f t="shared" si="93"/>
        <v>2.4020952112845428</v>
      </c>
      <c r="W647" s="86">
        <f t="shared" si="98"/>
        <v>2.482095211284542</v>
      </c>
      <c r="X647" s="90">
        <f t="shared" si="94"/>
        <v>7.3578622930486517E-2</v>
      </c>
    </row>
    <row r="648" spans="13:24" x14ac:dyDescent="0.25">
      <c r="M648" s="91">
        <v>6.45</v>
      </c>
      <c r="N648" s="89">
        <f t="shared" si="90"/>
        <v>7.55</v>
      </c>
      <c r="O648" s="89">
        <f t="shared" si="91"/>
        <v>5.0870777644507195</v>
      </c>
      <c r="P648" s="97">
        <f t="shared" si="92"/>
        <v>4.0370777644507196</v>
      </c>
      <c r="Q648" s="135">
        <f t="shared" si="95"/>
        <v>8.1831824755151984E-6</v>
      </c>
      <c r="R648" s="89">
        <f t="shared" si="95"/>
        <v>9.1816817524484839E-5</v>
      </c>
      <c r="S648" s="89">
        <f t="shared" si="96"/>
        <v>3.5481338923357463E-7</v>
      </c>
      <c r="T648" s="136">
        <f t="shared" si="96"/>
        <v>2.8183829312644468E-8</v>
      </c>
      <c r="U648" s="137">
        <f t="shared" si="97"/>
        <v>8.1831824755151952E-2</v>
      </c>
      <c r="V648" s="88">
        <f t="shared" si="93"/>
        <v>2.4129222355492805</v>
      </c>
      <c r="W648" s="86">
        <f t="shared" si="98"/>
        <v>2.4629222355492804</v>
      </c>
      <c r="X648" s="90">
        <f t="shared" si="94"/>
        <v>7.1831824755151957E-2</v>
      </c>
    </row>
    <row r="649" spans="13:24" x14ac:dyDescent="0.25">
      <c r="M649" s="91">
        <v>6.46</v>
      </c>
      <c r="N649" s="89">
        <f t="shared" si="90"/>
        <v>7.54</v>
      </c>
      <c r="O649" s="89">
        <f t="shared" si="91"/>
        <v>5.0962680411657164</v>
      </c>
      <c r="P649" s="97">
        <f t="shared" si="92"/>
        <v>4.0362680411657168</v>
      </c>
      <c r="Q649" s="135">
        <f t="shared" si="95"/>
        <v>8.0118343029019209E-6</v>
      </c>
      <c r="R649" s="89">
        <f t="shared" si="95"/>
        <v>9.1988165697097984E-5</v>
      </c>
      <c r="S649" s="89">
        <f t="shared" si="96"/>
        <v>3.4673685045253148E-7</v>
      </c>
      <c r="T649" s="136">
        <f t="shared" si="96"/>
        <v>2.8840315031265985E-8</v>
      </c>
      <c r="U649" s="137">
        <f t="shared" si="97"/>
        <v>8.0118343029019282E-2</v>
      </c>
      <c r="V649" s="88">
        <f t="shared" si="93"/>
        <v>2.4237319588342832</v>
      </c>
      <c r="W649" s="86">
        <f t="shared" si="98"/>
        <v>2.4437319588342836</v>
      </c>
      <c r="X649" s="90">
        <f t="shared" si="94"/>
        <v>7.0118343029019287E-2</v>
      </c>
    </row>
    <row r="650" spans="13:24" x14ac:dyDescent="0.25">
      <c r="M650" s="91">
        <v>6.47</v>
      </c>
      <c r="N650" s="89">
        <f t="shared" si="90"/>
        <v>7.53</v>
      </c>
      <c r="O650" s="89">
        <f t="shared" si="91"/>
        <v>5.1054752882115624</v>
      </c>
      <c r="P650" s="97">
        <f t="shared" si="92"/>
        <v>4.035475288211563</v>
      </c>
      <c r="Q650" s="135">
        <f t="shared" si="95"/>
        <v>7.8437674943021741E-6</v>
      </c>
      <c r="R650" s="89">
        <f t="shared" si="95"/>
        <v>9.2156232505697722E-5</v>
      </c>
      <c r="S650" s="89">
        <f t="shared" si="96"/>
        <v>3.3884415613920242E-7</v>
      </c>
      <c r="T650" s="136">
        <f t="shared" si="96"/>
        <v>2.9512092266663779E-8</v>
      </c>
      <c r="U650" s="137">
        <f t="shared" si="97"/>
        <v>7.8437674943021826E-2</v>
      </c>
      <c r="V650" s="88">
        <f t="shared" si="93"/>
        <v>2.4345247117884368</v>
      </c>
      <c r="W650" s="86">
        <f t="shared" si="98"/>
        <v>2.4245247117884379</v>
      </c>
      <c r="X650" s="90">
        <f t="shared" si="94"/>
        <v>6.8437674943021831E-2</v>
      </c>
    </row>
    <row r="651" spans="13:24" x14ac:dyDescent="0.25">
      <c r="M651" s="91">
        <v>6.48</v>
      </c>
      <c r="N651" s="89">
        <f t="shared" si="90"/>
        <v>7.52</v>
      </c>
      <c r="O651" s="89">
        <f t="shared" si="91"/>
        <v>5.1146991799576416</v>
      </c>
      <c r="P651" s="97">
        <f t="shared" si="92"/>
        <v>4.0346991799576415</v>
      </c>
      <c r="Q651" s="135">
        <f t="shared" si="95"/>
        <v>7.67893196971002E-6</v>
      </c>
      <c r="R651" s="89">
        <f t="shared" si="95"/>
        <v>9.2321068030289978E-5</v>
      </c>
      <c r="S651" s="89">
        <f t="shared" si="96"/>
        <v>3.3113112148259042E-7</v>
      </c>
      <c r="T651" s="136">
        <f t="shared" si="96"/>
        <v>3.0199517204020188E-8</v>
      </c>
      <c r="U651" s="137">
        <f t="shared" si="97"/>
        <v>7.6789319697100206E-2</v>
      </c>
      <c r="V651" s="88">
        <f t="shared" si="93"/>
        <v>2.4453008200423589</v>
      </c>
      <c r="W651" s="86">
        <f t="shared" si="98"/>
        <v>2.405300820042358</v>
      </c>
      <c r="X651" s="90">
        <f t="shared" si="94"/>
        <v>6.6789319697100211E-2</v>
      </c>
    </row>
    <row r="652" spans="13:24" x14ac:dyDescent="0.25">
      <c r="M652" s="91">
        <v>6.49</v>
      </c>
      <c r="N652" s="89">
        <f t="shared" si="90"/>
        <v>7.51</v>
      </c>
      <c r="O652" s="89">
        <f t="shared" si="91"/>
        <v>5.1239393957702033</v>
      </c>
      <c r="P652" s="97">
        <f t="shared" si="92"/>
        <v>4.0339393957702034</v>
      </c>
      <c r="Q652" s="135">
        <f t="shared" si="95"/>
        <v>7.5172778760288311E-6</v>
      </c>
      <c r="R652" s="89">
        <f t="shared" si="95"/>
        <v>9.2482722123971025E-5</v>
      </c>
      <c r="S652" s="89">
        <f t="shared" si="96"/>
        <v>3.2359365692962763E-7</v>
      </c>
      <c r="T652" s="136">
        <f t="shared" si="96"/>
        <v>3.0902954325135814E-8</v>
      </c>
      <c r="U652" s="137">
        <f t="shared" si="97"/>
        <v>7.5172778760288425E-2</v>
      </c>
      <c r="V652" s="88">
        <f t="shared" si="93"/>
        <v>2.4560606042297968</v>
      </c>
      <c r="W652" s="86">
        <f t="shared" si="98"/>
        <v>2.3860606042297965</v>
      </c>
      <c r="X652" s="90">
        <f t="shared" si="94"/>
        <v>6.517277876028843E-2</v>
      </c>
    </row>
    <row r="653" spans="13:24" x14ac:dyDescent="0.25">
      <c r="M653" s="91">
        <v>6.5</v>
      </c>
      <c r="N653" s="89">
        <f t="shared" si="90"/>
        <v>7.5</v>
      </c>
      <c r="O653" s="89">
        <f t="shared" si="91"/>
        <v>5.1331956199884274</v>
      </c>
      <c r="P653" s="97">
        <f t="shared" si="92"/>
        <v>4.0331956199884278</v>
      </c>
      <c r="Q653" s="135">
        <f t="shared" si="95"/>
        <v>7.3587556117573497E-6</v>
      </c>
      <c r="R653" s="89">
        <f t="shared" si="95"/>
        <v>9.2641244388242617E-5</v>
      </c>
      <c r="S653" s="89">
        <f t="shared" si="96"/>
        <v>3.1622776601683734E-7</v>
      </c>
      <c r="T653" s="136">
        <f t="shared" si="96"/>
        <v>3.1622776601683699E-8</v>
      </c>
      <c r="U653" s="137">
        <f t="shared" si="97"/>
        <v>7.3587556117573519E-2</v>
      </c>
      <c r="V653" s="88">
        <f t="shared" si="93"/>
        <v>2.4668043800115722</v>
      </c>
      <c r="W653" s="86">
        <f t="shared" si="98"/>
        <v>2.3668043800115726</v>
      </c>
      <c r="X653" s="90">
        <f t="shared" si="94"/>
        <v>6.3587556117573524E-2</v>
      </c>
    </row>
    <row r="654" spans="13:24" x14ac:dyDescent="0.25">
      <c r="M654" s="91">
        <v>6.51</v>
      </c>
      <c r="N654" s="89">
        <f t="shared" si="90"/>
        <v>7.49</v>
      </c>
      <c r="O654" s="89">
        <f t="shared" si="91"/>
        <v>5.1424675418980845</v>
      </c>
      <c r="P654" s="97">
        <f t="shared" si="92"/>
        <v>4.0324675418980851</v>
      </c>
      <c r="Q654" s="135">
        <f t="shared" si="95"/>
        <v>7.2033158503842707E-6</v>
      </c>
      <c r="R654" s="89">
        <f t="shared" si="95"/>
        <v>9.2796684149615673E-5</v>
      </c>
      <c r="S654" s="89">
        <f t="shared" si="96"/>
        <v>3.090295432513585E-7</v>
      </c>
      <c r="T654" s="136">
        <f t="shared" si="96"/>
        <v>3.2359365692962729E-8</v>
      </c>
      <c r="U654" s="137">
        <f t="shared" si="97"/>
        <v>7.2033158503842759E-2</v>
      </c>
      <c r="V654" s="88">
        <f t="shared" si="93"/>
        <v>2.4775324581019147</v>
      </c>
      <c r="W654" s="86">
        <f t="shared" si="98"/>
        <v>2.3475324581019157</v>
      </c>
      <c r="X654" s="90">
        <f t="shared" si="94"/>
        <v>6.2033158503842757E-2</v>
      </c>
    </row>
    <row r="655" spans="13:24" x14ac:dyDescent="0.25">
      <c r="M655" s="91">
        <v>6.52</v>
      </c>
      <c r="N655" s="89">
        <f t="shared" si="90"/>
        <v>7.48</v>
      </c>
      <c r="O655" s="89">
        <f t="shared" si="91"/>
        <v>5.1517548557029205</v>
      </c>
      <c r="P655" s="97">
        <f t="shared" si="92"/>
        <v>4.0317548557029204</v>
      </c>
      <c r="Q655" s="135">
        <f t="shared" si="95"/>
        <v>7.0509095625229635E-6</v>
      </c>
      <c r="R655" s="89">
        <f t="shared" si="95"/>
        <v>9.2949090437477054E-5</v>
      </c>
      <c r="S655" s="89">
        <f t="shared" si="96"/>
        <v>3.0199517204020165E-7</v>
      </c>
      <c r="T655" s="136">
        <f t="shared" si="96"/>
        <v>3.3113112148259005E-8</v>
      </c>
      <c r="U655" s="137">
        <f t="shared" si="97"/>
        <v>7.0509095625229626E-2</v>
      </c>
      <c r="V655" s="88">
        <f t="shared" si="93"/>
        <v>2.4882451442970792</v>
      </c>
      <c r="W655" s="86">
        <f t="shared" si="98"/>
        <v>2.32824514429708</v>
      </c>
      <c r="X655" s="90">
        <f t="shared" si="94"/>
        <v>6.0509095625229624E-2</v>
      </c>
    </row>
    <row r="656" spans="13:24" x14ac:dyDescent="0.25">
      <c r="M656" s="91">
        <v>6.53</v>
      </c>
      <c r="N656" s="89">
        <f t="shared" si="90"/>
        <v>7.47</v>
      </c>
      <c r="O656" s="89">
        <f t="shared" si="91"/>
        <v>5.1610572604938847</v>
      </c>
      <c r="P656" s="97">
        <f t="shared" si="92"/>
        <v>4.0310572604938848</v>
      </c>
      <c r="Q656" s="135">
        <f t="shared" si="95"/>
        <v>6.90148803681825E-6</v>
      </c>
      <c r="R656" s="89">
        <f t="shared" si="95"/>
        <v>9.3098511963181574E-5</v>
      </c>
      <c r="S656" s="89">
        <f t="shared" si="96"/>
        <v>2.9512092266663814E-7</v>
      </c>
      <c r="T656" s="136">
        <f t="shared" si="96"/>
        <v>3.3884415613920266E-8</v>
      </c>
      <c r="U656" s="137">
        <f t="shared" si="97"/>
        <v>6.9014880368182624E-2</v>
      </c>
      <c r="V656" s="88">
        <f t="shared" si="93"/>
        <v>2.4989427395061155</v>
      </c>
      <c r="W656" s="86">
        <f t="shared" si="98"/>
        <v>2.3089427395061151</v>
      </c>
      <c r="X656" s="90">
        <f t="shared" si="94"/>
        <v>5.9014880368182622E-2</v>
      </c>
    </row>
    <row r="657" spans="13:24" x14ac:dyDescent="0.25">
      <c r="M657" s="91">
        <v>6.54</v>
      </c>
      <c r="N657" s="89">
        <f t="shared" si="90"/>
        <v>7.46</v>
      </c>
      <c r="O657" s="89">
        <f t="shared" si="91"/>
        <v>5.1703744602163351</v>
      </c>
      <c r="P657" s="97">
        <f t="shared" si="92"/>
        <v>4.0303744602163354</v>
      </c>
      <c r="Q657" s="135">
        <f t="shared" si="95"/>
        <v>6.7550028996576111E-6</v>
      </c>
      <c r="R657" s="89">
        <f t="shared" si="95"/>
        <v>9.3244997100342238E-5</v>
      </c>
      <c r="S657" s="89">
        <f t="shared" si="96"/>
        <v>2.8840315031266014E-7</v>
      </c>
      <c r="T657" s="136">
        <f t="shared" si="96"/>
        <v>3.4673685045253171E-8</v>
      </c>
      <c r="U657" s="137">
        <f t="shared" si="97"/>
        <v>6.7550028996576209E-2</v>
      </c>
      <c r="V657" s="88">
        <f t="shared" si="93"/>
        <v>2.5096255397836646</v>
      </c>
      <c r="W657" s="86">
        <f t="shared" si="98"/>
        <v>2.2896255397836649</v>
      </c>
      <c r="X657" s="90">
        <f t="shared" si="94"/>
        <v>5.7550028996576207E-2</v>
      </c>
    </row>
    <row r="658" spans="13:24" x14ac:dyDescent="0.25">
      <c r="M658" s="91">
        <v>6.55</v>
      </c>
      <c r="N658" s="89">
        <f t="shared" si="90"/>
        <v>7.45</v>
      </c>
      <c r="O658" s="89">
        <f t="shared" si="91"/>
        <v>5.179706163635327</v>
      </c>
      <c r="P658" s="97">
        <f t="shared" si="92"/>
        <v>4.0297061636353275</v>
      </c>
      <c r="Q658" s="135">
        <f t="shared" si="95"/>
        <v>6.6114061337195605E-6</v>
      </c>
      <c r="R658" s="89">
        <f t="shared" si="95"/>
        <v>9.3388593866280419E-5</v>
      </c>
      <c r="S658" s="89">
        <f t="shared" si="96"/>
        <v>2.8183829312644502E-7</v>
      </c>
      <c r="T658" s="136">
        <f t="shared" si="96"/>
        <v>3.5481338923357426E-8</v>
      </c>
      <c r="U658" s="137">
        <f t="shared" si="97"/>
        <v>6.611406133719562E-2</v>
      </c>
      <c r="V658" s="88">
        <f t="shared" si="93"/>
        <v>2.5202938363646723</v>
      </c>
      <c r="W658" s="86">
        <f t="shared" si="98"/>
        <v>2.2702938363646732</v>
      </c>
      <c r="X658" s="90">
        <f t="shared" si="94"/>
        <v>5.6114061337195618E-2</v>
      </c>
    </row>
    <row r="659" spans="13:24" x14ac:dyDescent="0.25">
      <c r="M659" s="91">
        <v>6.56</v>
      </c>
      <c r="N659" s="89">
        <f t="shared" si="90"/>
        <v>7.44</v>
      </c>
      <c r="O659" s="89">
        <f t="shared" si="91"/>
        <v>5.1890520842991039</v>
      </c>
      <c r="P659" s="97">
        <f t="shared" si="92"/>
        <v>4.0290520842991047</v>
      </c>
      <c r="Q659" s="135">
        <f t="shared" si="95"/>
        <v>6.4706500953921742E-6</v>
      </c>
      <c r="R659" s="89">
        <f t="shared" si="95"/>
        <v>9.3529349904607586E-5</v>
      </c>
      <c r="S659" s="89">
        <f t="shared" si="96"/>
        <v>2.7542287033381632E-7</v>
      </c>
      <c r="T659" s="136">
        <f t="shared" si="96"/>
        <v>3.630780547701001E-8</v>
      </c>
      <c r="U659" s="137">
        <f t="shared" si="97"/>
        <v>6.47065009539219E-2</v>
      </c>
      <c r="V659" s="88">
        <f t="shared" si="93"/>
        <v>2.5309479157008949</v>
      </c>
      <c r="W659" s="86">
        <f t="shared" si="98"/>
        <v>2.2509479157008965</v>
      </c>
      <c r="X659" s="90">
        <f t="shared" si="94"/>
        <v>5.4706500953921898E-2</v>
      </c>
    </row>
    <row r="660" spans="13:24" x14ac:dyDescent="0.25">
      <c r="M660" s="91">
        <v>6.57</v>
      </c>
      <c r="N660" s="89">
        <f t="shared" si="90"/>
        <v>7.43</v>
      </c>
      <c r="O660" s="89">
        <f t="shared" si="91"/>
        <v>5.1984119405008986</v>
      </c>
      <c r="P660" s="97">
        <f t="shared" si="92"/>
        <v>4.0284119405008987</v>
      </c>
      <c r="Q660" s="135">
        <f t="shared" si="95"/>
        <v>6.332687531094784E-6</v>
      </c>
      <c r="R660" s="89">
        <f t="shared" si="95"/>
        <v>9.3667312468905062E-5</v>
      </c>
      <c r="S660" s="89">
        <f t="shared" si="96"/>
        <v>2.691534803926908E-7</v>
      </c>
      <c r="T660" s="136">
        <f t="shared" si="96"/>
        <v>3.7153522909717246E-8</v>
      </c>
      <c r="U660" s="137">
        <f t="shared" si="97"/>
        <v>6.3326875310947939E-2</v>
      </c>
      <c r="V660" s="88">
        <f t="shared" si="93"/>
        <v>2.5415880594991016</v>
      </c>
      <c r="W660" s="86">
        <f t="shared" si="98"/>
        <v>2.2315880594991011</v>
      </c>
      <c r="X660" s="90">
        <f t="shared" si="94"/>
        <v>5.3326875310947937E-2</v>
      </c>
    </row>
    <row r="661" spans="13:24" x14ac:dyDescent="0.25">
      <c r="M661" s="91">
        <v>6.58</v>
      </c>
      <c r="N661" s="89">
        <f t="shared" si="90"/>
        <v>7.42</v>
      </c>
      <c r="O661" s="89">
        <f t="shared" si="91"/>
        <v>5.2077854552391596</v>
      </c>
      <c r="P661" s="97">
        <f t="shared" si="92"/>
        <v>4.0277854552391599</v>
      </c>
      <c r="Q661" s="135">
        <f t="shared" si="95"/>
        <v>6.1974715925357998E-6</v>
      </c>
      <c r="R661" s="89">
        <f t="shared" si="95"/>
        <v>9.3802528407464154E-5</v>
      </c>
      <c r="S661" s="89">
        <f t="shared" si="96"/>
        <v>2.6302679918953789E-7</v>
      </c>
      <c r="T661" s="136">
        <f t="shared" si="96"/>
        <v>3.8018939632056113E-8</v>
      </c>
      <c r="U661" s="137">
        <f t="shared" si="97"/>
        <v>6.1974715925358026E-2</v>
      </c>
      <c r="V661" s="88">
        <f t="shared" si="93"/>
        <v>2.5522145447608402</v>
      </c>
      <c r="W661" s="86">
        <f t="shared" si="98"/>
        <v>2.2122145447608403</v>
      </c>
      <c r="X661" s="90">
        <f t="shared" si="94"/>
        <v>5.1974715925358024E-2</v>
      </c>
    </row>
    <row r="662" spans="13:24" x14ac:dyDescent="0.25">
      <c r="M662" s="91">
        <v>6.59</v>
      </c>
      <c r="N662" s="89">
        <f t="shared" si="90"/>
        <v>7.41</v>
      </c>
      <c r="O662" s="89">
        <f t="shared" si="91"/>
        <v>5.2171723561763068</v>
      </c>
      <c r="P662" s="97">
        <f t="shared" si="92"/>
        <v>4.0271723561763073</v>
      </c>
      <c r="Q662" s="135">
        <f t="shared" si="95"/>
        <v>6.064955850939773E-6</v>
      </c>
      <c r="R662" s="89">
        <f t="shared" si="95"/>
        <v>9.3935044149060046E-5</v>
      </c>
      <c r="S662" s="89">
        <f t="shared" si="96"/>
        <v>2.5703957827688611E-7</v>
      </c>
      <c r="T662" s="136">
        <f t="shared" si="96"/>
        <v>3.890451449942805E-8</v>
      </c>
      <c r="U662" s="137">
        <f t="shared" si="97"/>
        <v>6.0649558509397843E-2</v>
      </c>
      <c r="V662" s="88">
        <f t="shared" si="93"/>
        <v>2.5628276438236925</v>
      </c>
      <c r="W662" s="86">
        <f t="shared" si="98"/>
        <v>2.1928276438236933</v>
      </c>
      <c r="X662" s="90">
        <f t="shared" si="94"/>
        <v>5.0649558509397841E-2</v>
      </c>
    </row>
    <row r="663" spans="13:24" x14ac:dyDescent="0.25">
      <c r="M663" s="91">
        <v>6.6</v>
      </c>
      <c r="N663" s="89">
        <f t="shared" si="90"/>
        <v>7.4</v>
      </c>
      <c r="O663" s="89">
        <f t="shared" si="91"/>
        <v>5.2265723755961018</v>
      </c>
      <c r="P663" s="97">
        <f t="shared" si="92"/>
        <v>4.0265723755961025</v>
      </c>
      <c r="Q663" s="135">
        <f t="shared" si="95"/>
        <v>5.9350943102767664E-6</v>
      </c>
      <c r="R663" s="89">
        <f t="shared" si="95"/>
        <v>9.4064905689723115E-5</v>
      </c>
      <c r="S663" s="89">
        <f t="shared" si="96"/>
        <v>2.511886431509578E-7</v>
      </c>
      <c r="T663" s="136">
        <f t="shared" si="96"/>
        <v>3.981071705534957E-8</v>
      </c>
      <c r="U663" s="137">
        <f t="shared" si="97"/>
        <v>5.9350943102767735E-2</v>
      </c>
      <c r="V663" s="88">
        <f t="shared" si="93"/>
        <v>2.5734276244038972</v>
      </c>
      <c r="W663" s="86">
        <f t="shared" si="98"/>
        <v>2.1734276244038986</v>
      </c>
      <c r="X663" s="90">
        <f t="shared" si="94"/>
        <v>4.9350943102767733E-2</v>
      </c>
    </row>
    <row r="664" spans="13:24" x14ac:dyDescent="0.25">
      <c r="M664" s="91">
        <v>6.61</v>
      </c>
      <c r="N664" s="89">
        <f t="shared" si="90"/>
        <v>7.39</v>
      </c>
      <c r="O664" s="89">
        <f t="shared" si="91"/>
        <v>5.2359852503597617</v>
      </c>
      <c r="P664" s="97">
        <f t="shared" si="92"/>
        <v>4.0259852503597617</v>
      </c>
      <c r="Q664" s="135">
        <f t="shared" si="95"/>
        <v>5.8078414195264057E-6</v>
      </c>
      <c r="R664" s="89">
        <f t="shared" si="95"/>
        <v>9.4192158580473536E-5</v>
      </c>
      <c r="S664" s="89">
        <f t="shared" si="96"/>
        <v>2.454708915685024E-7</v>
      </c>
      <c r="T664" s="136">
        <f t="shared" si="96"/>
        <v>4.0738027780411254E-8</v>
      </c>
      <c r="U664" s="137">
        <f t="shared" si="97"/>
        <v>5.8078414195264091E-2</v>
      </c>
      <c r="V664" s="88">
        <f t="shared" si="93"/>
        <v>2.5840147496402386</v>
      </c>
      <c r="W664" s="86">
        <f t="shared" si="98"/>
        <v>2.154014749640238</v>
      </c>
      <c r="X664" s="90">
        <f t="shared" si="94"/>
        <v>4.8078414195264089E-2</v>
      </c>
    </row>
    <row r="665" spans="13:24" x14ac:dyDescent="0.25">
      <c r="M665" s="91">
        <v>6.62</v>
      </c>
      <c r="N665" s="89">
        <f t="shared" si="90"/>
        <v>7.38</v>
      </c>
      <c r="O665" s="89">
        <f t="shared" si="91"/>
        <v>5.2454107218608748</v>
      </c>
      <c r="P665" s="97">
        <f t="shared" si="92"/>
        <v>4.025410721860875</v>
      </c>
      <c r="Q665" s="135">
        <f t="shared" si="95"/>
        <v>5.6831520840097175E-6</v>
      </c>
      <c r="R665" s="89">
        <f t="shared" si="95"/>
        <v>9.4316847915990225E-5</v>
      </c>
      <c r="S665" s="89">
        <f t="shared" si="96"/>
        <v>2.3988329190194845E-7</v>
      </c>
      <c r="T665" s="136">
        <f t="shared" si="96"/>
        <v>4.1686938347033516E-8</v>
      </c>
      <c r="U665" s="137">
        <f t="shared" si="97"/>
        <v>5.6831520840097211E-2</v>
      </c>
      <c r="V665" s="88">
        <f t="shared" si="93"/>
        <v>2.5945892781391251</v>
      </c>
      <c r="W665" s="86">
        <f t="shared" si="98"/>
        <v>2.1345892781391251</v>
      </c>
      <c r="X665" s="90">
        <f t="shared" si="94"/>
        <v>4.6831520840097209E-2</v>
      </c>
    </row>
    <row r="666" spans="13:24" x14ac:dyDescent="0.25">
      <c r="M666" s="91">
        <v>6.63</v>
      </c>
      <c r="N666" s="89">
        <f t="shared" si="90"/>
        <v>7.37</v>
      </c>
      <c r="O666" s="89">
        <f t="shared" si="91"/>
        <v>5.254848535979245</v>
      </c>
      <c r="P666" s="97">
        <f t="shared" si="92"/>
        <v>4.0248485359792445</v>
      </c>
      <c r="Q666" s="135">
        <f t="shared" si="95"/>
        <v>5.5609816758203306E-6</v>
      </c>
      <c r="R666" s="89">
        <f t="shared" si="95"/>
        <v>9.443901832417972E-5</v>
      </c>
      <c r="S666" s="89">
        <f t="shared" si="96"/>
        <v>2.3442288153199206E-7</v>
      </c>
      <c r="T666" s="136">
        <f t="shared" si="96"/>
        <v>4.2657951880159239E-8</v>
      </c>
      <c r="U666" s="137">
        <f t="shared" si="97"/>
        <v>5.5609816758203277E-2</v>
      </c>
      <c r="V666" s="88">
        <f t="shared" si="93"/>
        <v>2.6051514640207554</v>
      </c>
      <c r="W666" s="86">
        <f t="shared" si="98"/>
        <v>2.1151514640207552</v>
      </c>
      <c r="X666" s="90">
        <f t="shared" si="94"/>
        <v>4.5609816758203275E-2</v>
      </c>
    </row>
    <row r="667" spans="13:24" x14ac:dyDescent="0.25">
      <c r="M667" s="91">
        <v>6.64</v>
      </c>
      <c r="N667" s="89">
        <f t="shared" si="90"/>
        <v>7.36</v>
      </c>
      <c r="O667" s="89">
        <f t="shared" si="91"/>
        <v>5.2642984430337245</v>
      </c>
      <c r="P667" s="97">
        <f t="shared" si="92"/>
        <v>4.0242984430337243</v>
      </c>
      <c r="Q667" s="135">
        <f t="shared" si="95"/>
        <v>5.4412860433875212E-6</v>
      </c>
      <c r="R667" s="89">
        <f t="shared" si="95"/>
        <v>9.4558713956612484E-5</v>
      </c>
      <c r="S667" s="89">
        <f t="shared" si="96"/>
        <v>2.2908676527677716E-7</v>
      </c>
      <c r="T667" s="136">
        <f t="shared" si="96"/>
        <v>4.3651583224016566E-8</v>
      </c>
      <c r="U667" s="137">
        <f t="shared" si="97"/>
        <v>5.4412860433875207E-2</v>
      </c>
      <c r="V667" s="88">
        <f t="shared" si="93"/>
        <v>2.6157015569662754</v>
      </c>
      <c r="W667" s="86">
        <f t="shared" si="98"/>
        <v>2.0957015569662758</v>
      </c>
      <c r="X667" s="90">
        <f t="shared" si="94"/>
        <v>4.4412860433875205E-2</v>
      </c>
    </row>
    <row r="668" spans="13:24" x14ac:dyDescent="0.25">
      <c r="M668" s="91">
        <v>6.65</v>
      </c>
      <c r="N668" s="89">
        <f t="shared" si="90"/>
        <v>7.35</v>
      </c>
      <c r="O668" s="89">
        <f t="shared" si="91"/>
        <v>5.2737601977341404</v>
      </c>
      <c r="P668" s="97">
        <f t="shared" si="92"/>
        <v>4.0237601977341404</v>
      </c>
      <c r="Q668" s="135">
        <f t="shared" si="95"/>
        <v>5.3240215202022405E-6</v>
      </c>
      <c r="R668" s="89">
        <f t="shared" si="95"/>
        <v>9.4675978479797577E-5</v>
      </c>
      <c r="S668" s="89">
        <f t="shared" si="96"/>
        <v>2.2387211385683346E-7</v>
      </c>
      <c r="T668" s="136">
        <f t="shared" si="96"/>
        <v>4.466835921509628E-8</v>
      </c>
      <c r="U668" s="137">
        <f t="shared" si="97"/>
        <v>5.3240215202022503E-2</v>
      </c>
      <c r="V668" s="88">
        <f t="shared" si="93"/>
        <v>2.62623980226586</v>
      </c>
      <c r="W668" s="86">
        <f t="shared" si="98"/>
        <v>2.0762398022658592</v>
      </c>
      <c r="X668" s="90">
        <f t="shared" si="94"/>
        <v>4.3240215202022501E-2</v>
      </c>
    </row>
    <row r="669" spans="13:24" x14ac:dyDescent="0.25">
      <c r="M669" s="91">
        <v>6.66</v>
      </c>
      <c r="N669" s="89">
        <f t="shared" si="90"/>
        <v>7.34</v>
      </c>
      <c r="O669" s="89">
        <f t="shared" si="91"/>
        <v>5.2832335591323822</v>
      </c>
      <c r="P669" s="97">
        <f t="shared" si="92"/>
        <v>4.0232335591323825</v>
      </c>
      <c r="Q669" s="135">
        <f t="shared" si="95"/>
        <v>5.2091449327374902E-6</v>
      </c>
      <c r="R669" s="89">
        <f t="shared" si="95"/>
        <v>9.479085506726243E-5</v>
      </c>
      <c r="S669" s="89">
        <f t="shared" si="96"/>
        <v>2.1877616239495479E-7</v>
      </c>
      <c r="T669" s="136">
        <f t="shared" si="96"/>
        <v>4.5708818961487464E-8</v>
      </c>
      <c r="U669" s="137">
        <f t="shared" si="97"/>
        <v>5.2091449327374945E-2</v>
      </c>
      <c r="V669" s="88">
        <f t="shared" si="93"/>
        <v>2.6367664408676177</v>
      </c>
      <c r="W669" s="86">
        <f t="shared" si="98"/>
        <v>2.0567664408676176</v>
      </c>
      <c r="X669" s="90">
        <f t="shared" si="94"/>
        <v>4.2091449327374943E-2</v>
      </c>
    </row>
    <row r="670" spans="13:24" x14ac:dyDescent="0.25">
      <c r="M670" s="91">
        <v>6.67</v>
      </c>
      <c r="N670" s="89">
        <f t="shared" si="90"/>
        <v>7.33</v>
      </c>
      <c r="O670" s="89">
        <f t="shared" si="91"/>
        <v>5.2927182905727443</v>
      </c>
      <c r="P670" s="97">
        <f t="shared" si="92"/>
        <v>4.0227182905727448</v>
      </c>
      <c r="Q670" s="135">
        <f t="shared" si="95"/>
        <v>5.0966136075934325E-6</v>
      </c>
      <c r="R670" s="89">
        <f t="shared" si="95"/>
        <v>9.490338639240647E-5</v>
      </c>
      <c r="S670" s="89">
        <f t="shared" si="96"/>
        <v>2.1379620895022279E-7</v>
      </c>
      <c r="T670" s="136">
        <f t="shared" si="96"/>
        <v>4.6773514128719769E-8</v>
      </c>
      <c r="U670" s="137">
        <f t="shared" si="97"/>
        <v>5.0966136075934379E-2</v>
      </c>
      <c r="V670" s="88">
        <f t="shared" si="93"/>
        <v>2.6472817094272552</v>
      </c>
      <c r="W670" s="86">
        <f t="shared" si="98"/>
        <v>2.0372817094272557</v>
      </c>
      <c r="X670" s="90">
        <f t="shared" si="94"/>
        <v>4.0966136075934377E-2</v>
      </c>
    </row>
    <row r="671" spans="13:24" x14ac:dyDescent="0.25">
      <c r="M671" s="91">
        <v>6.68</v>
      </c>
      <c r="N671" s="89">
        <f t="shared" si="90"/>
        <v>7.32</v>
      </c>
      <c r="O671" s="89">
        <f t="shared" si="91"/>
        <v>5.3022141596415846</v>
      </c>
      <c r="P671" s="97">
        <f t="shared" si="92"/>
        <v>4.0222141596415844</v>
      </c>
      <c r="Q671" s="135">
        <f t="shared" si="95"/>
        <v>4.9863853778976186E-6</v>
      </c>
      <c r="R671" s="89">
        <f t="shared" si="95"/>
        <v>9.5013614622102351E-5</v>
      </c>
      <c r="S671" s="89">
        <f t="shared" si="96"/>
        <v>2.089296130854039E-7</v>
      </c>
      <c r="T671" s="136">
        <f t="shared" si="96"/>
        <v>4.7863009232263782E-8</v>
      </c>
      <c r="U671" s="137">
        <f t="shared" si="97"/>
        <v>4.9863853778976203E-2</v>
      </c>
      <c r="V671" s="88">
        <f t="shared" si="93"/>
        <v>2.6577858403584154</v>
      </c>
      <c r="W671" s="86">
        <f t="shared" si="98"/>
        <v>2.0177858403584157</v>
      </c>
      <c r="X671" s="90">
        <f t="shared" si="94"/>
        <v>3.9863853778976201E-2</v>
      </c>
    </row>
    <row r="672" spans="13:24" x14ac:dyDescent="0.25">
      <c r="M672" s="91">
        <v>6.69</v>
      </c>
      <c r="N672" s="89">
        <f t="shared" si="90"/>
        <v>7.31</v>
      </c>
      <c r="O672" s="89">
        <f t="shared" si="91"/>
        <v>5.3117209381163812</v>
      </c>
      <c r="P672" s="97">
        <f t="shared" si="92"/>
        <v>4.0217209381163803</v>
      </c>
      <c r="Q672" s="135">
        <f t="shared" si="95"/>
        <v>4.8784185889897832E-6</v>
      </c>
      <c r="R672" s="89">
        <f t="shared" si="95"/>
        <v>9.5121581411010102E-5</v>
      </c>
      <c r="S672" s="89">
        <f t="shared" si="96"/>
        <v>2.0417379446695257E-7</v>
      </c>
      <c r="T672" s="136">
        <f t="shared" si="96"/>
        <v>4.8977881936844561E-8</v>
      </c>
      <c r="U672" s="137">
        <f t="shared" si="97"/>
        <v>4.8784185889897892E-2</v>
      </c>
      <c r="V672" s="88">
        <f t="shared" si="93"/>
        <v>2.6682790618836201</v>
      </c>
      <c r="W672" s="86">
        <f t="shared" si="98"/>
        <v>1.9982790618836184</v>
      </c>
      <c r="X672" s="90">
        <f t="shared" si="94"/>
        <v>3.878418588989789E-2</v>
      </c>
    </row>
    <row r="673" spans="13:24" x14ac:dyDescent="0.25">
      <c r="M673" s="91">
        <v>6.7</v>
      </c>
      <c r="N673" s="89">
        <f t="shared" si="90"/>
        <v>7.3</v>
      </c>
      <c r="O673" s="89">
        <f t="shared" si="91"/>
        <v>5.3212384019142549</v>
      </c>
      <c r="P673" s="97">
        <f t="shared" si="92"/>
        <v>4.0212384019142551</v>
      </c>
      <c r="Q673" s="135">
        <f t="shared" si="95"/>
        <v>4.7726721034203843E-6</v>
      </c>
      <c r="R673" s="89">
        <f t="shared" si="95"/>
        <v>9.5227327896579478E-5</v>
      </c>
      <c r="S673" s="89">
        <f t="shared" si="96"/>
        <v>1.9952623149688761E-7</v>
      </c>
      <c r="T673" s="136">
        <f t="shared" si="96"/>
        <v>5.0118723362727164E-8</v>
      </c>
      <c r="U673" s="137">
        <f t="shared" si="97"/>
        <v>4.772672103420391E-2</v>
      </c>
      <c r="V673" s="88">
        <f t="shared" si="93"/>
        <v>2.6787615980857451</v>
      </c>
      <c r="W673" s="86">
        <f t="shared" si="98"/>
        <v>1.9787615980857449</v>
      </c>
      <c r="X673" s="90">
        <f t="shared" si="94"/>
        <v>3.7726721034203908E-2</v>
      </c>
    </row>
    <row r="674" spans="13:24" x14ac:dyDescent="0.25">
      <c r="M674" s="91">
        <v>6.71</v>
      </c>
      <c r="N674" s="89">
        <f t="shared" si="90"/>
        <v>7.29</v>
      </c>
      <c r="O674" s="89">
        <f t="shared" si="91"/>
        <v>5.3307663310400324</v>
      </c>
      <c r="P674" s="97">
        <f t="shared" si="92"/>
        <v>4.0207663310400319</v>
      </c>
      <c r="Q674" s="135">
        <f t="shared" si="95"/>
        <v>4.6691053052912091E-6</v>
      </c>
      <c r="R674" s="89">
        <f t="shared" si="95"/>
        <v>9.5330894694708847E-5</v>
      </c>
      <c r="S674" s="89">
        <f t="shared" si="96"/>
        <v>1.9498445997580421E-7</v>
      </c>
      <c r="T674" s="136">
        <f t="shared" si="96"/>
        <v>5.1286138399136415E-8</v>
      </c>
      <c r="U674" s="137">
        <f t="shared" si="97"/>
        <v>4.669105305291206E-2</v>
      </c>
      <c r="V674" s="88">
        <f t="shared" si="93"/>
        <v>2.6892336689599681</v>
      </c>
      <c r="W674" s="86">
        <f t="shared" si="98"/>
        <v>1.9592336689599676</v>
      </c>
      <c r="X674" s="90">
        <f t="shared" si="94"/>
        <v>3.6691053052912058E-2</v>
      </c>
    </row>
    <row r="675" spans="13:24" x14ac:dyDescent="0.25">
      <c r="M675" s="91">
        <v>6.72</v>
      </c>
      <c r="N675" s="89">
        <f t="shared" si="90"/>
        <v>7.28</v>
      </c>
      <c r="O675" s="89">
        <f t="shared" si="91"/>
        <v>5.3403045095338904</v>
      </c>
      <c r="P675" s="97">
        <f t="shared" si="92"/>
        <v>4.020304509533891</v>
      </c>
      <c r="Q675" s="135">
        <f t="shared" si="95"/>
        <v>4.5676781039662327E-6</v>
      </c>
      <c r="R675" s="89">
        <f t="shared" si="95"/>
        <v>9.5432321896033636E-5</v>
      </c>
      <c r="S675" s="89">
        <f t="shared" si="96"/>
        <v>1.9054607179632443E-7</v>
      </c>
      <c r="T675" s="136">
        <f t="shared" si="96"/>
        <v>5.2480746024977185E-8</v>
      </c>
      <c r="U675" s="137">
        <f t="shared" si="97"/>
        <v>4.5676781039662384E-2</v>
      </c>
      <c r="V675" s="88">
        <f t="shared" si="93"/>
        <v>2.6996954904661088</v>
      </c>
      <c r="W675" s="86">
        <f t="shared" si="98"/>
        <v>1.9396954904661099</v>
      </c>
      <c r="X675" s="90">
        <f t="shared" si="94"/>
        <v>3.5676781039662382E-2</v>
      </c>
    </row>
    <row r="676" spans="13:24" x14ac:dyDescent="0.25">
      <c r="M676" s="91">
        <v>6.73</v>
      </c>
      <c r="N676" s="89">
        <f t="shared" si="90"/>
        <v>7.27</v>
      </c>
      <c r="O676" s="89">
        <f t="shared" si="91"/>
        <v>5.3498527254186783</v>
      </c>
      <c r="P676" s="97">
        <f t="shared" si="92"/>
        <v>4.0198527254186773</v>
      </c>
      <c r="Q676" s="135">
        <f t="shared" si="95"/>
        <v>4.4683509371797172E-6</v>
      </c>
      <c r="R676" s="89">
        <f t="shared" si="95"/>
        <v>9.5531649062820191E-5</v>
      </c>
      <c r="S676" s="89">
        <f t="shared" si="96"/>
        <v>1.8620871366628614E-7</v>
      </c>
      <c r="T676" s="136">
        <f t="shared" si="96"/>
        <v>5.3703179637025192E-8</v>
      </c>
      <c r="U676" s="137">
        <f t="shared" si="97"/>
        <v>4.4683509371797214E-2</v>
      </c>
      <c r="V676" s="88">
        <f t="shared" si="93"/>
        <v>2.7101472745813231</v>
      </c>
      <c r="W676" s="86">
        <f t="shared" si="98"/>
        <v>1.9201472745813213</v>
      </c>
      <c r="X676" s="90">
        <f t="shared" si="94"/>
        <v>3.4683509371797212E-2</v>
      </c>
    </row>
    <row r="677" spans="13:24" x14ac:dyDescent="0.25">
      <c r="M677" s="91">
        <v>6.74</v>
      </c>
      <c r="N677" s="89">
        <f t="shared" si="90"/>
        <v>7.26</v>
      </c>
      <c r="O677" s="89">
        <f t="shared" si="91"/>
        <v>5.3594107706469414</v>
      </c>
      <c r="P677" s="97">
        <f t="shared" si="92"/>
        <v>4.0194107706469406</v>
      </c>
      <c r="Q677" s="135">
        <f t="shared" si="95"/>
        <v>4.3710847735683897E-6</v>
      </c>
      <c r="R677" s="89">
        <f t="shared" si="95"/>
        <v>9.5628915226431574E-5</v>
      </c>
      <c r="S677" s="89">
        <f t="shared" si="96"/>
        <v>1.8197008586099811E-7</v>
      </c>
      <c r="T677" s="136">
        <f t="shared" si="96"/>
        <v>5.4954087385762357E-8</v>
      </c>
      <c r="U677" s="137">
        <f t="shared" si="97"/>
        <v>4.3710847735683914E-2</v>
      </c>
      <c r="V677" s="88">
        <f t="shared" si="93"/>
        <v>2.7205892293530596</v>
      </c>
      <c r="W677" s="86">
        <f t="shared" si="98"/>
        <v>1.9005892293530584</v>
      </c>
      <c r="X677" s="90">
        <f t="shared" si="94"/>
        <v>3.3710847735683912E-2</v>
      </c>
    </row>
    <row r="678" spans="13:24" x14ac:dyDescent="0.25">
      <c r="M678" s="91">
        <v>6.75</v>
      </c>
      <c r="N678" s="89">
        <f t="shared" si="90"/>
        <v>7.25</v>
      </c>
      <c r="O678" s="89">
        <f t="shared" si="91"/>
        <v>5.3689784410477346</v>
      </c>
      <c r="P678" s="97">
        <f t="shared" si="92"/>
        <v>4.0189784410477349</v>
      </c>
      <c r="Q678" s="135">
        <f t="shared" si="95"/>
        <v>4.2758411146536016E-6</v>
      </c>
      <c r="R678" s="89">
        <f t="shared" si="95"/>
        <v>9.5724158885346252E-5</v>
      </c>
      <c r="S678" s="89">
        <f t="shared" si="96"/>
        <v>1.7782794100389206E-7</v>
      </c>
      <c r="T678" s="136">
        <f t="shared" si="96"/>
        <v>5.6234132519034806E-8</v>
      </c>
      <c r="U678" s="137">
        <f t="shared" si="97"/>
        <v>4.2758411146536078E-2</v>
      </c>
      <c r="V678" s="88">
        <f t="shared" si="93"/>
        <v>2.7310215589522651</v>
      </c>
      <c r="W678" s="86">
        <f t="shared" si="98"/>
        <v>1.8810215589522654</v>
      </c>
      <c r="X678" s="90">
        <f t="shared" si="94"/>
        <v>3.2758411146536076E-2</v>
      </c>
    </row>
    <row r="679" spans="13:24" x14ac:dyDescent="0.25">
      <c r="M679" s="91">
        <v>6.76</v>
      </c>
      <c r="N679" s="89">
        <f t="shared" si="90"/>
        <v>7.24</v>
      </c>
      <c r="O679" s="89">
        <f t="shared" si="91"/>
        <v>5.3785555362732529</v>
      </c>
      <c r="P679" s="97">
        <f t="shared" si="92"/>
        <v>4.0185555362732535</v>
      </c>
      <c r="Q679" s="135">
        <f t="shared" si="95"/>
        <v>4.182581996298939E-6</v>
      </c>
      <c r="R679" s="89">
        <f t="shared" si="95"/>
        <v>9.5817418003700915E-5</v>
      </c>
      <c r="S679" s="89">
        <f t="shared" si="96"/>
        <v>1.7378008287493735E-7</v>
      </c>
      <c r="T679" s="136">
        <f t="shared" si="96"/>
        <v>5.7543993733715586E-8</v>
      </c>
      <c r="U679" s="137">
        <f t="shared" si="97"/>
        <v>4.1825819962989452E-2</v>
      </c>
      <c r="V679" s="88">
        <f t="shared" si="93"/>
        <v>2.7414444637267463</v>
      </c>
      <c r="W679" s="86">
        <f t="shared" si="98"/>
        <v>1.8614444637267473</v>
      </c>
      <c r="X679" s="90">
        <f t="shared" si="94"/>
        <v>3.182581996298945E-2</v>
      </c>
    </row>
    <row r="680" spans="13:24" x14ac:dyDescent="0.25">
      <c r="M680" s="91">
        <v>6.77</v>
      </c>
      <c r="N680" s="89">
        <f t="shared" si="90"/>
        <v>7.23</v>
      </c>
      <c r="O680" s="89">
        <f t="shared" si="91"/>
        <v>5.3881418597453452</v>
      </c>
      <c r="P680" s="97">
        <f t="shared" si="92"/>
        <v>4.018141859745346</v>
      </c>
      <c r="Q680" s="135">
        <f t="shared" si="95"/>
        <v>4.0912699896679376E-6</v>
      </c>
      <c r="R680" s="89">
        <f t="shared" si="95"/>
        <v>9.5908730010331973E-5</v>
      </c>
      <c r="S680" s="89">
        <f t="shared" si="96"/>
        <v>1.6982436524617427E-7</v>
      </c>
      <c r="T680" s="136">
        <f t="shared" si="96"/>
        <v>5.8884365535558776E-8</v>
      </c>
      <c r="U680" s="137">
        <f t="shared" si="97"/>
        <v>4.0912699896679415E-2</v>
      </c>
      <c r="V680" s="88">
        <f t="shared" si="93"/>
        <v>2.7518581402546536</v>
      </c>
      <c r="W680" s="86">
        <f t="shared" si="98"/>
        <v>1.8418581402546552</v>
      </c>
      <c r="X680" s="90">
        <f t="shared" si="94"/>
        <v>3.0912699896679413E-2</v>
      </c>
    </row>
    <row r="681" spans="13:24" x14ac:dyDescent="0.25">
      <c r="M681" s="91">
        <v>6.78</v>
      </c>
      <c r="N681" s="89">
        <f t="shared" si="90"/>
        <v>7.22</v>
      </c>
      <c r="O681" s="89">
        <f t="shared" si="91"/>
        <v>5.397737218601959</v>
      </c>
      <c r="P681" s="97">
        <f t="shared" si="92"/>
        <v>4.0177372186019591</v>
      </c>
      <c r="Q681" s="135">
        <f t="shared" si="95"/>
        <v>4.0018682017058824E-6</v>
      </c>
      <c r="R681" s="89">
        <f t="shared" si="95"/>
        <v>9.5998131798294119E-5</v>
      </c>
      <c r="S681" s="89">
        <f t="shared" si="96"/>
        <v>1.6595869074375559E-7</v>
      </c>
      <c r="T681" s="136">
        <f t="shared" si="96"/>
        <v>6.0255958607435649E-8</v>
      </c>
      <c r="U681" s="137">
        <f t="shared" si="97"/>
        <v>4.001868201705882E-2</v>
      </c>
      <c r="V681" s="88">
        <f t="shared" si="93"/>
        <v>2.7622627813980412</v>
      </c>
      <c r="W681" s="86">
        <f t="shared" si="98"/>
        <v>1.8222627813980408</v>
      </c>
      <c r="X681" s="90">
        <f t="shared" si="94"/>
        <v>3.0018682017058818E-2</v>
      </c>
    </row>
    <row r="682" spans="13:24" x14ac:dyDescent="0.25">
      <c r="M682" s="91">
        <v>6.79</v>
      </c>
      <c r="N682" s="89">
        <f t="shared" si="90"/>
        <v>7.21</v>
      </c>
      <c r="O682" s="89">
        <f t="shared" si="91"/>
        <v>5.407341423643552</v>
      </c>
      <c r="P682" s="97">
        <f t="shared" si="92"/>
        <v>4.0173414236435523</v>
      </c>
      <c r="Q682" s="135">
        <f t="shared" si="95"/>
        <v>3.9143402751692952E-6</v>
      </c>
      <c r="R682" s="89">
        <f t="shared" si="95"/>
        <v>9.6085659724830537E-5</v>
      </c>
      <c r="S682" s="89">
        <f t="shared" si="96"/>
        <v>1.6218100973589288E-7</v>
      </c>
      <c r="T682" s="136">
        <f t="shared" si="96"/>
        <v>6.1659500186148087E-8</v>
      </c>
      <c r="U682" s="137">
        <f t="shared" si="97"/>
        <v>3.9143402751693021E-2</v>
      </c>
      <c r="V682" s="88">
        <f t="shared" si="93"/>
        <v>2.7726585763564477</v>
      </c>
      <c r="W682" s="86">
        <f t="shared" si="98"/>
        <v>1.802658576356448</v>
      </c>
      <c r="X682" s="90">
        <f t="shared" si="94"/>
        <v>2.9143402751693019E-2</v>
      </c>
    </row>
    <row r="683" spans="13:24" x14ac:dyDescent="0.25">
      <c r="M683" s="91">
        <v>6.8</v>
      </c>
      <c r="N683" s="89">
        <f t="shared" si="90"/>
        <v>7.2</v>
      </c>
      <c r="O683" s="89">
        <f t="shared" si="91"/>
        <v>5.4169542892795324</v>
      </c>
      <c r="P683" s="97">
        <f t="shared" si="92"/>
        <v>4.0169542892795329</v>
      </c>
      <c r="Q683" s="135">
        <f t="shared" si="95"/>
        <v>3.8286503882254771E-6</v>
      </c>
      <c r="R683" s="89">
        <f t="shared" si="95"/>
        <v>9.6171349611774533E-5</v>
      </c>
      <c r="S683" s="89">
        <f t="shared" si="96"/>
        <v>1.5848931924611122E-7</v>
      </c>
      <c r="T683" s="136">
        <f t="shared" si="96"/>
        <v>6.3095734448019177E-8</v>
      </c>
      <c r="U683" s="137">
        <f t="shared" si="97"/>
        <v>3.8286503882254769E-2</v>
      </c>
      <c r="V683" s="88">
        <f t="shared" si="93"/>
        <v>2.7830457107204669</v>
      </c>
      <c r="W683" s="86">
        <f t="shared" si="98"/>
        <v>1.7830457107204678</v>
      </c>
      <c r="X683" s="90">
        <f t="shared" si="94"/>
        <v>2.8286503882254767E-2</v>
      </c>
    </row>
    <row r="684" spans="13:24" x14ac:dyDescent="0.25">
      <c r="M684" s="91">
        <v>6.81</v>
      </c>
      <c r="N684" s="89">
        <f t="shared" si="90"/>
        <v>7.19</v>
      </c>
      <c r="O684" s="89">
        <f t="shared" si="91"/>
        <v>5.4265756334747541</v>
      </c>
      <c r="P684" s="97">
        <f t="shared" si="92"/>
        <v>4.0165756334747549</v>
      </c>
      <c r="Q684" s="135">
        <f t="shared" si="95"/>
        <v>3.7447632536444711E-6</v>
      </c>
      <c r="R684" s="89">
        <f t="shared" si="95"/>
        <v>9.62552367463553E-5</v>
      </c>
      <c r="S684" s="89">
        <f t="shared" si="96"/>
        <v>1.5488166189124805E-7</v>
      </c>
      <c r="T684" s="136">
        <f t="shared" si="96"/>
        <v>6.4565422903465397E-8</v>
      </c>
      <c r="U684" s="137">
        <f t="shared" si="97"/>
        <v>3.7447632536444793E-2</v>
      </c>
      <c r="V684" s="88">
        <f t="shared" si="93"/>
        <v>2.7934243665252447</v>
      </c>
      <c r="W684" s="86">
        <f t="shared" si="98"/>
        <v>1.7634243665252463</v>
      </c>
      <c r="X684" s="90">
        <f t="shared" si="94"/>
        <v>2.7447632536444791E-2</v>
      </c>
    </row>
    <row r="685" spans="13:24" x14ac:dyDescent="0.25">
      <c r="M685" s="91">
        <v>6.82</v>
      </c>
      <c r="N685" s="89">
        <f t="shared" si="90"/>
        <v>7.18</v>
      </c>
      <c r="O685" s="89">
        <f t="shared" si="91"/>
        <v>5.4362052776961107</v>
      </c>
      <c r="P685" s="97">
        <f t="shared" si="92"/>
        <v>4.0162052776961108</v>
      </c>
      <c r="Q685" s="135">
        <f t="shared" si="95"/>
        <v>3.6626441176046847E-6</v>
      </c>
      <c r="R685" s="89">
        <f t="shared" si="95"/>
        <v>9.633735588239515E-5</v>
      </c>
      <c r="S685" s="89">
        <f t="shared" si="96"/>
        <v>1.5135612484362046E-7</v>
      </c>
      <c r="T685" s="136">
        <f t="shared" si="96"/>
        <v>6.606934480075943E-8</v>
      </c>
      <c r="U685" s="137">
        <f t="shared" si="97"/>
        <v>3.6626441176046909E-2</v>
      </c>
      <c r="V685" s="88">
        <f t="shared" si="93"/>
        <v>2.8037947223038895</v>
      </c>
      <c r="W685" s="86">
        <f t="shared" si="98"/>
        <v>1.743794722303889</v>
      </c>
      <c r="X685" s="90">
        <f t="shared" si="94"/>
        <v>2.6626441176046907E-2</v>
      </c>
    </row>
    <row r="686" spans="13:24" x14ac:dyDescent="0.25">
      <c r="M686" s="91">
        <v>6.83</v>
      </c>
      <c r="N686" s="89">
        <f t="shared" si="90"/>
        <v>7.17</v>
      </c>
      <c r="O686" s="89">
        <f t="shared" si="91"/>
        <v>5.4458430468592702</v>
      </c>
      <c r="P686" s="97">
        <f t="shared" si="92"/>
        <v>4.0158430468592705</v>
      </c>
      <c r="Q686" s="135">
        <f t="shared" si="95"/>
        <v>3.5822587581328919E-6</v>
      </c>
      <c r="R686" s="89">
        <f t="shared" si="95"/>
        <v>9.6417741241866954E-5</v>
      </c>
      <c r="S686" s="89">
        <f t="shared" si="96"/>
        <v>1.479108388168204E-7</v>
      </c>
      <c r="T686" s="136">
        <f t="shared" si="96"/>
        <v>6.7608297539197998E-8</v>
      </c>
      <c r="U686" s="137">
        <f t="shared" si="97"/>
        <v>3.5822587581328974E-2</v>
      </c>
      <c r="V686" s="88">
        <f t="shared" si="93"/>
        <v>2.8141569531407296</v>
      </c>
      <c r="W686" s="86">
        <f t="shared" si="98"/>
        <v>1.7241569531407297</v>
      </c>
      <c r="X686" s="90">
        <f t="shared" si="94"/>
        <v>2.5822587581328972E-2</v>
      </c>
    </row>
    <row r="687" spans="13:24" x14ac:dyDescent="0.25">
      <c r="M687" s="91">
        <v>6.84</v>
      </c>
      <c r="N687" s="89">
        <f t="shared" si="90"/>
        <v>7.16</v>
      </c>
      <c r="O687" s="89">
        <f t="shared" si="91"/>
        <v>5.4554887692755853</v>
      </c>
      <c r="P687" s="97">
        <f t="shared" si="92"/>
        <v>4.0154887692755858</v>
      </c>
      <c r="Q687" s="135">
        <f t="shared" si="95"/>
        <v>3.5035734831986244E-6</v>
      </c>
      <c r="R687" s="89">
        <f t="shared" si="95"/>
        <v>9.6496426516801172E-5</v>
      </c>
      <c r="S687" s="89">
        <f t="shared" si="96"/>
        <v>1.4454397707459271E-7</v>
      </c>
      <c r="T687" s="136">
        <f t="shared" si="96"/>
        <v>6.9183097091893466E-8</v>
      </c>
      <c r="U687" s="137">
        <f t="shared" si="97"/>
        <v>3.5035734831986312E-2</v>
      </c>
      <c r="V687" s="88">
        <f t="shared" si="93"/>
        <v>2.824511230724414</v>
      </c>
      <c r="W687" s="86">
        <f t="shared" si="98"/>
        <v>1.7045112307244148</v>
      </c>
      <c r="X687" s="90">
        <f t="shared" si="94"/>
        <v>2.503573483198631E-2</v>
      </c>
    </row>
    <row r="688" spans="13:24" x14ac:dyDescent="0.25">
      <c r="M688" s="91">
        <v>6.85</v>
      </c>
      <c r="N688" s="89">
        <f t="shared" si="90"/>
        <v>7.15</v>
      </c>
      <c r="O688" s="89">
        <f t="shared" si="91"/>
        <v>5.4651422765992059</v>
      </c>
      <c r="P688" s="97">
        <f t="shared" si="92"/>
        <v>4.0151422765992066</v>
      </c>
      <c r="Q688" s="135">
        <f t="shared" si="95"/>
        <v>3.4265551284824981E-6</v>
      </c>
      <c r="R688" s="89">
        <f t="shared" si="95"/>
        <v>9.6573444871517363E-5</v>
      </c>
      <c r="S688" s="89">
        <f t="shared" si="96"/>
        <v>1.4125375446227539E-7</v>
      </c>
      <c r="T688" s="136">
        <f t="shared" si="96"/>
        <v>7.0794578438413597E-8</v>
      </c>
      <c r="U688" s="137">
        <f t="shared" si="97"/>
        <v>3.426555128482503E-2</v>
      </c>
      <c r="V688" s="88">
        <f t="shared" si="93"/>
        <v>2.834857723400793</v>
      </c>
      <c r="W688" s="86">
        <f t="shared" si="98"/>
        <v>1.6848577234007944</v>
      </c>
      <c r="X688" s="90">
        <f t="shared" si="94"/>
        <v>2.4265551284825028E-2</v>
      </c>
    </row>
    <row r="689" spans="13:24" x14ac:dyDescent="0.25">
      <c r="M689" s="91">
        <v>6.86</v>
      </c>
      <c r="N689" s="89">
        <f t="shared" si="90"/>
        <v>7.14</v>
      </c>
      <c r="O689" s="89">
        <f t="shared" si="91"/>
        <v>5.474803403774434</v>
      </c>
      <c r="P689" s="97">
        <f t="shared" si="92"/>
        <v>4.014803403774434</v>
      </c>
      <c r="Q689" s="135">
        <f t="shared" si="95"/>
        <v>3.3511710548371201E-6</v>
      </c>
      <c r="R689" s="89">
        <f t="shared" si="95"/>
        <v>9.6648828945162783E-5</v>
      </c>
      <c r="S689" s="89">
        <f t="shared" si="96"/>
        <v>1.3803842646028823E-7</v>
      </c>
      <c r="T689" s="136">
        <f t="shared" si="96"/>
        <v>7.2443596007499061E-8</v>
      </c>
      <c r="U689" s="137">
        <f t="shared" si="97"/>
        <v>3.351171054837123E-2</v>
      </c>
      <c r="V689" s="88">
        <f t="shared" si="93"/>
        <v>2.8451965962255663</v>
      </c>
      <c r="W689" s="86">
        <f t="shared" si="98"/>
        <v>1.6651965962255657</v>
      </c>
      <c r="X689" s="90">
        <f t="shared" si="94"/>
        <v>2.3511710548371229E-2</v>
      </c>
    </row>
    <row r="690" spans="13:24" x14ac:dyDescent="0.25">
      <c r="M690" s="91">
        <v>6.87</v>
      </c>
      <c r="N690" s="89">
        <f t="shared" si="90"/>
        <v>7.13</v>
      </c>
      <c r="O690" s="89">
        <f t="shared" si="91"/>
        <v>5.4844719889833407</v>
      </c>
      <c r="P690" s="97">
        <f t="shared" si="92"/>
        <v>4.0144719889833409</v>
      </c>
      <c r="Q690" s="135">
        <f t="shared" si="95"/>
        <v>3.2773891454587476E-6</v>
      </c>
      <c r="R690" s="89">
        <f t="shared" si="95"/>
        <v>9.6722610854541198E-5</v>
      </c>
      <c r="S690" s="89">
        <f t="shared" si="96"/>
        <v>1.3489628825916511E-7</v>
      </c>
      <c r="T690" s="136">
        <f t="shared" si="96"/>
        <v>7.413102413009154E-8</v>
      </c>
      <c r="U690" s="137">
        <f t="shared" si="97"/>
        <v>3.2773891454587492E-2</v>
      </c>
      <c r="V690" s="88">
        <f t="shared" si="93"/>
        <v>2.8555280110166592</v>
      </c>
      <c r="W690" s="86">
        <f t="shared" si="98"/>
        <v>1.6455280110166592</v>
      </c>
      <c r="X690" s="90">
        <f t="shared" si="94"/>
        <v>2.277389145458749E-2</v>
      </c>
    </row>
    <row r="691" spans="13:24" x14ac:dyDescent="0.25">
      <c r="M691" s="91">
        <v>6.88</v>
      </c>
      <c r="N691" s="89">
        <f t="shared" si="90"/>
        <v>7.12</v>
      </c>
      <c r="O691" s="89">
        <f t="shared" si="91"/>
        <v>5.4941478735936915</v>
      </c>
      <c r="P691" s="97">
        <f t="shared" si="92"/>
        <v>4.014147873593692</v>
      </c>
      <c r="Q691" s="135">
        <f t="shared" si="95"/>
        <v>3.2051778027871121E-6</v>
      </c>
      <c r="R691" s="89">
        <f t="shared" si="95"/>
        <v>9.6794822197212761E-5</v>
      </c>
      <c r="S691" s="89">
        <f t="shared" si="96"/>
        <v>1.3182567385564048E-7</v>
      </c>
      <c r="T691" s="136">
        <f t="shared" si="96"/>
        <v>7.5857757502918145E-8</v>
      </c>
      <c r="U691" s="137">
        <f t="shared" si="97"/>
        <v>3.205177802787116E-2</v>
      </c>
      <c r="V691" s="88">
        <f t="shared" si="93"/>
        <v>2.8658521264063079</v>
      </c>
      <c r="W691" s="86">
        <f t="shared" si="98"/>
        <v>1.6258521264063086</v>
      </c>
      <c r="X691" s="90">
        <f t="shared" si="94"/>
        <v>2.2051778027871158E-2</v>
      </c>
    </row>
    <row r="692" spans="13:24" x14ac:dyDescent="0.25">
      <c r="M692" s="91">
        <v>6.89</v>
      </c>
      <c r="N692" s="89">
        <f t="shared" si="90"/>
        <v>7.11</v>
      </c>
      <c r="O692" s="89">
        <f t="shared" si="91"/>
        <v>5.5038309021071843</v>
      </c>
      <c r="P692" s="97">
        <f t="shared" si="92"/>
        <v>4.013830902107185</v>
      </c>
      <c r="Q692" s="135">
        <f t="shared" si="95"/>
        <v>3.1345059451503933E-6</v>
      </c>
      <c r="R692" s="89">
        <f t="shared" si="95"/>
        <v>9.6865494054849388E-5</v>
      </c>
      <c r="S692" s="89">
        <f t="shared" si="96"/>
        <v>1.288249551693134E-7</v>
      </c>
      <c r="T692" s="136">
        <f t="shared" si="96"/>
        <v>7.7624711662868932E-8</v>
      </c>
      <c r="U692" s="137">
        <f t="shared" si="97"/>
        <v>3.1345059451504002E-2</v>
      </c>
      <c r="V692" s="88">
        <f t="shared" si="93"/>
        <v>2.8761690978928147</v>
      </c>
      <c r="W692" s="86">
        <f t="shared" si="98"/>
        <v>1.606169097892816</v>
      </c>
      <c r="X692" s="90">
        <f t="shared" si="94"/>
        <v>2.1345059451504E-2</v>
      </c>
    </row>
    <row r="693" spans="13:24" x14ac:dyDescent="0.25">
      <c r="M693" s="91">
        <v>6.9</v>
      </c>
      <c r="N693" s="89">
        <f t="shared" si="90"/>
        <v>7.1</v>
      </c>
      <c r="O693" s="89">
        <f t="shared" si="91"/>
        <v>5.5135209221080386</v>
      </c>
      <c r="P693" s="97">
        <f t="shared" si="92"/>
        <v>4.0135209221080386</v>
      </c>
      <c r="Q693" s="135">
        <f t="shared" si="95"/>
        <v>3.0653430031715461E-6</v>
      </c>
      <c r="R693" s="89">
        <f t="shared" si="95"/>
        <v>9.6934656996828296E-5</v>
      </c>
      <c r="S693" s="89">
        <f t="shared" si="96"/>
        <v>1.2589254117941651E-7</v>
      </c>
      <c r="T693" s="136">
        <f t="shared" si="96"/>
        <v>7.943282347242818E-8</v>
      </c>
      <c r="U693" s="137">
        <f t="shared" si="97"/>
        <v>3.0653430031715511E-2</v>
      </c>
      <c r="V693" s="88">
        <f t="shared" si="93"/>
        <v>2.8864790778919618</v>
      </c>
      <c r="W693" s="86">
        <f t="shared" si="98"/>
        <v>1.5864790778919611</v>
      </c>
      <c r="X693" s="90">
        <f t="shared" si="94"/>
        <v>2.0653430031715513E-2</v>
      </c>
    </row>
    <row r="694" spans="13:24" x14ac:dyDescent="0.25">
      <c r="M694" s="91">
        <v>6.91</v>
      </c>
      <c r="N694" s="89">
        <f t="shared" si="90"/>
        <v>7.09</v>
      </c>
      <c r="O694" s="89">
        <f t="shared" si="91"/>
        <v>5.5232177842119521</v>
      </c>
      <c r="P694" s="97">
        <f t="shared" si="92"/>
        <v>4.0132177842119523</v>
      </c>
      <c r="Q694" s="135">
        <f t="shared" si="95"/>
        <v>2.9976589159516011E-6</v>
      </c>
      <c r="R694" s="89">
        <f t="shared" si="95"/>
        <v>9.7002341084048366E-5</v>
      </c>
      <c r="S694" s="89">
        <f t="shared" si="96"/>
        <v>1.2302687708123796E-7</v>
      </c>
      <c r="T694" s="136">
        <f t="shared" si="96"/>
        <v>8.128305161640995E-8</v>
      </c>
      <c r="U694" s="137">
        <f t="shared" si="97"/>
        <v>2.9976589159516023E-2</v>
      </c>
      <c r="V694" s="88">
        <f t="shared" si="93"/>
        <v>2.8967822157880478</v>
      </c>
      <c r="W694" s="86">
        <f t="shared" si="98"/>
        <v>1.5667822157880478</v>
      </c>
      <c r="X694" s="90">
        <f t="shared" si="94"/>
        <v>1.9976589159516021E-2</v>
      </c>
    </row>
    <row r="695" spans="13:24" x14ac:dyDescent="0.25">
      <c r="M695" s="91">
        <v>6.92</v>
      </c>
      <c r="N695" s="89">
        <f t="shared" si="90"/>
        <v>7.08</v>
      </c>
      <c r="O695" s="89">
        <f t="shared" si="91"/>
        <v>5.5329213420154595</v>
      </c>
      <c r="P695" s="97">
        <f t="shared" si="92"/>
        <v>4.0129213420154599</v>
      </c>
      <c r="Q695" s="135">
        <f t="shared" si="95"/>
        <v>2.931424127045038E-6</v>
      </c>
      <c r="R695" s="89">
        <f t="shared" si="95"/>
        <v>9.7068575872954872E-5</v>
      </c>
      <c r="S695" s="89">
        <f t="shared" si="96"/>
        <v>1.2022644346174111E-7</v>
      </c>
      <c r="T695" s="136">
        <f t="shared" si="96"/>
        <v>8.3176377110266823E-8</v>
      </c>
      <c r="U695" s="137">
        <f t="shared" si="97"/>
        <v>2.9314241270450406E-2</v>
      </c>
      <c r="V695" s="88">
        <f t="shared" si="93"/>
        <v>2.90707865798454</v>
      </c>
      <c r="W695" s="86">
        <f t="shared" si="98"/>
        <v>1.5470786579845406</v>
      </c>
      <c r="X695" s="90">
        <f t="shared" si="94"/>
        <v>1.9314241270450408E-2</v>
      </c>
    </row>
    <row r="696" spans="13:24" x14ac:dyDescent="0.25">
      <c r="M696" s="91">
        <v>6.93</v>
      </c>
      <c r="N696" s="89">
        <f t="shared" si="90"/>
        <v>7.07</v>
      </c>
      <c r="O696" s="89">
        <f t="shared" si="91"/>
        <v>5.5426314520456899</v>
      </c>
      <c r="P696" s="97">
        <f t="shared" si="92"/>
        <v>4.0126314520456905</v>
      </c>
      <c r="Q696" s="135">
        <f t="shared" si="95"/>
        <v>2.8666095802417905E-6</v>
      </c>
      <c r="R696" s="89">
        <f t="shared" si="95"/>
        <v>9.713339041975827E-5</v>
      </c>
      <c r="S696" s="89">
        <f t="shared" si="96"/>
        <v>1.174897554939528E-7</v>
      </c>
      <c r="T696" s="136">
        <f t="shared" si="96"/>
        <v>8.5113803820237355E-8</v>
      </c>
      <c r="U696" s="137">
        <f t="shared" si="97"/>
        <v>2.8666095802417888E-2</v>
      </c>
      <c r="V696" s="88">
        <f t="shared" si="93"/>
        <v>2.9173685479543092</v>
      </c>
      <c r="W696" s="86">
        <f t="shared" si="98"/>
        <v>1.5273685479543104</v>
      </c>
      <c r="X696" s="90">
        <f t="shared" si="94"/>
        <v>1.866609580241789E-2</v>
      </c>
    </row>
    <row r="697" spans="13:24" x14ac:dyDescent="0.25">
      <c r="M697" s="91">
        <v>6.94</v>
      </c>
      <c r="N697" s="89">
        <f t="shared" si="90"/>
        <v>7.06</v>
      </c>
      <c r="O697" s="89">
        <f t="shared" si="91"/>
        <v>5.5523479737105665</v>
      </c>
      <c r="P697" s="97">
        <f t="shared" si="92"/>
        <v>4.0123479737105665</v>
      </c>
      <c r="Q697" s="135">
        <f t="shared" si="95"/>
        <v>2.803186715169647E-6</v>
      </c>
      <c r="R697" s="89">
        <f t="shared" si="95"/>
        <v>9.7196813284830265E-5</v>
      </c>
      <c r="S697" s="89">
        <f t="shared" si="96"/>
        <v>1.1481536214968794E-7</v>
      </c>
      <c r="T697" s="136">
        <f t="shared" si="96"/>
        <v>8.7096358995608061E-8</v>
      </c>
      <c r="U697" s="137">
        <f t="shared" si="97"/>
        <v>2.8031867151696494E-2</v>
      </c>
      <c r="V697" s="88">
        <f t="shared" si="93"/>
        <v>2.9276520262894339</v>
      </c>
      <c r="W697" s="86">
        <f t="shared" si="98"/>
        <v>1.5076520262894331</v>
      </c>
      <c r="X697" s="90">
        <f t="shared" si="94"/>
        <v>1.8031867151696496E-2</v>
      </c>
    </row>
    <row r="698" spans="13:24" x14ac:dyDescent="0.25">
      <c r="M698" s="91">
        <v>6.95</v>
      </c>
      <c r="N698" s="89">
        <f t="shared" si="90"/>
        <v>7.05</v>
      </c>
      <c r="O698" s="89">
        <f t="shared" si="91"/>
        <v>5.5620707692494431</v>
      </c>
      <c r="P698" s="97">
        <f t="shared" si="92"/>
        <v>4.0120707692494433</v>
      </c>
      <c r="Q698" s="135">
        <f t="shared" si="95"/>
        <v>2.7411274627306462E-6</v>
      </c>
      <c r="R698" s="89">
        <f t="shared" si="95"/>
        <v>9.7258872537269131E-5</v>
      </c>
      <c r="S698" s="89">
        <f t="shared" si="96"/>
        <v>1.1220184543019621E-7</v>
      </c>
      <c r="T698" s="136">
        <f t="shared" si="96"/>
        <v>8.9125093813374537E-8</v>
      </c>
      <c r="U698" s="137">
        <f t="shared" si="97"/>
        <v>2.7411274627306522E-2</v>
      </c>
      <c r="V698" s="88">
        <f t="shared" si="93"/>
        <v>2.9379292307505569</v>
      </c>
      <c r="W698" s="86">
        <f t="shared" si="98"/>
        <v>1.4879292307505567</v>
      </c>
      <c r="X698" s="90">
        <f t="shared" si="94"/>
        <v>1.7411274627306524E-2</v>
      </c>
    </row>
    <row r="699" spans="13:24" x14ac:dyDescent="0.25">
      <c r="M699" s="91">
        <v>6.96</v>
      </c>
      <c r="N699" s="89">
        <f t="shared" si="90"/>
        <v>7.04</v>
      </c>
      <c r="O699" s="89">
        <f t="shared" si="91"/>
        <v>5.5717997036842188</v>
      </c>
      <c r="P699" s="97">
        <f t="shared" si="92"/>
        <v>4.0117997036842192</v>
      </c>
      <c r="Q699" s="135">
        <f t="shared" si="95"/>
        <v>2.6804042403840154E-6</v>
      </c>
      <c r="R699" s="89">
        <f t="shared" si="95"/>
        <v>9.731959575961587E-5</v>
      </c>
      <c r="S699" s="89">
        <f t="shared" si="96"/>
        <v>1.0964781961431838E-7</v>
      </c>
      <c r="T699" s="136">
        <f t="shared" si="96"/>
        <v>9.120108393559095E-8</v>
      </c>
      <c r="U699" s="137">
        <f t="shared" si="97"/>
        <v>2.6804042403840187E-2</v>
      </c>
      <c r="V699" s="88">
        <f t="shared" si="93"/>
        <v>2.9482002963157807</v>
      </c>
      <c r="W699" s="86">
        <f t="shared" si="98"/>
        <v>1.4682002963157812</v>
      </c>
      <c r="X699" s="90">
        <f t="shared" si="94"/>
        <v>1.6804042403840189E-2</v>
      </c>
    </row>
    <row r="700" spans="13:24" x14ac:dyDescent="0.25">
      <c r="M700" s="91">
        <v>6.97</v>
      </c>
      <c r="N700" s="89">
        <f t="shared" si="90"/>
        <v>7.03</v>
      </c>
      <c r="O700" s="89">
        <f t="shared" si="91"/>
        <v>5.5815346447709207</v>
      </c>
      <c r="P700" s="97">
        <f t="shared" si="92"/>
        <v>4.0115346447709213</v>
      </c>
      <c r="Q700" s="135">
        <f t="shared" si="95"/>
        <v>2.6209899472882271E-6</v>
      </c>
      <c r="R700" s="89">
        <f t="shared" si="95"/>
        <v>9.7379010052711692E-5</v>
      </c>
      <c r="S700" s="89">
        <f t="shared" si="96"/>
        <v>1.0715193052376054E-7</v>
      </c>
      <c r="T700" s="136">
        <f t="shared" si="96"/>
        <v>9.3325430079699072E-8</v>
      </c>
      <c r="U700" s="137">
        <f t="shared" si="97"/>
        <v>2.6209899472882291E-2</v>
      </c>
      <c r="V700" s="88">
        <f t="shared" si="93"/>
        <v>2.9584653552290785</v>
      </c>
      <c r="W700" s="86">
        <f t="shared" si="98"/>
        <v>1.4484653552290796</v>
      </c>
      <c r="X700" s="90">
        <f t="shared" si="94"/>
        <v>1.6209899472882289E-2</v>
      </c>
    </row>
    <row r="701" spans="13:24" x14ac:dyDescent="0.25">
      <c r="M701" s="91">
        <v>6.98</v>
      </c>
      <c r="N701" s="89">
        <f t="shared" si="90"/>
        <v>7.02</v>
      </c>
      <c r="O701" s="89">
        <f t="shared" si="91"/>
        <v>5.5912754629517813</v>
      </c>
      <c r="P701" s="97">
        <f t="shared" si="92"/>
        <v>4.0112754629517813</v>
      </c>
      <c r="Q701" s="135">
        <f t="shared" si="95"/>
        <v>2.5628579593138055E-6</v>
      </c>
      <c r="R701" s="89">
        <f t="shared" si="95"/>
        <v>9.7437142040686188E-5</v>
      </c>
      <c r="S701" s="89">
        <f t="shared" si="96"/>
        <v>1.0471285480508987E-7</v>
      </c>
      <c r="T701" s="136">
        <f t="shared" si="96"/>
        <v>9.5499258602143556E-8</v>
      </c>
      <c r="U701" s="137">
        <f t="shared" si="97"/>
        <v>2.5628579593138058E-2</v>
      </c>
      <c r="V701" s="88">
        <f t="shared" si="93"/>
        <v>2.9687245370482191</v>
      </c>
      <c r="W701" s="86">
        <f t="shared" si="98"/>
        <v>1.4287245370482182</v>
      </c>
      <c r="X701" s="90">
        <f t="shared" si="94"/>
        <v>1.5628579593138056E-2</v>
      </c>
    </row>
    <row r="702" spans="13:24" x14ac:dyDescent="0.25">
      <c r="M702" s="91">
        <v>6.99</v>
      </c>
      <c r="N702" s="89">
        <f t="shared" si="90"/>
        <v>7.01</v>
      </c>
      <c r="O702" s="89">
        <f t="shared" si="91"/>
        <v>5.6010220313078234</v>
      </c>
      <c r="P702" s="97">
        <f t="shared" si="92"/>
        <v>4.0110220313078235</v>
      </c>
      <c r="Q702" s="135">
        <f t="shared" si="95"/>
        <v>2.5059821239382117E-6</v>
      </c>
      <c r="R702" s="89">
        <f t="shared" si="95"/>
        <v>9.7494017876061578E-5</v>
      </c>
      <c r="S702" s="89">
        <f t="shared" si="96"/>
        <v>1.0232929922807534E-7</v>
      </c>
      <c r="T702" s="136">
        <f t="shared" si="96"/>
        <v>9.7723722095581017E-8</v>
      </c>
      <c r="U702" s="137">
        <f t="shared" si="97"/>
        <v>2.505982123938217E-2</v>
      </c>
      <c r="V702" s="88">
        <f t="shared" si="93"/>
        <v>2.9789779686921767</v>
      </c>
      <c r="W702" s="86">
        <f t="shared" si="98"/>
        <v>1.4089779686921764</v>
      </c>
      <c r="X702" s="90">
        <f t="shared" si="94"/>
        <v>1.505982123938217E-2</v>
      </c>
    </row>
    <row r="703" spans="13:24" x14ac:dyDescent="0.25">
      <c r="M703" s="91">
        <v>7</v>
      </c>
      <c r="N703" s="89">
        <f t="shared" si="90"/>
        <v>7</v>
      </c>
      <c r="O703" s="89">
        <f t="shared" si="91"/>
        <v>5.6107742255119568</v>
      </c>
      <c r="P703" s="97">
        <f t="shared" si="92"/>
        <v>4.0107742255119572</v>
      </c>
      <c r="Q703" s="135">
        <f t="shared" si="95"/>
        <v>2.4503367550335968E-6</v>
      </c>
      <c r="R703" s="89">
        <f t="shared" si="95"/>
        <v>9.7549663244966215E-5</v>
      </c>
      <c r="S703" s="89">
        <f t="shared" si="96"/>
        <v>9.9999999999999995E-8</v>
      </c>
      <c r="T703" s="136">
        <f t="shared" si="96"/>
        <v>9.9999999999999995E-8</v>
      </c>
      <c r="U703" s="137">
        <f t="shared" si="97"/>
        <v>2.4503367550336014E-2</v>
      </c>
      <c r="V703" s="88">
        <f t="shared" si="93"/>
        <v>2.9892257744880428</v>
      </c>
      <c r="W703" s="86">
        <f t="shared" si="98"/>
        <v>1.3892257744880432</v>
      </c>
      <c r="X703" s="90">
        <f t="shared" si="94"/>
        <v>1.4503367550336014E-2</v>
      </c>
    </row>
    <row r="704" spans="13:24" x14ac:dyDescent="0.25">
      <c r="M704" s="91">
        <v>7.01</v>
      </c>
      <c r="N704" s="89">
        <f t="shared" si="90"/>
        <v>6.99</v>
      </c>
      <c r="O704" s="89">
        <f t="shared" si="91"/>
        <v>5.6205319237826075</v>
      </c>
      <c r="P704" s="97">
        <f t="shared" si="92"/>
        <v>4.010531923782608</v>
      </c>
      <c r="Q704" s="135">
        <f t="shared" si="95"/>
        <v>2.395896627557775E-6</v>
      </c>
      <c r="R704" s="89">
        <f t="shared" si="95"/>
        <v>9.7604103372442194E-5</v>
      </c>
      <c r="S704" s="89">
        <f t="shared" si="96"/>
        <v>9.7723722095581017E-8</v>
      </c>
      <c r="T704" s="136">
        <f t="shared" si="96"/>
        <v>1.0232929922807534E-7</v>
      </c>
      <c r="U704" s="137">
        <f t="shared" si="97"/>
        <v>2.3958966275577757E-2</v>
      </c>
      <c r="V704" s="88">
        <f t="shared" si="93"/>
        <v>2.9994680762173918</v>
      </c>
      <c r="W704" s="86">
        <f t="shared" si="98"/>
        <v>1.3694680762173927</v>
      </c>
      <c r="X704" s="90">
        <f t="shared" si="94"/>
        <v>1.3958966275577757E-2</v>
      </c>
    </row>
    <row r="705" spans="13:24" x14ac:dyDescent="0.25">
      <c r="M705" s="91">
        <v>7.02</v>
      </c>
      <c r="N705" s="89">
        <f t="shared" si="90"/>
        <v>6.98</v>
      </c>
      <c r="O705" s="89">
        <f t="shared" si="91"/>
        <v>5.6302950068378763</v>
      </c>
      <c r="P705" s="97">
        <f t="shared" si="92"/>
        <v>4.0102950068378762</v>
      </c>
      <c r="Q705" s="135">
        <f t="shared" si="95"/>
        <v>2.3426369721582339E-6</v>
      </c>
      <c r="R705" s="89">
        <f t="shared" si="95"/>
        <v>9.7657363027841665E-5</v>
      </c>
      <c r="S705" s="89">
        <f t="shared" si="96"/>
        <v>9.5499258602143556E-8</v>
      </c>
      <c r="T705" s="136">
        <f t="shared" si="96"/>
        <v>1.0471285480508987E-7</v>
      </c>
      <c r="U705" s="137">
        <f t="shared" si="97"/>
        <v>2.3426369721582362E-2</v>
      </c>
      <c r="V705" s="88">
        <f t="shared" si="93"/>
        <v>3.0097049931621234</v>
      </c>
      <c r="W705" s="86">
        <f t="shared" si="98"/>
        <v>1.3497049931621241</v>
      </c>
      <c r="X705" s="90">
        <f t="shared" si="94"/>
        <v>1.3426369721582362E-2</v>
      </c>
    </row>
    <row r="706" spans="13:24" x14ac:dyDescent="0.25">
      <c r="M706" s="91">
        <v>7.03</v>
      </c>
      <c r="N706" s="89">
        <f t="shared" si="90"/>
        <v>6.97</v>
      </c>
      <c r="O706" s="89">
        <f t="shared" si="91"/>
        <v>5.6400633578502397</v>
      </c>
      <c r="P706" s="97">
        <f t="shared" si="92"/>
        <v>4.0100633578502398</v>
      </c>
      <c r="Q706" s="135">
        <f t="shared" si="95"/>
        <v>2.2905334696986956E-6</v>
      </c>
      <c r="R706" s="89">
        <f t="shared" si="95"/>
        <v>9.7709466530301067E-5</v>
      </c>
      <c r="S706" s="89">
        <f t="shared" si="96"/>
        <v>9.3325430079699072E-8</v>
      </c>
      <c r="T706" s="136">
        <f t="shared" si="96"/>
        <v>1.0715193052376054E-7</v>
      </c>
      <c r="U706" s="137">
        <f t="shared" si="97"/>
        <v>2.2905334696987009E-2</v>
      </c>
      <c r="V706" s="88">
        <f t="shared" si="93"/>
        <v>3.0199366421497604</v>
      </c>
      <c r="W706" s="86">
        <f t="shared" si="98"/>
        <v>1.32993664214976</v>
      </c>
      <c r="X706" s="90">
        <f t="shared" si="94"/>
        <v>1.2905334696987009E-2</v>
      </c>
    </row>
    <row r="707" spans="13:24" x14ac:dyDescent="0.25">
      <c r="M707" s="91">
        <v>7.04</v>
      </c>
      <c r="N707" s="89">
        <f t="shared" ref="N707:N770" si="99">14-M707</f>
        <v>6.96</v>
      </c>
      <c r="O707" s="89">
        <f t="shared" ref="O707:O770" si="100">-LOG(10^-$B$3/(1+10^(M707-$A$3)))</f>
        <v>5.6498368624018083</v>
      </c>
      <c r="P707" s="97">
        <f t="shared" ref="P707:P770" si="101">-LOG(10^-$B$3/(1+10^($A$3-M707)))</f>
        <v>4.0098368624018086</v>
      </c>
      <c r="Q707" s="135">
        <f t="shared" si="95"/>
        <v>2.2395622457170416E-6</v>
      </c>
      <c r="R707" s="89">
        <f t="shared" si="95"/>
        <v>9.776043775428299E-5</v>
      </c>
      <c r="S707" s="89">
        <f t="shared" si="96"/>
        <v>9.120108393559095E-8</v>
      </c>
      <c r="T707" s="136">
        <f t="shared" si="96"/>
        <v>1.0964781961431838E-7</v>
      </c>
      <c r="U707" s="137">
        <f t="shared" si="97"/>
        <v>2.239562245717041E-2</v>
      </c>
      <c r="V707" s="88">
        <f t="shared" ref="V707:V770" si="102">ABS(P707-M707)</f>
        <v>3.0301631375981914</v>
      </c>
      <c r="W707" s="86">
        <f t="shared" si="98"/>
        <v>1.3101631375981917</v>
      </c>
      <c r="X707" s="90">
        <f t="shared" ref="X707:X770" si="103">ABS($J$2-U707)</f>
        <v>1.2395622457170409E-2</v>
      </c>
    </row>
    <row r="708" spans="13:24" x14ac:dyDescent="0.25">
      <c r="M708" s="91">
        <v>7.05</v>
      </c>
      <c r="N708" s="89">
        <f t="shared" si="99"/>
        <v>6.95</v>
      </c>
      <c r="O708" s="89">
        <f t="shared" si="100"/>
        <v>5.6596154084401409</v>
      </c>
      <c r="P708" s="97">
        <f t="shared" si="101"/>
        <v>4.0096154084401414</v>
      </c>
      <c r="Q708" s="135">
        <f t="shared" ref="Q708:R771" si="104">10^-O708</f>
        <v>2.1896998648233375E-6</v>
      </c>
      <c r="R708" s="89">
        <f t="shared" si="104"/>
        <v>9.7810300135176519E-5</v>
      </c>
      <c r="S708" s="89">
        <f t="shared" ref="S708:T771" si="105">10^-M708</f>
        <v>8.9125093813374537E-8</v>
      </c>
      <c r="T708" s="136">
        <f t="shared" si="105"/>
        <v>1.1220184543019621E-7</v>
      </c>
      <c r="U708" s="137">
        <f t="shared" ref="U708:U771" si="106">Q708/(Q708+R708)</f>
        <v>2.1896998648233405E-2</v>
      </c>
      <c r="V708" s="88">
        <f t="shared" si="102"/>
        <v>3.0403845915598584</v>
      </c>
      <c r="W708" s="86">
        <f t="shared" ref="W708:W771" si="107">ABS(O708-N708)</f>
        <v>1.2903845915598593</v>
      </c>
      <c r="X708" s="90">
        <f t="shared" si="103"/>
        <v>1.1896998648233405E-2</v>
      </c>
    </row>
    <row r="709" spans="13:24" x14ac:dyDescent="0.25">
      <c r="M709" s="91">
        <v>7.06</v>
      </c>
      <c r="N709" s="89">
        <f t="shared" si="99"/>
        <v>6.94</v>
      </c>
      <c r="O709" s="89">
        <f t="shared" si="100"/>
        <v>5.6693988862346147</v>
      </c>
      <c r="P709" s="97">
        <f t="shared" si="101"/>
        <v>4.0093988862346155</v>
      </c>
      <c r="Q709" s="135">
        <f t="shared" si="104"/>
        <v>2.1409233250460124E-6</v>
      </c>
      <c r="R709" s="89">
        <f t="shared" si="104"/>
        <v>9.7859076674953902E-5</v>
      </c>
      <c r="S709" s="89">
        <f t="shared" si="105"/>
        <v>8.7096358995608061E-8</v>
      </c>
      <c r="T709" s="136">
        <f t="shared" si="105"/>
        <v>1.1481536214968794E-7</v>
      </c>
      <c r="U709" s="137">
        <f t="shared" si="106"/>
        <v>2.1409233250460145E-2</v>
      </c>
      <c r="V709" s="88">
        <f t="shared" si="102"/>
        <v>3.0506011137653841</v>
      </c>
      <c r="W709" s="86">
        <f t="shared" si="107"/>
        <v>1.2706011137653856</v>
      </c>
      <c r="X709" s="90">
        <f t="shared" si="103"/>
        <v>1.1409233250460145E-2</v>
      </c>
    </row>
    <row r="710" spans="13:24" x14ac:dyDescent="0.25">
      <c r="M710" s="91">
        <v>7.07</v>
      </c>
      <c r="N710" s="89">
        <f t="shared" si="99"/>
        <v>6.93</v>
      </c>
      <c r="O710" s="89">
        <f t="shared" si="100"/>
        <v>5.6791871883333718</v>
      </c>
      <c r="P710" s="97">
        <f t="shared" si="101"/>
        <v>4.0091871883333718</v>
      </c>
      <c r="Q710" s="135">
        <f t="shared" si="104"/>
        <v>2.0932100521339563E-6</v>
      </c>
      <c r="R710" s="89">
        <f t="shared" si="104"/>
        <v>9.790678994786612E-5</v>
      </c>
      <c r="S710" s="89">
        <f t="shared" si="105"/>
        <v>8.5113803820237355E-8</v>
      </c>
      <c r="T710" s="136">
        <f t="shared" si="105"/>
        <v>1.174897554939528E-7</v>
      </c>
      <c r="U710" s="137">
        <f t="shared" si="106"/>
        <v>2.0932100521339547E-2</v>
      </c>
      <c r="V710" s="88">
        <f t="shared" si="102"/>
        <v>3.0608128116666284</v>
      </c>
      <c r="W710" s="86">
        <f t="shared" si="107"/>
        <v>1.2508128116666279</v>
      </c>
      <c r="X710" s="90">
        <f t="shared" si="103"/>
        <v>1.0932100521339546E-2</v>
      </c>
    </row>
    <row r="711" spans="13:24" x14ac:dyDescent="0.25">
      <c r="M711" s="91">
        <v>7.08</v>
      </c>
      <c r="N711" s="89">
        <f t="shared" si="99"/>
        <v>6.92</v>
      </c>
      <c r="O711" s="89">
        <f t="shared" si="100"/>
        <v>5.6889802095208308</v>
      </c>
      <c r="P711" s="97">
        <f t="shared" si="101"/>
        <v>4.0089802095208311</v>
      </c>
      <c r="Q711" s="135">
        <f t="shared" si="104"/>
        <v>2.0465378938219556E-6</v>
      </c>
      <c r="R711" s="89">
        <f t="shared" si="104"/>
        <v>9.7953462106178032E-5</v>
      </c>
      <c r="S711" s="89">
        <f t="shared" si="105"/>
        <v>8.3176377110266823E-8</v>
      </c>
      <c r="T711" s="136">
        <f t="shared" si="105"/>
        <v>1.2022644346174111E-7</v>
      </c>
      <c r="U711" s="137">
        <f t="shared" si="106"/>
        <v>2.0465378938219557E-2</v>
      </c>
      <c r="V711" s="88">
        <f t="shared" si="102"/>
        <v>3.071019790479169</v>
      </c>
      <c r="W711" s="86">
        <f t="shared" si="107"/>
        <v>1.2310197904791691</v>
      </c>
      <c r="X711" s="90">
        <f t="shared" si="103"/>
        <v>1.0465378938219557E-2</v>
      </c>
    </row>
    <row r="712" spans="13:24" x14ac:dyDescent="0.25">
      <c r="M712" s="91">
        <v>7.09</v>
      </c>
      <c r="N712" s="89">
        <f t="shared" si="99"/>
        <v>6.91</v>
      </c>
      <c r="O712" s="89">
        <f t="shared" si="100"/>
        <v>5.6987778467757781</v>
      </c>
      <c r="P712" s="97">
        <f t="shared" si="101"/>
        <v>4.0087778467757786</v>
      </c>
      <c r="Q712" s="135">
        <f t="shared" si="104"/>
        <v>2.0008851140663902E-6</v>
      </c>
      <c r="R712" s="89">
        <f t="shared" si="104"/>
        <v>9.7999114885933525E-5</v>
      </c>
      <c r="S712" s="89">
        <f t="shared" si="105"/>
        <v>8.128305161640995E-8</v>
      </c>
      <c r="T712" s="136">
        <f t="shared" si="105"/>
        <v>1.2302687708123796E-7</v>
      </c>
      <c r="U712" s="137">
        <f t="shared" si="106"/>
        <v>2.0008851140663919E-2</v>
      </c>
      <c r="V712" s="88">
        <f t="shared" si="102"/>
        <v>3.0812221532242212</v>
      </c>
      <c r="W712" s="86">
        <f t="shared" si="107"/>
        <v>1.211222153224222</v>
      </c>
      <c r="X712" s="90">
        <f t="shared" si="103"/>
        <v>1.0008851140663919E-2</v>
      </c>
    </row>
    <row r="713" spans="13:24" x14ac:dyDescent="0.25">
      <c r="M713" s="91">
        <v>7.1</v>
      </c>
      <c r="N713" s="89">
        <f t="shared" si="99"/>
        <v>6.9</v>
      </c>
      <c r="O713" s="89">
        <f t="shared" si="100"/>
        <v>5.708579999230035</v>
      </c>
      <c r="P713" s="97">
        <f t="shared" si="101"/>
        <v>4.0085799992300357</v>
      </c>
      <c r="Q713" s="135">
        <f t="shared" si="104"/>
        <v>1.9562303872579548E-6</v>
      </c>
      <c r="R713" s="89">
        <f t="shared" si="104"/>
        <v>9.8043769612741994E-5</v>
      </c>
      <c r="S713" s="89">
        <f t="shared" si="105"/>
        <v>7.943282347242818E-8</v>
      </c>
      <c r="T713" s="136">
        <f t="shared" si="105"/>
        <v>1.2589254117941651E-7</v>
      </c>
      <c r="U713" s="137">
        <f t="shared" si="106"/>
        <v>1.9562303872579557E-2</v>
      </c>
      <c r="V713" s="88">
        <f t="shared" si="102"/>
        <v>3.0914200007699639</v>
      </c>
      <c r="W713" s="86">
        <f t="shared" si="107"/>
        <v>1.1914200007699653</v>
      </c>
      <c r="X713" s="90">
        <f t="shared" si="103"/>
        <v>9.5623038725795566E-3</v>
      </c>
    </row>
    <row r="714" spans="13:24" x14ac:dyDescent="0.25">
      <c r="M714" s="91">
        <v>7.11</v>
      </c>
      <c r="N714" s="89">
        <f t="shared" si="99"/>
        <v>6.89</v>
      </c>
      <c r="O714" s="89">
        <f t="shared" si="100"/>
        <v>5.7183865681277046</v>
      </c>
      <c r="P714" s="97">
        <f t="shared" si="101"/>
        <v>4.0083865681277047</v>
      </c>
      <c r="Q714" s="135">
        <f t="shared" si="104"/>
        <v>1.9125527924175673E-6</v>
      </c>
      <c r="R714" s="89">
        <f t="shared" si="104"/>
        <v>9.8087447207582297E-5</v>
      </c>
      <c r="S714" s="89">
        <f t="shared" si="105"/>
        <v>7.7624711662868932E-8</v>
      </c>
      <c r="T714" s="136">
        <f t="shared" si="105"/>
        <v>1.288249551693134E-7</v>
      </c>
      <c r="U714" s="137">
        <f t="shared" si="106"/>
        <v>1.9125527924175698E-2</v>
      </c>
      <c r="V714" s="88">
        <f t="shared" si="102"/>
        <v>3.1016134318722957</v>
      </c>
      <c r="W714" s="86">
        <f t="shared" si="107"/>
        <v>1.1716134318722951</v>
      </c>
      <c r="X714" s="90">
        <f t="shared" si="103"/>
        <v>9.1255279241756974E-3</v>
      </c>
    </row>
    <row r="715" spans="13:24" x14ac:dyDescent="0.25">
      <c r="M715" s="91">
        <v>7.12</v>
      </c>
      <c r="N715" s="89">
        <f t="shared" si="99"/>
        <v>6.88</v>
      </c>
      <c r="O715" s="89">
        <f t="shared" si="100"/>
        <v>5.7281974567849954</v>
      </c>
      <c r="P715" s="97">
        <f t="shared" si="101"/>
        <v>4.0081974567849956</v>
      </c>
      <c r="Q715" s="135">
        <f t="shared" si="104"/>
        <v>1.8698318073816071E-6</v>
      </c>
      <c r="R715" s="89">
        <f t="shared" si="104"/>
        <v>9.8130168192618277E-5</v>
      </c>
      <c r="S715" s="89">
        <f t="shared" si="105"/>
        <v>7.5857757502918145E-8</v>
      </c>
      <c r="T715" s="136">
        <f t="shared" si="105"/>
        <v>1.3182567385564048E-7</v>
      </c>
      <c r="U715" s="137">
        <f t="shared" si="106"/>
        <v>1.8698318073816094E-2</v>
      </c>
      <c r="V715" s="88">
        <f t="shared" si="102"/>
        <v>3.1118025432150045</v>
      </c>
      <c r="W715" s="86">
        <f t="shared" si="107"/>
        <v>1.1518025432150045</v>
      </c>
      <c r="X715" s="90">
        <f t="shared" si="103"/>
        <v>8.6983180738160939E-3</v>
      </c>
    </row>
    <row r="716" spans="13:24" x14ac:dyDescent="0.25">
      <c r="M716" s="91">
        <v>7.13</v>
      </c>
      <c r="N716" s="89">
        <f t="shared" si="99"/>
        <v>6.87</v>
      </c>
      <c r="O716" s="89">
        <f t="shared" si="100"/>
        <v>5.7380125705506373</v>
      </c>
      <c r="P716" s="97">
        <f t="shared" si="101"/>
        <v>4.0080125705506369</v>
      </c>
      <c r="Q716" s="135">
        <f t="shared" si="104"/>
        <v>1.8280473029819265E-6</v>
      </c>
      <c r="R716" s="89">
        <f t="shared" si="104"/>
        <v>9.8171952697018083E-5</v>
      </c>
      <c r="S716" s="89">
        <f t="shared" si="105"/>
        <v>7.413102413009154E-8</v>
      </c>
      <c r="T716" s="136">
        <f t="shared" si="105"/>
        <v>1.3489628825916511E-7</v>
      </c>
      <c r="U716" s="137">
        <f t="shared" si="106"/>
        <v>1.8280473029819264E-2</v>
      </c>
      <c r="V716" s="88">
        <f t="shared" si="102"/>
        <v>3.121987429449363</v>
      </c>
      <c r="W716" s="86">
        <f t="shared" si="107"/>
        <v>1.1319874294493628</v>
      </c>
      <c r="X716" s="90">
        <f t="shared" si="103"/>
        <v>8.2804730298192634E-3</v>
      </c>
    </row>
    <row r="717" spans="13:24" x14ac:dyDescent="0.25">
      <c r="M717" s="91">
        <v>7.14</v>
      </c>
      <c r="N717" s="89">
        <f t="shared" si="99"/>
        <v>6.86</v>
      </c>
      <c r="O717" s="89">
        <f t="shared" si="100"/>
        <v>5.7478318167668672</v>
      </c>
      <c r="P717" s="97">
        <f t="shared" si="101"/>
        <v>4.0078318167668678</v>
      </c>
      <c r="Q717" s="135">
        <f t="shared" si="104"/>
        <v>1.7871795372261792E-6</v>
      </c>
      <c r="R717" s="89">
        <f t="shared" si="104"/>
        <v>9.8212820462773731E-5</v>
      </c>
      <c r="S717" s="89">
        <f t="shared" si="105"/>
        <v>7.2443596007499061E-8</v>
      </c>
      <c r="T717" s="136">
        <f t="shared" si="105"/>
        <v>1.3803842646028823E-7</v>
      </c>
      <c r="U717" s="137">
        <f t="shared" si="106"/>
        <v>1.7871795372261808E-2</v>
      </c>
      <c r="V717" s="88">
        <f t="shared" si="102"/>
        <v>3.1321681832331318</v>
      </c>
      <c r="W717" s="86">
        <f t="shared" si="107"/>
        <v>1.1121681832331332</v>
      </c>
      <c r="X717" s="90">
        <f t="shared" si="103"/>
        <v>7.8717953722618073E-3</v>
      </c>
    </row>
    <row r="718" spans="13:24" x14ac:dyDescent="0.25">
      <c r="M718" s="91">
        <v>7.15</v>
      </c>
      <c r="N718" s="89">
        <f t="shared" si="99"/>
        <v>6.85</v>
      </c>
      <c r="O718" s="89">
        <f t="shared" si="100"/>
        <v>5.7576551047310094</v>
      </c>
      <c r="P718" s="97">
        <f t="shared" si="101"/>
        <v>4.0076551047310085</v>
      </c>
      <c r="Q718" s="135">
        <f t="shared" si="104"/>
        <v>1.7472091494833399E-6</v>
      </c>
      <c r="R718" s="89">
        <f t="shared" si="104"/>
        <v>9.8252790850516673E-5</v>
      </c>
      <c r="S718" s="89">
        <f t="shared" si="105"/>
        <v>7.0794578438413597E-8</v>
      </c>
      <c r="T718" s="136">
        <f t="shared" si="105"/>
        <v>1.4125375446227539E-7</v>
      </c>
      <c r="U718" s="137">
        <f t="shared" si="106"/>
        <v>1.7472091494833395E-2</v>
      </c>
      <c r="V718" s="88">
        <f t="shared" si="102"/>
        <v>3.1423448952689919</v>
      </c>
      <c r="W718" s="86">
        <f t="shared" si="107"/>
        <v>1.0923448952689903</v>
      </c>
      <c r="X718" s="90">
        <f t="shared" si="103"/>
        <v>7.4720914948333949E-3</v>
      </c>
    </row>
    <row r="719" spans="13:24" x14ac:dyDescent="0.25">
      <c r="M719" s="91">
        <v>7.16</v>
      </c>
      <c r="N719" s="89">
        <f t="shared" si="99"/>
        <v>6.84</v>
      </c>
      <c r="O719" s="89">
        <f t="shared" si="100"/>
        <v>5.7674823456576174</v>
      </c>
      <c r="P719" s="97">
        <f t="shared" si="101"/>
        <v>4.0074823456576176</v>
      </c>
      <c r="Q719" s="135">
        <f t="shared" si="104"/>
        <v>1.7081171546793477E-6</v>
      </c>
      <c r="R719" s="89">
        <f t="shared" si="104"/>
        <v>9.8291882845320583E-5</v>
      </c>
      <c r="S719" s="89">
        <f t="shared" si="105"/>
        <v>6.9183097091893466E-8</v>
      </c>
      <c r="T719" s="136">
        <f t="shared" si="105"/>
        <v>1.4454397707459271E-7</v>
      </c>
      <c r="U719" s="137">
        <f t="shared" si="106"/>
        <v>1.7081171546793488E-2</v>
      </c>
      <c r="V719" s="88">
        <f t="shared" si="102"/>
        <v>3.1525176543423825</v>
      </c>
      <c r="W719" s="86">
        <f t="shared" si="107"/>
        <v>1.0725176543423824</v>
      </c>
      <c r="X719" s="90">
        <f t="shared" si="103"/>
        <v>7.0811715467934879E-3</v>
      </c>
    </row>
    <row r="720" spans="13:24" x14ac:dyDescent="0.25">
      <c r="M720" s="91">
        <v>7.17</v>
      </c>
      <c r="N720" s="89">
        <f t="shared" si="99"/>
        <v>6.83</v>
      </c>
      <c r="O720" s="89">
        <f t="shared" si="100"/>
        <v>5.7773134526412226</v>
      </c>
      <c r="P720" s="97">
        <f t="shared" si="101"/>
        <v>4.0073134526412231</v>
      </c>
      <c r="Q720" s="135">
        <f t="shared" si="104"/>
        <v>1.6698849375071135E-6</v>
      </c>
      <c r="R720" s="89">
        <f t="shared" si="104"/>
        <v>9.8330115062492902E-5</v>
      </c>
      <c r="S720" s="89">
        <f t="shared" si="105"/>
        <v>6.7608297539197998E-8</v>
      </c>
      <c r="T720" s="136">
        <f t="shared" si="105"/>
        <v>1.479108388168204E-7</v>
      </c>
      <c r="U720" s="137">
        <f t="shared" si="106"/>
        <v>1.6698849375071132E-2</v>
      </c>
      <c r="V720" s="88">
        <f t="shared" si="102"/>
        <v>3.1626865473587769</v>
      </c>
      <c r="W720" s="86">
        <f t="shared" si="107"/>
        <v>1.0526865473587774</v>
      </c>
      <c r="X720" s="90">
        <f t="shared" si="103"/>
        <v>6.6988493750711319E-3</v>
      </c>
    </row>
    <row r="721" spans="13:24" x14ac:dyDescent="0.25">
      <c r="M721" s="91">
        <v>7.18</v>
      </c>
      <c r="N721" s="89">
        <f t="shared" si="99"/>
        <v>6.82</v>
      </c>
      <c r="O721" s="89">
        <f t="shared" si="100"/>
        <v>5.7871483406196367</v>
      </c>
      <c r="P721" s="97">
        <f t="shared" si="101"/>
        <v>4.0071483406196373</v>
      </c>
      <c r="Q721" s="135">
        <f t="shared" si="104"/>
        <v>1.6324942466553944E-6</v>
      </c>
      <c r="R721" s="89">
        <f t="shared" si="104"/>
        <v>9.8367505753344398E-5</v>
      </c>
      <c r="S721" s="89">
        <f t="shared" si="105"/>
        <v>6.606934480075943E-8</v>
      </c>
      <c r="T721" s="136">
        <f t="shared" si="105"/>
        <v>1.5135612484362046E-7</v>
      </c>
      <c r="U721" s="137">
        <f t="shared" si="106"/>
        <v>1.6324942466553978E-2</v>
      </c>
      <c r="V721" s="88">
        <f t="shared" si="102"/>
        <v>3.1728516593803624</v>
      </c>
      <c r="W721" s="86">
        <f t="shared" si="107"/>
        <v>1.0328516593803636</v>
      </c>
      <c r="X721" s="90">
        <f t="shared" si="103"/>
        <v>6.3249424665539778E-3</v>
      </c>
    </row>
    <row r="722" spans="13:24" x14ac:dyDescent="0.25">
      <c r="M722" s="91">
        <v>7.19</v>
      </c>
      <c r="N722" s="89">
        <f t="shared" si="99"/>
        <v>6.81</v>
      </c>
      <c r="O722" s="89">
        <f t="shared" si="100"/>
        <v>5.7969869263378424</v>
      </c>
      <c r="P722" s="97">
        <f t="shared" si="101"/>
        <v>4.0069869263378415</v>
      </c>
      <c r="Q722" s="135">
        <f t="shared" si="104"/>
        <v>1.595927189060251E-6</v>
      </c>
      <c r="R722" s="89">
        <f t="shared" si="104"/>
        <v>9.8404072810939774E-5</v>
      </c>
      <c r="S722" s="89">
        <f t="shared" si="105"/>
        <v>6.4565422903465397E-8</v>
      </c>
      <c r="T722" s="136">
        <f t="shared" si="105"/>
        <v>1.5488166189124805E-7</v>
      </c>
      <c r="U722" s="137">
        <f t="shared" si="106"/>
        <v>1.5959271890602506E-2</v>
      </c>
      <c r="V722" s="88">
        <f t="shared" si="102"/>
        <v>3.1830130736621589</v>
      </c>
      <c r="W722" s="86">
        <f t="shared" si="107"/>
        <v>1.0130130736621572</v>
      </c>
      <c r="X722" s="90">
        <f t="shared" si="103"/>
        <v>5.9592718906025053E-3</v>
      </c>
    </row>
    <row r="723" spans="13:24" x14ac:dyDescent="0.25">
      <c r="M723" s="91">
        <v>7.2</v>
      </c>
      <c r="N723" s="89">
        <f t="shared" si="99"/>
        <v>6.8</v>
      </c>
      <c r="O723" s="89">
        <f t="shared" si="100"/>
        <v>5.8068291283124527</v>
      </c>
      <c r="P723" s="97">
        <f t="shared" si="101"/>
        <v>4.0068291283124529</v>
      </c>
      <c r="Q723" s="135">
        <f t="shared" si="104"/>
        <v>1.5601662241829606E-6</v>
      </c>
      <c r="R723" s="89">
        <f t="shared" si="104"/>
        <v>9.843983377581694E-5</v>
      </c>
      <c r="S723" s="89">
        <f t="shared" si="105"/>
        <v>6.3095734448019177E-8</v>
      </c>
      <c r="T723" s="136">
        <f t="shared" si="105"/>
        <v>1.5848931924611122E-7</v>
      </c>
      <c r="U723" s="137">
        <f t="shared" si="106"/>
        <v>1.5601662241829623E-2</v>
      </c>
      <c r="V723" s="88">
        <f t="shared" si="102"/>
        <v>3.1931708716875473</v>
      </c>
      <c r="W723" s="86">
        <f t="shared" si="107"/>
        <v>0.99317087168754714</v>
      </c>
      <c r="X723" s="90">
        <f t="shared" si="103"/>
        <v>5.6016622418296226E-3</v>
      </c>
    </row>
    <row r="724" spans="13:24" x14ac:dyDescent="0.25">
      <c r="M724" s="91">
        <v>7.21</v>
      </c>
      <c r="N724" s="89">
        <f t="shared" si="99"/>
        <v>6.79</v>
      </c>
      <c r="O724" s="89">
        <f t="shared" si="100"/>
        <v>5.8166748667967507</v>
      </c>
      <c r="P724" s="97">
        <f t="shared" si="101"/>
        <v>4.0066748667967502</v>
      </c>
      <c r="Q724" s="135">
        <f t="shared" si="104"/>
        <v>1.525194158317772E-6</v>
      </c>
      <c r="R724" s="89">
        <f t="shared" si="104"/>
        <v>9.8474805841682194E-5</v>
      </c>
      <c r="S724" s="89">
        <f t="shared" si="105"/>
        <v>6.1659500186148087E-8</v>
      </c>
      <c r="T724" s="136">
        <f t="shared" si="105"/>
        <v>1.6218100973589288E-7</v>
      </c>
      <c r="U724" s="137">
        <f t="shared" si="106"/>
        <v>1.5251941583177726E-2</v>
      </c>
      <c r="V724" s="88">
        <f t="shared" si="102"/>
        <v>3.2033251332032497</v>
      </c>
      <c r="W724" s="86">
        <f t="shared" si="107"/>
        <v>0.97332513320324932</v>
      </c>
      <c r="X724" s="90">
        <f t="shared" si="103"/>
        <v>5.2519415831777261E-3</v>
      </c>
    </row>
    <row r="725" spans="13:24" x14ac:dyDescent="0.25">
      <c r="M725" s="91">
        <v>7.22</v>
      </c>
      <c r="N725" s="89">
        <f t="shared" si="99"/>
        <v>6.78</v>
      </c>
      <c r="O725" s="89">
        <f t="shared" si="100"/>
        <v>5.8265240637462785</v>
      </c>
      <c r="P725" s="97">
        <f t="shared" si="101"/>
        <v>4.0065240637462791</v>
      </c>
      <c r="Q725" s="135">
        <f t="shared" si="104"/>
        <v>1.4909941389328663E-6</v>
      </c>
      <c r="R725" s="89">
        <f t="shared" si="104"/>
        <v>9.8509005861067072E-5</v>
      </c>
      <c r="S725" s="89">
        <f t="shared" si="105"/>
        <v>6.0255958607435649E-8</v>
      </c>
      <c r="T725" s="136">
        <f t="shared" si="105"/>
        <v>1.6595869074375559E-7</v>
      </c>
      <c r="U725" s="137">
        <f t="shared" si="106"/>
        <v>1.4909941389328673E-2</v>
      </c>
      <c r="V725" s="88">
        <f t="shared" si="102"/>
        <v>3.2134759362537206</v>
      </c>
      <c r="W725" s="86">
        <f t="shared" si="107"/>
        <v>0.95347593625372173</v>
      </c>
      <c r="X725" s="90">
        <f t="shared" si="103"/>
        <v>4.9099413893286727E-3</v>
      </c>
    </row>
    <row r="726" spans="13:24" x14ac:dyDescent="0.25">
      <c r="M726" s="91">
        <v>7.23</v>
      </c>
      <c r="N726" s="89">
        <f t="shared" si="99"/>
        <v>6.77</v>
      </c>
      <c r="O726" s="89">
        <f t="shared" si="100"/>
        <v>5.8363766427850141</v>
      </c>
      <c r="P726" s="97">
        <f t="shared" si="101"/>
        <v>4.006376642785014</v>
      </c>
      <c r="Q726" s="135">
        <f t="shared" si="104"/>
        <v>1.4575496490474273E-6</v>
      </c>
      <c r="R726" s="89">
        <f t="shared" si="104"/>
        <v>9.8542450350952378E-5</v>
      </c>
      <c r="S726" s="89">
        <f t="shared" si="105"/>
        <v>5.8884365535558776E-8</v>
      </c>
      <c r="T726" s="136">
        <f t="shared" si="105"/>
        <v>1.6982436524617427E-7</v>
      </c>
      <c r="U726" s="137">
        <f t="shared" si="106"/>
        <v>1.4575496490474302E-2</v>
      </c>
      <c r="V726" s="88">
        <f t="shared" si="102"/>
        <v>3.2236233572149864</v>
      </c>
      <c r="W726" s="86">
        <f t="shared" si="107"/>
        <v>0.93362335721498546</v>
      </c>
      <c r="X726" s="90">
        <f t="shared" si="103"/>
        <v>4.5754964904743019E-3</v>
      </c>
    </row>
    <row r="727" spans="13:24" x14ac:dyDescent="0.25">
      <c r="M727" s="91">
        <v>7.24</v>
      </c>
      <c r="N727" s="89">
        <f t="shared" si="99"/>
        <v>6.76</v>
      </c>
      <c r="O727" s="89">
        <f t="shared" si="100"/>
        <v>5.8462325291720809</v>
      </c>
      <c r="P727" s="97">
        <f t="shared" si="101"/>
        <v>4.0062325291720811</v>
      </c>
      <c r="Q727" s="135">
        <f t="shared" si="104"/>
        <v>1.4248445016478229E-6</v>
      </c>
      <c r="R727" s="89">
        <f t="shared" si="104"/>
        <v>9.8575155498351998E-5</v>
      </c>
      <c r="S727" s="89">
        <f t="shared" si="105"/>
        <v>5.7543993733715586E-8</v>
      </c>
      <c r="T727" s="136">
        <f t="shared" si="105"/>
        <v>1.7378008287493735E-7</v>
      </c>
      <c r="U727" s="137">
        <f t="shared" si="106"/>
        <v>1.4248445016478256E-2</v>
      </c>
      <c r="V727" s="88">
        <f t="shared" si="102"/>
        <v>3.2337674708279192</v>
      </c>
      <c r="W727" s="86">
        <f t="shared" si="107"/>
        <v>0.91376747082791887</v>
      </c>
      <c r="X727" s="90">
        <f t="shared" si="103"/>
        <v>4.2484450164782563E-3</v>
      </c>
    </row>
    <row r="728" spans="13:24" x14ac:dyDescent="0.25">
      <c r="M728" s="91">
        <v>7.25</v>
      </c>
      <c r="N728" s="89">
        <f t="shared" si="99"/>
        <v>6.75</v>
      </c>
      <c r="O728" s="89">
        <f t="shared" si="100"/>
        <v>5.8560916497690423</v>
      </c>
      <c r="P728" s="97">
        <f t="shared" si="101"/>
        <v>4.0060916497690418</v>
      </c>
      <c r="Q728" s="135">
        <f t="shared" si="104"/>
        <v>1.3928628341453514E-6</v>
      </c>
      <c r="R728" s="89">
        <f t="shared" si="104"/>
        <v>9.8607137165854588E-5</v>
      </c>
      <c r="S728" s="89">
        <f t="shared" si="105"/>
        <v>5.6234132519034806E-8</v>
      </c>
      <c r="T728" s="136">
        <f t="shared" si="105"/>
        <v>1.7782794100389206E-7</v>
      </c>
      <c r="U728" s="137">
        <f t="shared" si="106"/>
        <v>1.3928628341453522E-2</v>
      </c>
      <c r="V728" s="88">
        <f t="shared" si="102"/>
        <v>3.2439083502309582</v>
      </c>
      <c r="W728" s="86">
        <f t="shared" si="107"/>
        <v>0.89390835023095772</v>
      </c>
      <c r="X728" s="90">
        <f t="shared" si="103"/>
        <v>3.9286283414535217E-3</v>
      </c>
    </row>
    <row r="729" spans="13:24" x14ac:dyDescent="0.25">
      <c r="M729" s="91">
        <v>7.26</v>
      </c>
      <c r="N729" s="89">
        <f t="shared" si="99"/>
        <v>6.74</v>
      </c>
      <c r="O729" s="89">
        <f t="shared" si="100"/>
        <v>5.8659539330077255</v>
      </c>
      <c r="P729" s="97">
        <f t="shared" si="101"/>
        <v>4.0059539330077261</v>
      </c>
      <c r="Q729" s="135">
        <f t="shared" si="104"/>
        <v>1.3615891028782066E-6</v>
      </c>
      <c r="R729" s="89">
        <f t="shared" si="104"/>
        <v>9.8638410897121625E-5</v>
      </c>
      <c r="S729" s="89">
        <f t="shared" si="105"/>
        <v>5.4954087385762357E-8</v>
      </c>
      <c r="T729" s="136">
        <f t="shared" si="105"/>
        <v>1.8197008586099811E-7</v>
      </c>
      <c r="U729" s="137">
        <f t="shared" si="106"/>
        <v>1.3615891028782089E-2</v>
      </c>
      <c r="V729" s="88">
        <f t="shared" si="102"/>
        <v>3.2540460669922737</v>
      </c>
      <c r="W729" s="86">
        <f t="shared" si="107"/>
        <v>0.87404606699227472</v>
      </c>
      <c r="X729" s="90">
        <f t="shared" si="103"/>
        <v>3.6158910287820891E-3</v>
      </c>
    </row>
    <row r="730" spans="13:24" x14ac:dyDescent="0.25">
      <c r="M730" s="91">
        <v>7.27</v>
      </c>
      <c r="N730" s="89">
        <f t="shared" si="99"/>
        <v>6.73</v>
      </c>
      <c r="O730" s="89">
        <f t="shared" si="100"/>
        <v>5.875819308858607</v>
      </c>
      <c r="P730" s="97">
        <f t="shared" si="101"/>
        <v>4.0058193088586069</v>
      </c>
      <c r="Q730" s="135">
        <f t="shared" si="104"/>
        <v>1.3310080776597252E-6</v>
      </c>
      <c r="R730" s="89">
        <f t="shared" si="104"/>
        <v>9.8668991922340297E-5</v>
      </c>
      <c r="S730" s="89">
        <f t="shared" si="105"/>
        <v>5.3703179637025192E-8</v>
      </c>
      <c r="T730" s="136">
        <f t="shared" si="105"/>
        <v>1.8620871366628614E-7</v>
      </c>
      <c r="U730" s="137">
        <f t="shared" si="106"/>
        <v>1.331008077659725E-2</v>
      </c>
      <c r="V730" s="88">
        <f t="shared" si="102"/>
        <v>3.2641806911413926</v>
      </c>
      <c r="W730" s="86">
        <f t="shared" si="107"/>
        <v>0.85418069114139339</v>
      </c>
      <c r="X730" s="90">
        <f t="shared" si="103"/>
        <v>3.31008077659725E-3</v>
      </c>
    </row>
    <row r="731" spans="13:24" x14ac:dyDescent="0.25">
      <c r="M731" s="91">
        <v>7.28</v>
      </c>
      <c r="N731" s="89">
        <f t="shared" si="99"/>
        <v>6.72</v>
      </c>
      <c r="O731" s="89">
        <f t="shared" si="100"/>
        <v>5.8856877087997326</v>
      </c>
      <c r="P731" s="97">
        <f t="shared" si="101"/>
        <v>4.0056877087997327</v>
      </c>
      <c r="Q731" s="135">
        <f t="shared" si="104"/>
        <v>1.3011048363752065E-6</v>
      </c>
      <c r="R731" s="89">
        <f t="shared" si="104"/>
        <v>9.8698895163624686E-5</v>
      </c>
      <c r="S731" s="89">
        <f t="shared" si="105"/>
        <v>5.2480746024977185E-8</v>
      </c>
      <c r="T731" s="136">
        <f t="shared" si="105"/>
        <v>1.9054607179632443E-7</v>
      </c>
      <c r="U731" s="137">
        <f t="shared" si="106"/>
        <v>1.3011048363752078E-2</v>
      </c>
      <c r="V731" s="88">
        <f t="shared" si="102"/>
        <v>3.2743122912002676</v>
      </c>
      <c r="W731" s="86">
        <f t="shared" si="107"/>
        <v>0.83431229120026718</v>
      </c>
      <c r="X731" s="90">
        <f t="shared" si="103"/>
        <v>3.0110483637520776E-3</v>
      </c>
    </row>
    <row r="732" spans="13:24" x14ac:dyDescent="0.25">
      <c r="M732" s="91">
        <v>7.29</v>
      </c>
      <c r="N732" s="89">
        <f t="shared" si="99"/>
        <v>6.71</v>
      </c>
      <c r="O732" s="89">
        <f t="shared" si="100"/>
        <v>5.8955590657861778</v>
      </c>
      <c r="P732" s="97">
        <f t="shared" si="101"/>
        <v>4.0055590657861782</v>
      </c>
      <c r="Q732" s="135">
        <f t="shared" si="104"/>
        <v>1.2718647596290679E-6</v>
      </c>
      <c r="R732" s="89">
        <f t="shared" si="104"/>
        <v>9.8728135240370776E-5</v>
      </c>
      <c r="S732" s="89">
        <f t="shared" si="105"/>
        <v>5.1286138399136415E-8</v>
      </c>
      <c r="T732" s="136">
        <f t="shared" si="105"/>
        <v>1.9498445997580421E-7</v>
      </c>
      <c r="U732" s="137">
        <f t="shared" si="106"/>
        <v>1.2718647596290699E-2</v>
      </c>
      <c r="V732" s="88">
        <f t="shared" si="102"/>
        <v>3.2844409342138219</v>
      </c>
      <c r="W732" s="86">
        <f t="shared" si="107"/>
        <v>0.81444093421382213</v>
      </c>
      <c r="X732" s="90">
        <f t="shared" si="103"/>
        <v>2.7186475962906985E-3</v>
      </c>
    </row>
    <row r="733" spans="13:24" x14ac:dyDescent="0.25">
      <c r="M733" s="91">
        <v>7.3</v>
      </c>
      <c r="N733" s="89">
        <f t="shared" si="99"/>
        <v>6.7</v>
      </c>
      <c r="O733" s="89">
        <f t="shared" si="100"/>
        <v>5.9054333142200459</v>
      </c>
      <c r="P733" s="97">
        <f t="shared" si="101"/>
        <v>4.0054333142200456</v>
      </c>
      <c r="Q733" s="135">
        <f t="shared" si="104"/>
        <v>1.2432735254442392E-6</v>
      </c>
      <c r="R733" s="89">
        <f t="shared" si="104"/>
        <v>9.8756726474555806E-5</v>
      </c>
      <c r="S733" s="89">
        <f t="shared" si="105"/>
        <v>5.0118723362727164E-8</v>
      </c>
      <c r="T733" s="136">
        <f t="shared" si="105"/>
        <v>1.9952623149688761E-7</v>
      </c>
      <c r="U733" s="137">
        <f t="shared" si="106"/>
        <v>1.2432735254442386E-2</v>
      </c>
      <c r="V733" s="88">
        <f t="shared" si="102"/>
        <v>3.2945666857799543</v>
      </c>
      <c r="W733" s="86">
        <f t="shared" si="107"/>
        <v>0.79456668577995426</v>
      </c>
      <c r="X733" s="90">
        <f t="shared" si="103"/>
        <v>2.4327352544423857E-3</v>
      </c>
    </row>
    <row r="734" spans="13:24" x14ac:dyDescent="0.25">
      <c r="M734" s="91">
        <v>7.31</v>
      </c>
      <c r="N734" s="89">
        <f t="shared" si="99"/>
        <v>6.69</v>
      </c>
      <c r="O734" s="89">
        <f t="shared" si="100"/>
        <v>5.9153103899209825</v>
      </c>
      <c r="P734" s="97">
        <f t="shared" si="101"/>
        <v>4.0053103899209832</v>
      </c>
      <c r="Q734" s="135">
        <f t="shared" si="104"/>
        <v>1.2153171040153385E-6</v>
      </c>
      <c r="R734" s="89">
        <f t="shared" si="104"/>
        <v>9.8784682895984533E-5</v>
      </c>
      <c r="S734" s="89">
        <f t="shared" si="105"/>
        <v>4.8977881936844561E-8</v>
      </c>
      <c r="T734" s="136">
        <f t="shared" si="105"/>
        <v>2.0417379446695257E-7</v>
      </c>
      <c r="U734" s="137">
        <f t="shared" si="106"/>
        <v>1.2153171040153401E-2</v>
      </c>
      <c r="V734" s="88">
        <f t="shared" si="102"/>
        <v>3.3046896100790164</v>
      </c>
      <c r="W734" s="86">
        <f t="shared" si="107"/>
        <v>0.77468961007901793</v>
      </c>
      <c r="X734" s="90">
        <f t="shared" si="103"/>
        <v>2.1531710401534003E-3</v>
      </c>
    </row>
    <row r="735" spans="13:24" x14ac:dyDescent="0.25">
      <c r="M735" s="91">
        <v>7.32</v>
      </c>
      <c r="N735" s="89">
        <f t="shared" si="99"/>
        <v>6.68</v>
      </c>
      <c r="O735" s="89">
        <f t="shared" si="100"/>
        <v>5.9251902300972246</v>
      </c>
      <c r="P735" s="97">
        <f t="shared" si="101"/>
        <v>4.0051902300972246</v>
      </c>
      <c r="Q735" s="135">
        <f t="shared" si="104"/>
        <v>1.1879817525171532E-6</v>
      </c>
      <c r="R735" s="89">
        <f t="shared" si="104"/>
        <v>9.8812018247482845E-5</v>
      </c>
      <c r="S735" s="89">
        <f t="shared" si="105"/>
        <v>4.7863009232263782E-8</v>
      </c>
      <c r="T735" s="136">
        <f t="shared" si="105"/>
        <v>2.089296130854039E-7</v>
      </c>
      <c r="U735" s="137">
        <f t="shared" si="106"/>
        <v>1.1879817525171532E-2</v>
      </c>
      <c r="V735" s="88">
        <f t="shared" si="102"/>
        <v>3.3148097699027756</v>
      </c>
      <c r="W735" s="86">
        <f t="shared" si="107"/>
        <v>0.75480976990277515</v>
      </c>
      <c r="X735" s="90">
        <f t="shared" si="103"/>
        <v>1.8798175251715319E-3</v>
      </c>
    </row>
    <row r="736" spans="13:24" x14ac:dyDescent="0.25">
      <c r="M736" s="91">
        <v>7.33</v>
      </c>
      <c r="N736" s="89">
        <f t="shared" si="99"/>
        <v>6.67</v>
      </c>
      <c r="O736" s="89">
        <f t="shared" si="100"/>
        <v>5.9350727733171551</v>
      </c>
      <c r="P736" s="97">
        <f t="shared" si="101"/>
        <v>4.0050727733171554</v>
      </c>
      <c r="Q736" s="135">
        <f t="shared" si="104"/>
        <v>1.1612540099697565E-6</v>
      </c>
      <c r="R736" s="89">
        <f t="shared" si="104"/>
        <v>9.8838745990030089E-5</v>
      </c>
      <c r="S736" s="89">
        <f t="shared" si="105"/>
        <v>4.6773514128719769E-8</v>
      </c>
      <c r="T736" s="136">
        <f t="shared" si="105"/>
        <v>2.1379620895022279E-7</v>
      </c>
      <c r="U736" s="137">
        <f t="shared" si="106"/>
        <v>1.1612540099697583E-2</v>
      </c>
      <c r="V736" s="88">
        <f t="shared" si="102"/>
        <v>3.3249272266828447</v>
      </c>
      <c r="W736" s="86">
        <f t="shared" si="107"/>
        <v>0.73492722668284483</v>
      </c>
      <c r="X736" s="90">
        <f t="shared" si="103"/>
        <v>1.6125400996975826E-3</v>
      </c>
    </row>
    <row r="737" spans="13:24" x14ac:dyDescent="0.25">
      <c r="M737" s="91">
        <v>7.34</v>
      </c>
      <c r="N737" s="89">
        <f t="shared" si="99"/>
        <v>6.66</v>
      </c>
      <c r="O737" s="89">
        <f t="shared" si="100"/>
        <v>5.9449579594813748</v>
      </c>
      <c r="P737" s="97">
        <f t="shared" si="101"/>
        <v>4.0049579594813753</v>
      </c>
      <c r="Q737" s="135">
        <f t="shared" si="104"/>
        <v>1.1351206921614697E-6</v>
      </c>
      <c r="R737" s="89">
        <f t="shared" si="104"/>
        <v>9.8864879307838409E-5</v>
      </c>
      <c r="S737" s="89">
        <f t="shared" si="105"/>
        <v>4.5708818961487464E-8</v>
      </c>
      <c r="T737" s="136">
        <f t="shared" si="105"/>
        <v>2.1877616239495479E-7</v>
      </c>
      <c r="U737" s="137">
        <f t="shared" si="106"/>
        <v>1.1351206921614711E-2</v>
      </c>
      <c r="V737" s="88">
        <f t="shared" si="102"/>
        <v>3.3350420405186245</v>
      </c>
      <c r="W737" s="86">
        <f t="shared" si="107"/>
        <v>0.7150420405186253</v>
      </c>
      <c r="X737" s="90">
        <f t="shared" si="103"/>
        <v>1.3512069216147105E-3</v>
      </c>
    </row>
    <row r="738" spans="13:24" x14ac:dyDescent="0.25">
      <c r="M738" s="91">
        <v>7.35</v>
      </c>
      <c r="N738" s="89">
        <f t="shared" si="99"/>
        <v>6.65</v>
      </c>
      <c r="O738" s="89">
        <f t="shared" si="100"/>
        <v>5.9548457297952764</v>
      </c>
      <c r="P738" s="97">
        <f t="shared" si="101"/>
        <v>4.0048457297952771</v>
      </c>
      <c r="Q738" s="135">
        <f t="shared" si="104"/>
        <v>1.1095688866307725E-6</v>
      </c>
      <c r="R738" s="89">
        <f t="shared" si="104"/>
        <v>9.8890431113369067E-5</v>
      </c>
      <c r="S738" s="89">
        <f t="shared" si="105"/>
        <v>4.466835921509628E-8</v>
      </c>
      <c r="T738" s="136">
        <f t="shared" si="105"/>
        <v>2.2387211385683346E-7</v>
      </c>
      <c r="U738" s="137">
        <f t="shared" si="106"/>
        <v>1.1095688866307742E-2</v>
      </c>
      <c r="V738" s="88">
        <f t="shared" si="102"/>
        <v>3.3451542702047226</v>
      </c>
      <c r="W738" s="86">
        <f t="shared" si="107"/>
        <v>0.69515427020472398</v>
      </c>
      <c r="X738" s="90">
        <f t="shared" si="103"/>
        <v>1.0956888663077417E-3</v>
      </c>
    </row>
    <row r="739" spans="13:24" x14ac:dyDescent="0.25">
      <c r="M739" s="91">
        <v>7.36</v>
      </c>
      <c r="N739" s="89">
        <f t="shared" si="99"/>
        <v>6.64</v>
      </c>
      <c r="O739" s="89">
        <f t="shared" si="100"/>
        <v>5.964736026742119</v>
      </c>
      <c r="P739" s="97">
        <f t="shared" si="101"/>
        <v>4.004736026742119</v>
      </c>
      <c r="Q739" s="135">
        <f t="shared" si="104"/>
        <v>1.0845859477081328E-6</v>
      </c>
      <c r="R739" s="89">
        <f t="shared" si="104"/>
        <v>9.8915414052291813E-5</v>
      </c>
      <c r="S739" s="89">
        <f t="shared" si="105"/>
        <v>4.3651583224016566E-8</v>
      </c>
      <c r="T739" s="136">
        <f t="shared" si="105"/>
        <v>2.2908676527677716E-7</v>
      </c>
      <c r="U739" s="137">
        <f t="shared" si="106"/>
        <v>1.0845859477081334E-2</v>
      </c>
      <c r="V739" s="88">
        <f t="shared" si="102"/>
        <v>3.3552639732578813</v>
      </c>
      <c r="W739" s="86">
        <f t="shared" si="107"/>
        <v>0.67526397325788068</v>
      </c>
      <c r="X739" s="90">
        <f t="shared" si="103"/>
        <v>8.4585947708133366E-4</v>
      </c>
    </row>
    <row r="740" spans="13:24" x14ac:dyDescent="0.25">
      <c r="M740" s="91">
        <v>7.37</v>
      </c>
      <c r="N740" s="89">
        <f t="shared" si="99"/>
        <v>6.63</v>
      </c>
      <c r="O740" s="89">
        <f t="shared" si="100"/>
        <v>5.974628794056593</v>
      </c>
      <c r="P740" s="97">
        <f t="shared" si="101"/>
        <v>4.0046287940565932</v>
      </c>
      <c r="Q740" s="135">
        <f t="shared" si="104"/>
        <v>1.0601594916186021E-6</v>
      </c>
      <c r="R740" s="89">
        <f t="shared" si="104"/>
        <v>9.8939840508381261E-5</v>
      </c>
      <c r="S740" s="89">
        <f t="shared" si="105"/>
        <v>4.2657951880159239E-8</v>
      </c>
      <c r="T740" s="136">
        <f t="shared" si="105"/>
        <v>2.3442288153199206E-7</v>
      </c>
      <c r="U740" s="137">
        <f t="shared" si="106"/>
        <v>1.0601594916186034E-2</v>
      </c>
      <c r="V740" s="88">
        <f t="shared" si="102"/>
        <v>3.3653712059434069</v>
      </c>
      <c r="W740" s="86">
        <f t="shared" si="107"/>
        <v>0.65537120594340692</v>
      </c>
      <c r="X740" s="90">
        <f t="shared" si="103"/>
        <v>6.0159491618603372E-4</v>
      </c>
    </row>
    <row r="741" spans="13:24" x14ac:dyDescent="0.25">
      <c r="M741" s="91">
        <v>7.38</v>
      </c>
      <c r="N741" s="89">
        <f t="shared" si="99"/>
        <v>6.62</v>
      </c>
      <c r="O741" s="89">
        <f t="shared" si="100"/>
        <v>5.9845239766988723</v>
      </c>
      <c r="P741" s="97">
        <f t="shared" si="101"/>
        <v>4.0045239766988718</v>
      </c>
      <c r="Q741" s="135">
        <f t="shared" si="104"/>
        <v>1.036277391645975E-6</v>
      </c>
      <c r="R741" s="89">
        <f t="shared" si="104"/>
        <v>9.8963722608354048E-5</v>
      </c>
      <c r="S741" s="89">
        <f t="shared" si="105"/>
        <v>4.1686938347033516E-8</v>
      </c>
      <c r="T741" s="136">
        <f t="shared" si="105"/>
        <v>2.3988329190194845E-7</v>
      </c>
      <c r="U741" s="137">
        <f t="shared" si="106"/>
        <v>1.0362773916459749E-2</v>
      </c>
      <c r="V741" s="88">
        <f t="shared" si="102"/>
        <v>3.3754760233011281</v>
      </c>
      <c r="W741" s="86">
        <f t="shared" si="107"/>
        <v>0.63547602330112785</v>
      </c>
      <c r="X741" s="90">
        <f t="shared" si="103"/>
        <v>3.6277391645974863E-4</v>
      </c>
    </row>
    <row r="742" spans="13:24" x14ac:dyDescent="0.25">
      <c r="M742" s="91">
        <v>7.39</v>
      </c>
      <c r="N742" s="89">
        <f t="shared" si="99"/>
        <v>6.61</v>
      </c>
      <c r="O742" s="89">
        <f t="shared" si="100"/>
        <v>5.9944215208291487</v>
      </c>
      <c r="P742" s="97">
        <f t="shared" si="101"/>
        <v>4.0044215208291494</v>
      </c>
      <c r="Q742" s="135">
        <f t="shared" si="104"/>
        <v>1.0129277733591046E-6</v>
      </c>
      <c r="R742" s="89">
        <f t="shared" si="104"/>
        <v>9.8987072226640744E-5</v>
      </c>
      <c r="S742" s="89">
        <f t="shared" si="105"/>
        <v>4.0738027780411254E-8</v>
      </c>
      <c r="T742" s="136">
        <f t="shared" si="105"/>
        <v>2.454708915685024E-7</v>
      </c>
      <c r="U742" s="137">
        <f t="shared" si="106"/>
        <v>1.012927773359106E-2</v>
      </c>
      <c r="V742" s="88">
        <f t="shared" si="102"/>
        <v>3.3855784791708503</v>
      </c>
      <c r="W742" s="86">
        <f t="shared" si="107"/>
        <v>0.61557847917085162</v>
      </c>
      <c r="X742" s="90">
        <f t="shared" si="103"/>
        <v>1.2927773359105998E-4</v>
      </c>
    </row>
    <row r="743" spans="13:24" x14ac:dyDescent="0.25">
      <c r="M743" s="91">
        <v>7.4</v>
      </c>
      <c r="N743" s="89">
        <f t="shared" si="99"/>
        <v>6.6</v>
      </c>
      <c r="O743" s="89">
        <f t="shared" si="100"/>
        <v>6.0043213737826422</v>
      </c>
      <c r="P743" s="97">
        <f t="shared" si="101"/>
        <v>4.0043213737826422</v>
      </c>
      <c r="Q743" s="135">
        <f t="shared" si="104"/>
        <v>9.9009900990098996E-7</v>
      </c>
      <c r="R743" s="89">
        <f t="shared" si="104"/>
        <v>9.900990099009903E-5</v>
      </c>
      <c r="S743" s="89">
        <f t="shared" si="105"/>
        <v>3.981071705534957E-8</v>
      </c>
      <c r="T743" s="136">
        <f t="shared" si="105"/>
        <v>2.511886431509578E-7</v>
      </c>
      <c r="U743" s="137">
        <f t="shared" si="106"/>
        <v>9.9009900990098976E-3</v>
      </c>
      <c r="V743" s="88">
        <f t="shared" si="102"/>
        <v>3.3956786262173582</v>
      </c>
      <c r="W743" s="86">
        <f t="shared" si="107"/>
        <v>0.59567862621735745</v>
      </c>
      <c r="X743" s="90">
        <f t="shared" si="103"/>
        <v>9.9009900990102567E-5</v>
      </c>
    </row>
    <row r="744" spans="13:24" x14ac:dyDescent="0.25">
      <c r="M744" s="91">
        <v>7.41</v>
      </c>
      <c r="N744" s="89">
        <f t="shared" si="99"/>
        <v>6.59</v>
      </c>
      <c r="O744" s="89">
        <f t="shared" si="100"/>
        <v>6.014223484045071</v>
      </c>
      <c r="P744" s="97">
        <f t="shared" si="101"/>
        <v>4.0042234840450703</v>
      </c>
      <c r="Q744" s="135">
        <f t="shared" si="104"/>
        <v>9.6777971734109136E-7</v>
      </c>
      <c r="R744" s="89">
        <f t="shared" si="104"/>
        <v>9.9032220282658823E-5</v>
      </c>
      <c r="S744" s="89">
        <f t="shared" si="105"/>
        <v>3.890451449942805E-8</v>
      </c>
      <c r="T744" s="136">
        <f t="shared" si="105"/>
        <v>2.5703957827688611E-7</v>
      </c>
      <c r="U744" s="137">
        <f t="shared" si="106"/>
        <v>9.6777971734109229E-3</v>
      </c>
      <c r="V744" s="88">
        <f t="shared" si="102"/>
        <v>3.4057765159549298</v>
      </c>
      <c r="W744" s="86">
        <f t="shared" si="107"/>
        <v>0.57577651595492885</v>
      </c>
      <c r="X744" s="90">
        <f t="shared" si="103"/>
        <v>3.222028265890773E-4</v>
      </c>
    </row>
    <row r="745" spans="13:24" x14ac:dyDescent="0.25">
      <c r="M745" s="91">
        <v>7.42</v>
      </c>
      <c r="N745" s="89">
        <f t="shared" si="99"/>
        <v>6.58</v>
      </c>
      <c r="O745" s="89">
        <f t="shared" si="100"/>
        <v>6.0241278012285902</v>
      </c>
      <c r="P745" s="97">
        <f t="shared" si="101"/>
        <v>4.0041278012285906</v>
      </c>
      <c r="Q745" s="135">
        <f t="shared" si="104"/>
        <v>9.4595875009124313E-7</v>
      </c>
      <c r="R745" s="89">
        <f t="shared" si="104"/>
        <v>9.9054041249908726E-5</v>
      </c>
      <c r="S745" s="89">
        <f t="shared" si="105"/>
        <v>3.8018939632056113E-8</v>
      </c>
      <c r="T745" s="136">
        <f t="shared" si="105"/>
        <v>2.6302679918953789E-7</v>
      </c>
      <c r="U745" s="137">
        <f t="shared" si="106"/>
        <v>9.459587500912435E-3</v>
      </c>
      <c r="V745" s="88">
        <f t="shared" si="102"/>
        <v>3.4158721987714094</v>
      </c>
      <c r="W745" s="86">
        <f t="shared" si="107"/>
        <v>0.55587219877140992</v>
      </c>
      <c r="X745" s="90">
        <f t="shared" si="103"/>
        <v>5.4041249908756521E-4</v>
      </c>
    </row>
    <row r="746" spans="13:24" x14ac:dyDescent="0.25">
      <c r="M746" s="91">
        <v>7.43</v>
      </c>
      <c r="N746" s="89">
        <f t="shared" si="99"/>
        <v>6.57</v>
      </c>
      <c r="O746" s="89">
        <f t="shared" si="100"/>
        <v>6.0340342760481889</v>
      </c>
      <c r="P746" s="97">
        <f t="shared" si="101"/>
        <v>4.0040342760481886</v>
      </c>
      <c r="Q746" s="135">
        <f t="shared" si="104"/>
        <v>9.2462519638547022E-7</v>
      </c>
      <c r="R746" s="89">
        <f t="shared" si="104"/>
        <v>9.907537480361464E-5</v>
      </c>
      <c r="S746" s="89">
        <f t="shared" si="105"/>
        <v>3.7153522909717246E-8</v>
      </c>
      <c r="T746" s="136">
        <f t="shared" si="105"/>
        <v>2.691534803926908E-7</v>
      </c>
      <c r="U746" s="137">
        <f t="shared" si="106"/>
        <v>9.246251963854691E-3</v>
      </c>
      <c r="V746" s="88">
        <f t="shared" si="102"/>
        <v>3.4259657239518111</v>
      </c>
      <c r="W746" s="86">
        <f t="shared" si="107"/>
        <v>0.53596572395181141</v>
      </c>
      <c r="X746" s="90">
        <f t="shared" si="103"/>
        <v>7.5374803614530923E-4</v>
      </c>
    </row>
    <row r="747" spans="13:24" x14ac:dyDescent="0.25">
      <c r="M747" s="91">
        <v>7.44</v>
      </c>
      <c r="N747" s="89">
        <f t="shared" si="99"/>
        <v>6.56</v>
      </c>
      <c r="O747" s="89">
        <f t="shared" si="100"/>
        <v>6.0439428602985252</v>
      </c>
      <c r="P747" s="97">
        <f t="shared" si="101"/>
        <v>4.0039428602985252</v>
      </c>
      <c r="Q747" s="135">
        <f t="shared" si="104"/>
        <v>9.0376837382396281E-7</v>
      </c>
      <c r="R747" s="89">
        <f t="shared" si="104"/>
        <v>9.9096231626176031E-5</v>
      </c>
      <c r="S747" s="89">
        <f t="shared" si="105"/>
        <v>3.630780547701001E-8</v>
      </c>
      <c r="T747" s="136">
        <f t="shared" si="105"/>
        <v>2.7542287033381632E-7</v>
      </c>
      <c r="U747" s="137">
        <f t="shared" si="106"/>
        <v>9.0376837382396286E-3</v>
      </c>
      <c r="V747" s="88">
        <f t="shared" si="102"/>
        <v>3.4360571397014752</v>
      </c>
      <c r="W747" s="86">
        <f t="shared" si="107"/>
        <v>0.51605713970147438</v>
      </c>
      <c r="X747" s="90">
        <f t="shared" si="103"/>
        <v>9.6231626176037158E-4</v>
      </c>
    </row>
    <row r="748" spans="13:24" x14ac:dyDescent="0.25">
      <c r="M748" s="91">
        <v>7.45</v>
      </c>
      <c r="N748" s="89">
        <f t="shared" si="99"/>
        <v>6.55</v>
      </c>
      <c r="O748" s="89">
        <f t="shared" si="100"/>
        <v>6.0538535068312118</v>
      </c>
      <c r="P748" s="97">
        <f t="shared" si="101"/>
        <v>4.003853506831212</v>
      </c>
      <c r="Q748" s="135">
        <f t="shared" si="104"/>
        <v>8.8337782498133416E-7</v>
      </c>
      <c r="R748" s="89">
        <f t="shared" si="104"/>
        <v>9.911662217501869E-5</v>
      </c>
      <c r="S748" s="89">
        <f t="shared" si="105"/>
        <v>3.5481338923357426E-8</v>
      </c>
      <c r="T748" s="136">
        <f t="shared" si="105"/>
        <v>2.8183829312644502E-7</v>
      </c>
      <c r="U748" s="137">
        <f t="shared" si="106"/>
        <v>8.8337782498133406E-3</v>
      </c>
      <c r="V748" s="88">
        <f t="shared" si="102"/>
        <v>3.4461464931687882</v>
      </c>
      <c r="W748" s="86">
        <f t="shared" si="107"/>
        <v>0.49614649316878801</v>
      </c>
      <c r="X748" s="90">
        <f t="shared" si="103"/>
        <v>1.1662217501866596E-3</v>
      </c>
    </row>
    <row r="749" spans="13:24" x14ac:dyDescent="0.25">
      <c r="M749" s="91">
        <v>7.46</v>
      </c>
      <c r="N749" s="89">
        <f t="shared" si="99"/>
        <v>6.54</v>
      </c>
      <c r="O749" s="89">
        <f t="shared" si="100"/>
        <v>6.0637661695325376</v>
      </c>
      <c r="P749" s="97">
        <f t="shared" si="101"/>
        <v>4.0037661695325379</v>
      </c>
      <c r="Q749" s="135">
        <f t="shared" si="104"/>
        <v>8.6344331307925026E-7</v>
      </c>
      <c r="R749" s="89">
        <f t="shared" si="104"/>
        <v>9.9136556686920608E-5</v>
      </c>
      <c r="S749" s="89">
        <f t="shared" si="105"/>
        <v>3.4673685045253171E-8</v>
      </c>
      <c r="T749" s="136">
        <f t="shared" si="105"/>
        <v>2.8840315031266014E-7</v>
      </c>
      <c r="U749" s="137">
        <f t="shared" si="106"/>
        <v>8.6344331307925144E-3</v>
      </c>
      <c r="V749" s="88">
        <f t="shared" si="102"/>
        <v>3.456233830467462</v>
      </c>
      <c r="W749" s="86">
        <f t="shared" si="107"/>
        <v>0.47623383046746248</v>
      </c>
      <c r="X749" s="90">
        <f t="shared" si="103"/>
        <v>1.3655668692074859E-3</v>
      </c>
    </row>
    <row r="750" spans="13:24" x14ac:dyDescent="0.25">
      <c r="M750" s="91">
        <v>7.47</v>
      </c>
      <c r="N750" s="89">
        <f t="shared" si="99"/>
        <v>6.53</v>
      </c>
      <c r="O750" s="89">
        <f t="shared" si="100"/>
        <v>6.0736808033016132</v>
      </c>
      <c r="P750" s="97">
        <f t="shared" si="101"/>
        <v>4.0036808033016138</v>
      </c>
      <c r="Q750" s="135">
        <f t="shared" si="104"/>
        <v>8.4395481772349096E-7</v>
      </c>
      <c r="R750" s="89">
        <f t="shared" si="104"/>
        <v>9.9156045182276388E-5</v>
      </c>
      <c r="S750" s="89">
        <f t="shared" si="105"/>
        <v>3.3884415613920266E-8</v>
      </c>
      <c r="T750" s="136">
        <f t="shared" si="105"/>
        <v>2.9512092266663814E-7</v>
      </c>
      <c r="U750" s="137">
        <f t="shared" si="106"/>
        <v>8.4395481772349193E-3</v>
      </c>
      <c r="V750" s="88">
        <f t="shared" si="102"/>
        <v>3.466319196698386</v>
      </c>
      <c r="W750" s="86">
        <f t="shared" si="107"/>
        <v>0.45631919669838705</v>
      </c>
      <c r="X750" s="90">
        <f t="shared" si="103"/>
        <v>1.5604518227650809E-3</v>
      </c>
    </row>
    <row r="751" spans="13:24" x14ac:dyDescent="0.25">
      <c r="M751" s="91">
        <v>7.48</v>
      </c>
      <c r="N751" s="89">
        <f t="shared" si="99"/>
        <v>6.52</v>
      </c>
      <c r="O751" s="89">
        <f t="shared" si="100"/>
        <v>6.0835973640289467</v>
      </c>
      <c r="P751" s="97">
        <f t="shared" si="101"/>
        <v>4.0035973640289466</v>
      </c>
      <c r="Q751" s="135">
        <f t="shared" si="104"/>
        <v>8.2490253070535271E-7</v>
      </c>
      <c r="R751" s="89">
        <f t="shared" si="104"/>
        <v>9.9175097469294542E-5</v>
      </c>
      <c r="S751" s="89">
        <f t="shared" si="105"/>
        <v>3.3113112148259005E-8</v>
      </c>
      <c r="T751" s="136">
        <f t="shared" si="105"/>
        <v>3.0199517204020165E-7</v>
      </c>
      <c r="U751" s="137">
        <f t="shared" si="106"/>
        <v>8.2490253070535355E-3</v>
      </c>
      <c r="V751" s="88">
        <f t="shared" si="102"/>
        <v>3.4764026359710538</v>
      </c>
      <c r="W751" s="86">
        <f t="shared" si="107"/>
        <v>0.43640263597105289</v>
      </c>
      <c r="X751" s="90">
        <f t="shared" si="103"/>
        <v>1.7509746929464647E-3</v>
      </c>
    </row>
    <row r="752" spans="13:24" x14ac:dyDescent="0.25">
      <c r="M752" s="91">
        <v>7.49</v>
      </c>
      <c r="N752" s="89">
        <f t="shared" si="99"/>
        <v>6.51</v>
      </c>
      <c r="O752" s="89">
        <f t="shared" si="100"/>
        <v>6.0935158085754271</v>
      </c>
      <c r="P752" s="97">
        <f t="shared" si="101"/>
        <v>4.0035158085754263</v>
      </c>
      <c r="Q752" s="135">
        <f t="shared" si="104"/>
        <v>8.0627685186735211E-7</v>
      </c>
      <c r="R752" s="89">
        <f t="shared" si="104"/>
        <v>9.9193723148132695E-5</v>
      </c>
      <c r="S752" s="89">
        <f t="shared" si="105"/>
        <v>3.2359365692962729E-8</v>
      </c>
      <c r="T752" s="136">
        <f t="shared" si="105"/>
        <v>3.090295432513585E-7</v>
      </c>
      <c r="U752" s="137">
        <f t="shared" si="106"/>
        <v>8.062768518673517E-3</v>
      </c>
      <c r="V752" s="88">
        <f t="shared" si="102"/>
        <v>3.4864841914245739</v>
      </c>
      <c r="W752" s="86">
        <f t="shared" si="107"/>
        <v>0.41648419142457271</v>
      </c>
      <c r="X752" s="90">
        <f t="shared" si="103"/>
        <v>1.9372314813264832E-3</v>
      </c>
    </row>
    <row r="753" spans="13:24" x14ac:dyDescent="0.25">
      <c r="M753" s="91">
        <v>7.5</v>
      </c>
      <c r="N753" s="89">
        <f t="shared" si="99"/>
        <v>6.5</v>
      </c>
      <c r="O753" s="89">
        <f t="shared" si="100"/>
        <v>6.1034360947517285</v>
      </c>
      <c r="P753" s="97">
        <f t="shared" si="101"/>
        <v>4.003436094751728</v>
      </c>
      <c r="Q753" s="135">
        <f t="shared" si="104"/>
        <v>7.8806838503302677E-7</v>
      </c>
      <c r="R753" s="89">
        <f t="shared" si="104"/>
        <v>9.9211931614967051E-5</v>
      </c>
      <c r="S753" s="89">
        <f t="shared" si="105"/>
        <v>3.1622776601683699E-8</v>
      </c>
      <c r="T753" s="136">
        <f t="shared" si="105"/>
        <v>3.1622776601683734E-7</v>
      </c>
      <c r="U753" s="137">
        <f t="shared" si="106"/>
        <v>7.8806838503302622E-3</v>
      </c>
      <c r="V753" s="88">
        <f t="shared" si="102"/>
        <v>3.496563905248272</v>
      </c>
      <c r="W753" s="86">
        <f t="shared" si="107"/>
        <v>0.39656390524827145</v>
      </c>
      <c r="X753" s="90">
        <f t="shared" si="103"/>
        <v>2.119316149669738E-3</v>
      </c>
    </row>
    <row r="754" spans="13:24" x14ac:dyDescent="0.25">
      <c r="M754" s="91">
        <v>7.51</v>
      </c>
      <c r="N754" s="89">
        <f t="shared" si="99"/>
        <v>6.49</v>
      </c>
      <c r="O754" s="89">
        <f t="shared" si="100"/>
        <v>6.1133581812981106</v>
      </c>
      <c r="P754" s="97">
        <f t="shared" si="101"/>
        <v>4.0033581812981112</v>
      </c>
      <c r="Q754" s="135">
        <f t="shared" si="104"/>
        <v>7.7026793400069679E-7</v>
      </c>
      <c r="R754" s="89">
        <f t="shared" si="104"/>
        <v>9.9229732065999165E-5</v>
      </c>
      <c r="S754" s="89">
        <f t="shared" si="105"/>
        <v>3.0902954325135814E-8</v>
      </c>
      <c r="T754" s="136">
        <f t="shared" si="105"/>
        <v>3.2359365692962763E-7</v>
      </c>
      <c r="U754" s="137">
        <f t="shared" si="106"/>
        <v>7.7026793400069788E-3</v>
      </c>
      <c r="V754" s="88">
        <f t="shared" si="102"/>
        <v>3.5066418187018886</v>
      </c>
      <c r="W754" s="86">
        <f t="shared" si="107"/>
        <v>0.37664181870188962</v>
      </c>
      <c r="X754" s="90">
        <f t="shared" si="103"/>
        <v>2.2973206599930214E-3</v>
      </c>
    </row>
    <row r="755" spans="13:24" x14ac:dyDescent="0.25">
      <c r="M755" s="91">
        <v>7.52</v>
      </c>
      <c r="N755" s="89">
        <f t="shared" si="99"/>
        <v>6.48</v>
      </c>
      <c r="O755" s="89">
        <f t="shared" si="100"/>
        <v>6.1232820278646196</v>
      </c>
      <c r="P755" s="97">
        <f t="shared" si="101"/>
        <v>4.0032820278646204</v>
      </c>
      <c r="Q755" s="135">
        <f t="shared" si="104"/>
        <v>7.5286649860089147E-7</v>
      </c>
      <c r="R755" s="89">
        <f t="shared" si="104"/>
        <v>9.9247133501399043E-5</v>
      </c>
      <c r="S755" s="89">
        <f t="shared" si="105"/>
        <v>3.0199517204020188E-8</v>
      </c>
      <c r="T755" s="136">
        <f t="shared" si="105"/>
        <v>3.3113112148259042E-7</v>
      </c>
      <c r="U755" s="137">
        <f t="shared" si="106"/>
        <v>7.5286649860089195E-3</v>
      </c>
      <c r="V755" s="88">
        <f t="shared" si="102"/>
        <v>3.5167179721353792</v>
      </c>
      <c r="W755" s="86">
        <f t="shared" si="107"/>
        <v>0.35671797213538081</v>
      </c>
      <c r="X755" s="90">
        <f t="shared" si="103"/>
        <v>2.4713350139910807E-3</v>
      </c>
    </row>
    <row r="756" spans="13:24" x14ac:dyDescent="0.25">
      <c r="M756" s="91">
        <v>7.53</v>
      </c>
      <c r="N756" s="89">
        <f t="shared" si="99"/>
        <v>6.47</v>
      </c>
      <c r="O756" s="89">
        <f t="shared" si="100"/>
        <v>6.1332075949916796</v>
      </c>
      <c r="P756" s="97">
        <f t="shared" si="101"/>
        <v>4.0032075949916797</v>
      </c>
      <c r="Q756" s="135">
        <f t="shared" si="104"/>
        <v>7.3585527081719618E-7</v>
      </c>
      <c r="R756" s="89">
        <f t="shared" si="104"/>
        <v>9.9264144729182771E-5</v>
      </c>
      <c r="S756" s="89">
        <f t="shared" si="105"/>
        <v>2.9512092266663779E-8</v>
      </c>
      <c r="T756" s="136">
        <f t="shared" si="105"/>
        <v>3.3884415613920242E-7</v>
      </c>
      <c r="U756" s="137">
        <f t="shared" si="106"/>
        <v>7.3585527081719646E-3</v>
      </c>
      <c r="V756" s="88">
        <f t="shared" si="102"/>
        <v>3.5267924050083206</v>
      </c>
      <c r="W756" s="86">
        <f t="shared" si="107"/>
        <v>0.33679240500832019</v>
      </c>
      <c r="X756" s="90">
        <f t="shared" si="103"/>
        <v>2.6414472918280356E-3</v>
      </c>
    </row>
    <row r="757" spans="13:24" x14ac:dyDescent="0.25">
      <c r="M757" s="91">
        <v>7.54</v>
      </c>
      <c r="N757" s="89">
        <f t="shared" si="99"/>
        <v>6.46</v>
      </c>
      <c r="O757" s="89">
        <f t="shared" si="100"/>
        <v>6.1431348440910645</v>
      </c>
      <c r="P757" s="97">
        <f t="shared" si="101"/>
        <v>4.0031348440910648</v>
      </c>
      <c r="Q757" s="135">
        <f t="shared" si="104"/>
        <v>7.1922563097016511E-7</v>
      </c>
      <c r="R757" s="89">
        <f t="shared" si="104"/>
        <v>9.9280774369029618E-5</v>
      </c>
      <c r="S757" s="89">
        <f t="shared" si="105"/>
        <v>2.8840315031265985E-8</v>
      </c>
      <c r="T757" s="136">
        <f t="shared" si="105"/>
        <v>3.4673685045253148E-7</v>
      </c>
      <c r="U757" s="137">
        <f t="shared" si="106"/>
        <v>7.1922563097016664E-3</v>
      </c>
      <c r="V757" s="88">
        <f t="shared" si="102"/>
        <v>3.5368651559089352</v>
      </c>
      <c r="W757" s="86">
        <f t="shared" si="107"/>
        <v>0.31686515590893549</v>
      </c>
      <c r="X757" s="90">
        <f t="shared" si="103"/>
        <v>2.8077436902983338E-3</v>
      </c>
    </row>
    <row r="758" spans="13:24" x14ac:dyDescent="0.25">
      <c r="M758" s="91">
        <v>7.55</v>
      </c>
      <c r="N758" s="89">
        <f t="shared" si="99"/>
        <v>6.45</v>
      </c>
      <c r="O758" s="89">
        <f t="shared" si="100"/>
        <v>6.1530637374272583</v>
      </c>
      <c r="P758" s="97">
        <f t="shared" si="101"/>
        <v>4.0030637374272589</v>
      </c>
      <c r="Q758" s="135">
        <f t="shared" si="104"/>
        <v>7.029691439639243E-7</v>
      </c>
      <c r="R758" s="89">
        <f t="shared" si="104"/>
        <v>9.9297030856036023E-5</v>
      </c>
      <c r="S758" s="89">
        <f t="shared" si="105"/>
        <v>2.8183829312644468E-8</v>
      </c>
      <c r="T758" s="136">
        <f t="shared" si="105"/>
        <v>3.5481338923357463E-7</v>
      </c>
      <c r="U758" s="137">
        <f t="shared" si="106"/>
        <v>7.0296914396392463E-3</v>
      </c>
      <c r="V758" s="88">
        <f t="shared" si="102"/>
        <v>3.546936262572741</v>
      </c>
      <c r="W758" s="86">
        <f t="shared" si="107"/>
        <v>0.29693626257274186</v>
      </c>
      <c r="X758" s="90">
        <f t="shared" si="103"/>
        <v>2.970308560360754E-3</v>
      </c>
    </row>
    <row r="759" spans="13:24" x14ac:dyDescent="0.25">
      <c r="M759" s="91">
        <v>7.56</v>
      </c>
      <c r="N759" s="89">
        <f t="shared" si="99"/>
        <v>6.44</v>
      </c>
      <c r="O759" s="89">
        <f t="shared" si="100"/>
        <v>6.1629942380991798</v>
      </c>
      <c r="P759" s="97">
        <f t="shared" si="101"/>
        <v>4.0029942380991805</v>
      </c>
      <c r="Q759" s="135">
        <f t="shared" si="104"/>
        <v>6.8707755559509756E-7</v>
      </c>
      <c r="R759" s="89">
        <f t="shared" si="104"/>
        <v>9.9312922444404892E-5</v>
      </c>
      <c r="S759" s="89">
        <f t="shared" si="105"/>
        <v>2.75422870333816E-8</v>
      </c>
      <c r="T759" s="136">
        <f t="shared" si="105"/>
        <v>3.6307805477010047E-7</v>
      </c>
      <c r="U759" s="137">
        <f t="shared" si="106"/>
        <v>6.8707755559509762E-3</v>
      </c>
      <c r="V759" s="88">
        <f t="shared" si="102"/>
        <v>3.5570057619008191</v>
      </c>
      <c r="W759" s="86">
        <f t="shared" si="107"/>
        <v>0.2770057619008206</v>
      </c>
      <c r="X759" s="90">
        <f t="shared" si="103"/>
        <v>3.129224444049024E-3</v>
      </c>
    </row>
    <row r="760" spans="13:24" x14ac:dyDescent="0.25">
      <c r="M760" s="91">
        <v>7.57</v>
      </c>
      <c r="N760" s="89">
        <f t="shared" si="99"/>
        <v>6.43</v>
      </c>
      <c r="O760" s="89">
        <f t="shared" si="100"/>
        <v>6.1729263100222767</v>
      </c>
      <c r="P760" s="97">
        <f t="shared" si="101"/>
        <v>4.0029263100222758</v>
      </c>
      <c r="Q760" s="135">
        <f t="shared" si="104"/>
        <v>6.7154278892359471E-7</v>
      </c>
      <c r="R760" s="89">
        <f t="shared" si="104"/>
        <v>9.9328457211076326E-5</v>
      </c>
      <c r="S760" s="89">
        <f t="shared" si="105"/>
        <v>2.6915348039269097E-8</v>
      </c>
      <c r="T760" s="136">
        <f t="shared" si="105"/>
        <v>3.7153522909717226E-7</v>
      </c>
      <c r="U760" s="137">
        <f t="shared" si="106"/>
        <v>6.7154278892359526E-3</v>
      </c>
      <c r="V760" s="88">
        <f t="shared" si="102"/>
        <v>3.5670736899777244</v>
      </c>
      <c r="W760" s="86">
        <f t="shared" si="107"/>
        <v>0.25707368997772306</v>
      </c>
      <c r="X760" s="90">
        <f t="shared" si="103"/>
        <v>3.2845721107640476E-3</v>
      </c>
    </row>
    <row r="761" spans="13:24" x14ac:dyDescent="0.25">
      <c r="M761" s="91">
        <v>7.58</v>
      </c>
      <c r="N761" s="89">
        <f t="shared" si="99"/>
        <v>6.42</v>
      </c>
      <c r="O761" s="89">
        <f t="shared" si="100"/>
        <v>6.18285991791097</v>
      </c>
      <c r="P761" s="97">
        <f t="shared" si="101"/>
        <v>4.0028599179109703</v>
      </c>
      <c r="Q761" s="135">
        <f t="shared" si="104"/>
        <v>6.563569407048149E-7</v>
      </c>
      <c r="R761" s="89">
        <f t="shared" si="104"/>
        <v>9.9343643059295037E-5</v>
      </c>
      <c r="S761" s="89">
        <f t="shared" si="105"/>
        <v>2.6302679918953758E-8</v>
      </c>
      <c r="T761" s="136">
        <f t="shared" si="105"/>
        <v>3.8018939632056089E-7</v>
      </c>
      <c r="U761" s="137">
        <f t="shared" si="106"/>
        <v>6.5635694070481582E-3</v>
      </c>
      <c r="V761" s="88">
        <f t="shared" si="102"/>
        <v>3.5771400820890298</v>
      </c>
      <c r="W761" s="86">
        <f t="shared" si="107"/>
        <v>0.23714008208902992</v>
      </c>
      <c r="X761" s="90">
        <f t="shared" si="103"/>
        <v>3.436430592951842E-3</v>
      </c>
    </row>
    <row r="762" spans="13:24" x14ac:dyDescent="0.25">
      <c r="M762" s="91">
        <v>7.59</v>
      </c>
      <c r="N762" s="89">
        <f t="shared" si="99"/>
        <v>6.41</v>
      </c>
      <c r="O762" s="89">
        <f t="shared" si="100"/>
        <v>6.1927950272614734</v>
      </c>
      <c r="P762" s="97">
        <f t="shared" si="101"/>
        <v>4.0027950272614738</v>
      </c>
      <c r="Q762" s="135">
        <f t="shared" si="104"/>
        <v>6.4151227788272848E-7</v>
      </c>
      <c r="R762" s="89">
        <f t="shared" si="104"/>
        <v>9.9358487722117216E-5</v>
      </c>
      <c r="S762" s="89">
        <f t="shared" si="105"/>
        <v>2.5703957827688587E-8</v>
      </c>
      <c r="T762" s="136">
        <f t="shared" si="105"/>
        <v>3.8904514499428027E-7</v>
      </c>
      <c r="U762" s="137">
        <f t="shared" si="106"/>
        <v>6.4151227788272879E-3</v>
      </c>
      <c r="V762" s="88">
        <f t="shared" si="102"/>
        <v>3.587204972738526</v>
      </c>
      <c r="W762" s="86">
        <f t="shared" si="107"/>
        <v>0.21720497273852679</v>
      </c>
      <c r="X762" s="90">
        <f t="shared" si="103"/>
        <v>3.5848772211727123E-3</v>
      </c>
    </row>
    <row r="763" spans="13:24" x14ac:dyDescent="0.25">
      <c r="M763" s="91">
        <v>7.6</v>
      </c>
      <c r="N763" s="89">
        <f t="shared" si="99"/>
        <v>6.4</v>
      </c>
      <c r="O763" s="89">
        <f t="shared" si="100"/>
        <v>6.2027316043349385</v>
      </c>
      <c r="P763" s="97">
        <f t="shared" si="101"/>
        <v>4.0027316043349392</v>
      </c>
      <c r="Q763" s="135">
        <f t="shared" si="104"/>
        <v>6.2700123414338427E-7</v>
      </c>
      <c r="R763" s="89">
        <f t="shared" si="104"/>
        <v>9.9372998765856474E-5</v>
      </c>
      <c r="S763" s="89">
        <f t="shared" si="105"/>
        <v>2.5118864315095751E-8</v>
      </c>
      <c r="T763" s="136">
        <f t="shared" si="105"/>
        <v>3.9810717055349618E-7</v>
      </c>
      <c r="U763" s="137">
        <f t="shared" si="106"/>
        <v>6.2700123414338518E-3</v>
      </c>
      <c r="V763" s="88">
        <f t="shared" si="102"/>
        <v>3.5972683956650604</v>
      </c>
      <c r="W763" s="86">
        <f t="shared" si="107"/>
        <v>0.19726839566506182</v>
      </c>
      <c r="X763" s="90">
        <f t="shared" si="103"/>
        <v>3.7299876585661484E-3</v>
      </c>
    </row>
    <row r="764" spans="13:24" x14ac:dyDescent="0.25">
      <c r="M764" s="91">
        <v>7.61</v>
      </c>
      <c r="N764" s="89">
        <f t="shared" si="99"/>
        <v>6.39</v>
      </c>
      <c r="O764" s="89">
        <f t="shared" si="100"/>
        <v>6.2126696161409525</v>
      </c>
      <c r="P764" s="97">
        <f t="shared" si="101"/>
        <v>4.0026696161409525</v>
      </c>
      <c r="Q764" s="135">
        <f t="shared" si="104"/>
        <v>6.1281640652824097E-7</v>
      </c>
      <c r="R764" s="89">
        <f t="shared" si="104"/>
        <v>9.9387183593471618E-5</v>
      </c>
      <c r="S764" s="89">
        <f t="shared" si="105"/>
        <v>2.4547089156850259E-8</v>
      </c>
      <c r="T764" s="136">
        <f t="shared" si="105"/>
        <v>4.0738027780411229E-7</v>
      </c>
      <c r="U764" s="137">
        <f t="shared" si="106"/>
        <v>6.1281640652824185E-3</v>
      </c>
      <c r="V764" s="88">
        <f t="shared" si="102"/>
        <v>3.6073303838590478</v>
      </c>
      <c r="W764" s="86">
        <f t="shared" si="107"/>
        <v>0.1773303838590472</v>
      </c>
      <c r="X764" s="90">
        <f t="shared" si="103"/>
        <v>3.8718359347175817E-3</v>
      </c>
    </row>
    <row r="765" spans="13:24" x14ac:dyDescent="0.25">
      <c r="M765" s="91">
        <v>7.62</v>
      </c>
      <c r="N765" s="89">
        <f t="shared" si="99"/>
        <v>6.38</v>
      </c>
      <c r="O765" s="89">
        <f t="shared" si="100"/>
        <v>6.2226090304213679</v>
      </c>
      <c r="P765" s="97">
        <f t="shared" si="101"/>
        <v>4.0026090304213673</v>
      </c>
      <c r="Q765" s="135">
        <f t="shared" si="104"/>
        <v>5.9895055210679168E-7</v>
      </c>
      <c r="R765" s="89">
        <f t="shared" si="104"/>
        <v>9.9401049447893201E-5</v>
      </c>
      <c r="S765" s="89">
        <f t="shared" si="105"/>
        <v>2.3988329190194864E-8</v>
      </c>
      <c r="T765" s="136">
        <f t="shared" si="105"/>
        <v>4.1686938347033493E-7</v>
      </c>
      <c r="U765" s="137">
        <f t="shared" si="106"/>
        <v>5.9895055210679171E-3</v>
      </c>
      <c r="V765" s="88">
        <f t="shared" si="102"/>
        <v>3.6173909695786328</v>
      </c>
      <c r="W765" s="86">
        <f t="shared" si="107"/>
        <v>0.15739096957863197</v>
      </c>
      <c r="X765" s="90">
        <f t="shared" si="103"/>
        <v>4.0104944789320831E-3</v>
      </c>
    </row>
    <row r="766" spans="13:24" x14ac:dyDescent="0.25">
      <c r="M766" s="91">
        <v>7.63</v>
      </c>
      <c r="N766" s="89">
        <f t="shared" si="99"/>
        <v>6.37</v>
      </c>
      <c r="O766" s="89">
        <f t="shared" si="100"/>
        <v>6.2325498156344672</v>
      </c>
      <c r="P766" s="97">
        <f t="shared" si="101"/>
        <v>4.0025498156344677</v>
      </c>
      <c r="Q766" s="135">
        <f t="shared" si="104"/>
        <v>5.853965847078678E-7</v>
      </c>
      <c r="R766" s="89">
        <f t="shared" si="104"/>
        <v>9.9414603415292038E-5</v>
      </c>
      <c r="S766" s="89">
        <f t="shared" si="105"/>
        <v>2.3442288153199181E-8</v>
      </c>
      <c r="T766" s="136">
        <f t="shared" si="105"/>
        <v>4.2657951880159212E-7</v>
      </c>
      <c r="U766" s="137">
        <f t="shared" si="106"/>
        <v>5.8539658470786833E-3</v>
      </c>
      <c r="V766" s="88">
        <f t="shared" si="102"/>
        <v>3.6274501843655322</v>
      </c>
      <c r="W766" s="86">
        <f t="shared" si="107"/>
        <v>0.13745018436553291</v>
      </c>
      <c r="X766" s="90">
        <f t="shared" si="103"/>
        <v>4.1460341529213169E-3</v>
      </c>
    </row>
    <row r="767" spans="13:24" x14ac:dyDescent="0.25">
      <c r="M767" s="91">
        <v>7.64</v>
      </c>
      <c r="N767" s="89">
        <f t="shared" si="99"/>
        <v>6.36</v>
      </c>
      <c r="O767" s="89">
        <f t="shared" si="100"/>
        <v>6.2424919409394457</v>
      </c>
      <c r="P767" s="97">
        <f t="shared" si="101"/>
        <v>4.0024919409394464</v>
      </c>
      <c r="Q767" s="135">
        <f t="shared" si="104"/>
        <v>5.7214757170903813E-7</v>
      </c>
      <c r="R767" s="89">
        <f t="shared" si="104"/>
        <v>9.9427852428290927E-5</v>
      </c>
      <c r="S767" s="89">
        <f t="shared" si="105"/>
        <v>2.2908676527677693E-8</v>
      </c>
      <c r="T767" s="136">
        <f t="shared" si="105"/>
        <v>4.365158322401653E-7</v>
      </c>
      <c r="U767" s="137">
        <f t="shared" si="106"/>
        <v>5.7214757170903829E-3</v>
      </c>
      <c r="V767" s="88">
        <f t="shared" si="102"/>
        <v>3.6375080590605533</v>
      </c>
      <c r="W767" s="86">
        <f t="shared" si="107"/>
        <v>0.11750805906055461</v>
      </c>
      <c r="X767" s="90">
        <f t="shared" si="103"/>
        <v>4.2785242829096173E-3</v>
      </c>
    </row>
    <row r="768" spans="13:24" x14ac:dyDescent="0.25">
      <c r="M768" s="91">
        <v>7.65</v>
      </c>
      <c r="N768" s="89">
        <f t="shared" si="99"/>
        <v>6.35</v>
      </c>
      <c r="O768" s="89">
        <f t="shared" si="100"/>
        <v>6.252435376181217</v>
      </c>
      <c r="P768" s="97">
        <f t="shared" si="101"/>
        <v>4.002435376181217</v>
      </c>
      <c r="Q768" s="135">
        <f t="shared" si="104"/>
        <v>5.5919673088347694E-7</v>
      </c>
      <c r="R768" s="89">
        <f t="shared" si="104"/>
        <v>9.944080326911634E-5</v>
      </c>
      <c r="S768" s="89">
        <f t="shared" si="105"/>
        <v>2.2387211385683365E-8</v>
      </c>
      <c r="T768" s="136">
        <f t="shared" si="105"/>
        <v>4.4668359215096327E-7</v>
      </c>
      <c r="U768" s="137">
        <f t="shared" si="106"/>
        <v>5.5919673088347796E-3</v>
      </c>
      <c r="V768" s="88">
        <f t="shared" si="102"/>
        <v>3.6475646238187833</v>
      </c>
      <c r="W768" s="86">
        <f t="shared" si="107"/>
        <v>9.7564623818782614E-2</v>
      </c>
      <c r="X768" s="90">
        <f t="shared" si="103"/>
        <v>4.4080326911652206E-3</v>
      </c>
    </row>
    <row r="769" spans="13:24" x14ac:dyDescent="0.25">
      <c r="M769" s="91">
        <v>7.66</v>
      </c>
      <c r="N769" s="89">
        <f t="shared" si="99"/>
        <v>6.34</v>
      </c>
      <c r="O769" s="89">
        <f t="shared" si="100"/>
        <v>6.2623800918755217</v>
      </c>
      <c r="P769" s="97">
        <f t="shared" si="101"/>
        <v>4.0023800918755219</v>
      </c>
      <c r="Q769" s="135">
        <f t="shared" si="104"/>
        <v>5.46537427303661E-7</v>
      </c>
      <c r="R769" s="89">
        <f t="shared" si="104"/>
        <v>9.9453462572696291E-5</v>
      </c>
      <c r="S769" s="89">
        <f t="shared" si="105"/>
        <v>2.1877616239495494E-8</v>
      </c>
      <c r="T769" s="136">
        <f t="shared" si="105"/>
        <v>4.5708818961487426E-7</v>
      </c>
      <c r="U769" s="137">
        <f t="shared" si="106"/>
        <v>5.4653742730366127E-3</v>
      </c>
      <c r="V769" s="88">
        <f t="shared" si="102"/>
        <v>3.6576199081244782</v>
      </c>
      <c r="W769" s="86">
        <f t="shared" si="107"/>
        <v>7.7619908124478165E-2</v>
      </c>
      <c r="X769" s="90">
        <f t="shared" si="103"/>
        <v>4.5346257269633875E-3</v>
      </c>
    </row>
    <row r="770" spans="13:24" x14ac:dyDescent="0.25">
      <c r="M770" s="91">
        <v>7.67</v>
      </c>
      <c r="N770" s="89">
        <f t="shared" si="99"/>
        <v>6.33</v>
      </c>
      <c r="O770" s="89">
        <f t="shared" si="100"/>
        <v>6.2723260591943601</v>
      </c>
      <c r="P770" s="97">
        <f t="shared" si="101"/>
        <v>4.0023260591943606</v>
      </c>
      <c r="Q770" s="135">
        <f t="shared" si="104"/>
        <v>5.3416317030123543E-7</v>
      </c>
      <c r="R770" s="89">
        <f t="shared" si="104"/>
        <v>9.9465836829698673E-5</v>
      </c>
      <c r="S770" s="89">
        <f t="shared" si="105"/>
        <v>2.1379620895022292E-8</v>
      </c>
      <c r="T770" s="136">
        <f t="shared" si="105"/>
        <v>4.6773514128719735E-7</v>
      </c>
      <c r="U770" s="137">
        <f t="shared" si="106"/>
        <v>5.3416317030123587E-3</v>
      </c>
      <c r="V770" s="88">
        <f t="shared" si="102"/>
        <v>3.6676739408056394</v>
      </c>
      <c r="W770" s="86">
        <f t="shared" si="107"/>
        <v>5.7673940805639923E-2</v>
      </c>
      <c r="X770" s="90">
        <f t="shared" si="103"/>
        <v>4.6583682969876415E-3</v>
      </c>
    </row>
    <row r="771" spans="13:24" x14ac:dyDescent="0.25">
      <c r="M771" s="91">
        <v>7.68</v>
      </c>
      <c r="N771" s="89">
        <f t="shared" ref="N771:N834" si="108">14-M771</f>
        <v>6.32</v>
      </c>
      <c r="O771" s="89">
        <f t="shared" ref="O771:O834" si="109">-LOG(10^-$B$3/(1+10^(M771-$A$3)))</f>
        <v>6.2822732499517091</v>
      </c>
      <c r="P771" s="97">
        <f t="shared" ref="P771:P834" si="110">-LOG(10^-$B$3/(1+10^($A$3-M771)))</f>
        <v>4.0022732499517089</v>
      </c>
      <c r="Q771" s="135">
        <f t="shared" si="104"/>
        <v>5.2206761048241245E-7</v>
      </c>
      <c r="R771" s="89">
        <f t="shared" si="104"/>
        <v>9.947793238951756E-5</v>
      </c>
      <c r="S771" s="89">
        <f t="shared" si="105"/>
        <v>2.0892961308540368E-8</v>
      </c>
      <c r="T771" s="136">
        <f t="shared" si="105"/>
        <v>4.7863009232263745E-7</v>
      </c>
      <c r="U771" s="137">
        <f t="shared" si="106"/>
        <v>5.2206761048241256E-3</v>
      </c>
      <c r="V771" s="88">
        <f t="shared" ref="V771:V834" si="111">ABS(P771-M771)</f>
        <v>3.6777267500482909</v>
      </c>
      <c r="W771" s="86">
        <f t="shared" si="107"/>
        <v>3.772675004829118E-2</v>
      </c>
      <c r="X771" s="90">
        <f t="shared" ref="X771:X834" si="112">ABS($J$2-U771)</f>
        <v>4.7793238951758747E-3</v>
      </c>
    </row>
    <row r="772" spans="13:24" x14ac:dyDescent="0.25">
      <c r="M772" s="91">
        <v>7.69</v>
      </c>
      <c r="N772" s="89">
        <f t="shared" si="108"/>
        <v>6.31</v>
      </c>
      <c r="O772" s="89">
        <f t="shared" si="109"/>
        <v>6.2922216365895434</v>
      </c>
      <c r="P772" s="97">
        <f t="shared" si="110"/>
        <v>4.0022216365895433</v>
      </c>
      <c r="Q772" s="135">
        <f t="shared" ref="Q772:R835" si="113">10^-O772</f>
        <v>5.1024453679820053E-7</v>
      </c>
      <c r="R772" s="89">
        <f t="shared" si="113"/>
        <v>9.9489755463201757E-5</v>
      </c>
      <c r="S772" s="89">
        <f t="shared" ref="S772:T835" si="114">10^-M772</f>
        <v>2.0417379446695271E-8</v>
      </c>
      <c r="T772" s="136">
        <f t="shared" si="114"/>
        <v>4.8977881936844619E-7</v>
      </c>
      <c r="U772" s="137">
        <f t="shared" ref="U772:U835" si="115">Q772/(Q772+R772)</f>
        <v>5.1024453679820074E-3</v>
      </c>
      <c r="V772" s="88">
        <f t="shared" si="111"/>
        <v>3.6877783634104571</v>
      </c>
      <c r="W772" s="86">
        <f t="shared" ref="W772:W835" si="116">ABS(O772-N772)</f>
        <v>1.7778363410456244E-2</v>
      </c>
      <c r="X772" s="90">
        <f t="shared" si="112"/>
        <v>4.8975546320179928E-3</v>
      </c>
    </row>
    <row r="773" spans="13:24" x14ac:dyDescent="0.25">
      <c r="M773" s="91">
        <v>7.7</v>
      </c>
      <c r="N773" s="89">
        <f t="shared" si="108"/>
        <v>6.3</v>
      </c>
      <c r="O773" s="89">
        <f t="shared" si="109"/>
        <v>6.3021711921641455</v>
      </c>
      <c r="P773" s="97">
        <f t="shared" si="110"/>
        <v>4.0021711921641447</v>
      </c>
      <c r="Q773" s="135">
        <f t="shared" si="113"/>
        <v>4.9868787366879587E-7</v>
      </c>
      <c r="R773" s="89">
        <f t="shared" si="113"/>
        <v>9.9501312126331273E-5</v>
      </c>
      <c r="S773" s="89">
        <f t="shared" si="114"/>
        <v>1.9952623149688773E-8</v>
      </c>
      <c r="T773" s="136">
        <f t="shared" si="114"/>
        <v>5.0118723362727218E-7</v>
      </c>
      <c r="U773" s="137">
        <f t="shared" si="115"/>
        <v>4.9868787366879547E-3</v>
      </c>
      <c r="V773" s="88">
        <f t="shared" si="111"/>
        <v>3.6978288078358554</v>
      </c>
      <c r="W773" s="86">
        <f t="shared" si="116"/>
        <v>2.17119216414563E-3</v>
      </c>
      <c r="X773" s="90">
        <f t="shared" si="112"/>
        <v>5.0131212633120455E-3</v>
      </c>
    </row>
    <row r="774" spans="13:24" x14ac:dyDescent="0.25">
      <c r="M774" s="91">
        <v>7.71</v>
      </c>
      <c r="N774" s="89">
        <f t="shared" si="108"/>
        <v>6.29</v>
      </c>
      <c r="O774" s="89">
        <f t="shared" si="109"/>
        <v>6.3121218903326994</v>
      </c>
      <c r="P774" s="97">
        <f t="shared" si="110"/>
        <v>4.0021218903326998</v>
      </c>
      <c r="Q774" s="135">
        <f t="shared" si="113"/>
        <v>4.8739167816144678E-7</v>
      </c>
      <c r="R774" s="89">
        <f t="shared" si="113"/>
        <v>9.9512608321838437E-5</v>
      </c>
      <c r="S774" s="89">
        <f t="shared" si="114"/>
        <v>1.9498445997580434E-8</v>
      </c>
      <c r="T774" s="136">
        <f t="shared" si="114"/>
        <v>5.1286138399136375E-7</v>
      </c>
      <c r="U774" s="137">
        <f t="shared" si="115"/>
        <v>4.8739167816144735E-3</v>
      </c>
      <c r="V774" s="88">
        <f t="shared" si="111"/>
        <v>3.7078781096673001</v>
      </c>
      <c r="W774" s="86">
        <f t="shared" si="116"/>
        <v>2.2121890332699401E-2</v>
      </c>
      <c r="X774" s="90">
        <f t="shared" si="112"/>
        <v>5.1260832183855267E-3</v>
      </c>
    </row>
    <row r="775" spans="13:24" x14ac:dyDescent="0.25">
      <c r="M775" s="91">
        <v>7.72</v>
      </c>
      <c r="N775" s="89">
        <f t="shared" si="108"/>
        <v>6.28</v>
      </c>
      <c r="O775" s="89">
        <f t="shared" si="109"/>
        <v>6.3220737053401681</v>
      </c>
      <c r="P775" s="97">
        <f t="shared" si="110"/>
        <v>4.0020737053401687</v>
      </c>
      <c r="Q775" s="135">
        <f t="shared" si="113"/>
        <v>4.763501372210779E-7</v>
      </c>
      <c r="R775" s="89">
        <f t="shared" si="113"/>
        <v>9.95236498627788E-5</v>
      </c>
      <c r="S775" s="89">
        <f t="shared" si="114"/>
        <v>1.9054607179632456E-8</v>
      </c>
      <c r="T775" s="136">
        <f t="shared" si="114"/>
        <v>5.2480746024977148E-7</v>
      </c>
      <c r="U775" s="137">
        <f t="shared" si="115"/>
        <v>4.7635013722107846E-3</v>
      </c>
      <c r="V775" s="88">
        <f t="shared" si="111"/>
        <v>3.717926294659831</v>
      </c>
      <c r="W775" s="86">
        <f t="shared" si="116"/>
        <v>4.2073705340167855E-2</v>
      </c>
      <c r="X775" s="90">
        <f t="shared" si="112"/>
        <v>5.2364986277892156E-3</v>
      </c>
    </row>
    <row r="776" spans="13:24" x14ac:dyDescent="0.25">
      <c r="M776" s="91">
        <v>7.73</v>
      </c>
      <c r="N776" s="89">
        <f t="shared" si="108"/>
        <v>6.27</v>
      </c>
      <c r="O776" s="89">
        <f t="shared" si="109"/>
        <v>6.3320266120064383</v>
      </c>
      <c r="P776" s="97">
        <f t="shared" si="110"/>
        <v>4.0020266120064383</v>
      </c>
      <c r="Q776" s="135">
        <f t="shared" si="113"/>
        <v>4.6555756495299147E-7</v>
      </c>
      <c r="R776" s="89">
        <f t="shared" si="113"/>
        <v>9.9534442435046959E-5</v>
      </c>
      <c r="S776" s="89">
        <f t="shared" si="114"/>
        <v>1.8620871366628593E-8</v>
      </c>
      <c r="T776" s="136">
        <f t="shared" si="114"/>
        <v>5.3703179637025244E-7</v>
      </c>
      <c r="U776" s="137">
        <f t="shared" si="115"/>
        <v>4.6555756495299172E-3</v>
      </c>
      <c r="V776" s="88">
        <f t="shared" si="111"/>
        <v>3.7279733879935621</v>
      </c>
      <c r="W776" s="86">
        <f t="shared" si="116"/>
        <v>6.2026612006438775E-2</v>
      </c>
      <c r="X776" s="90">
        <f t="shared" si="112"/>
        <v>5.344424350470083E-3</v>
      </c>
    </row>
    <row r="777" spans="13:24" x14ac:dyDescent="0.25">
      <c r="M777" s="91">
        <v>7.74</v>
      </c>
      <c r="N777" s="89">
        <f t="shared" si="108"/>
        <v>6.26</v>
      </c>
      <c r="O777" s="89">
        <f t="shared" si="109"/>
        <v>6.3419805857137375</v>
      </c>
      <c r="P777" s="97">
        <f t="shared" si="110"/>
        <v>4.0019805857137376</v>
      </c>
      <c r="Q777" s="135">
        <f t="shared" si="113"/>
        <v>4.5500839995691611E-7</v>
      </c>
      <c r="R777" s="89">
        <f t="shared" si="113"/>
        <v>9.9544991600042916E-5</v>
      </c>
      <c r="S777" s="89">
        <f t="shared" si="114"/>
        <v>1.8197008586099822E-8</v>
      </c>
      <c r="T777" s="136">
        <f t="shared" si="114"/>
        <v>5.4954087385762417E-7</v>
      </c>
      <c r="U777" s="137">
        <f t="shared" si="115"/>
        <v>4.5500839995691687E-3</v>
      </c>
      <c r="V777" s="88">
        <f t="shared" si="111"/>
        <v>3.7380194142862626</v>
      </c>
      <c r="W777" s="86">
        <f t="shared" si="116"/>
        <v>8.1980585713737675E-2</v>
      </c>
      <c r="X777" s="90">
        <f t="shared" si="112"/>
        <v>5.4499160004308315E-3</v>
      </c>
    </row>
    <row r="778" spans="13:24" x14ac:dyDescent="0.25">
      <c r="M778" s="91">
        <v>7.75</v>
      </c>
      <c r="N778" s="89">
        <f t="shared" si="108"/>
        <v>6.25</v>
      </c>
      <c r="O778" s="89">
        <f t="shared" si="109"/>
        <v>6.3519356023943212</v>
      </c>
      <c r="P778" s="97">
        <f t="shared" si="110"/>
        <v>4.0019356023943207</v>
      </c>
      <c r="Q778" s="135">
        <f t="shared" si="113"/>
        <v>4.4469720271169462E-7</v>
      </c>
      <c r="R778" s="89">
        <f t="shared" si="113"/>
        <v>9.9555302797288306E-5</v>
      </c>
      <c r="S778" s="89">
        <f t="shared" si="114"/>
        <v>1.7782794100389218E-8</v>
      </c>
      <c r="T778" s="136">
        <f t="shared" si="114"/>
        <v>5.6234132519034872E-7</v>
      </c>
      <c r="U778" s="137">
        <f t="shared" si="115"/>
        <v>4.4469720271169463E-3</v>
      </c>
      <c r="V778" s="88">
        <f t="shared" si="111"/>
        <v>3.7480643976056793</v>
      </c>
      <c r="W778" s="86">
        <f t="shared" si="116"/>
        <v>0.1019356023943212</v>
      </c>
      <c r="X778" s="90">
        <f t="shared" si="112"/>
        <v>5.5530279728830539E-3</v>
      </c>
    </row>
    <row r="779" spans="13:24" x14ac:dyDescent="0.25">
      <c r="M779" s="91">
        <v>7.76</v>
      </c>
      <c r="N779" s="89">
        <f t="shared" si="108"/>
        <v>6.24</v>
      </c>
      <c r="O779" s="89">
        <f t="shared" si="109"/>
        <v>6.3618916385184061</v>
      </c>
      <c r="P779" s="97">
        <f t="shared" si="110"/>
        <v>4.0018916385184067</v>
      </c>
      <c r="Q779" s="135">
        <f t="shared" si="113"/>
        <v>4.3461865300990933E-7</v>
      </c>
      <c r="R779" s="89">
        <f t="shared" si="113"/>
        <v>9.9565381346990091E-5</v>
      </c>
      <c r="S779" s="89">
        <f t="shared" si="114"/>
        <v>1.7378008287493747E-8</v>
      </c>
      <c r="T779" s="136">
        <f t="shared" si="114"/>
        <v>5.7543993733715549E-7</v>
      </c>
      <c r="U779" s="137">
        <f t="shared" si="115"/>
        <v>4.3461865300990932E-3</v>
      </c>
      <c r="V779" s="88">
        <f t="shared" si="111"/>
        <v>3.7581083614815931</v>
      </c>
      <c r="W779" s="86">
        <f t="shared" si="116"/>
        <v>0.1218916385184059</v>
      </c>
      <c r="X779" s="90">
        <f t="shared" si="112"/>
        <v>5.653813469900907E-3</v>
      </c>
    </row>
    <row r="780" spans="13:24" x14ac:dyDescent="0.25">
      <c r="M780" s="91">
        <v>7.77</v>
      </c>
      <c r="N780" s="89">
        <f t="shared" si="108"/>
        <v>6.23</v>
      </c>
      <c r="O780" s="89">
        <f t="shared" si="109"/>
        <v>6.3718486710823745</v>
      </c>
      <c r="P780" s="97">
        <f t="shared" si="110"/>
        <v>4.0018486710823744</v>
      </c>
      <c r="Q780" s="135">
        <f t="shared" si="113"/>
        <v>4.2476754744169021E-7</v>
      </c>
      <c r="R780" s="89">
        <f t="shared" si="113"/>
        <v>9.9575232452558281E-5</v>
      </c>
      <c r="S780" s="89">
        <f t="shared" si="114"/>
        <v>1.6982436524617439E-8</v>
      </c>
      <c r="T780" s="136">
        <f t="shared" si="114"/>
        <v>5.8884365535558744E-7</v>
      </c>
      <c r="U780" s="137">
        <f t="shared" si="115"/>
        <v>4.2476754744169027E-3</v>
      </c>
      <c r="V780" s="88">
        <f t="shared" si="111"/>
        <v>3.7681513289176252</v>
      </c>
      <c r="W780" s="86">
        <f t="shared" si="116"/>
        <v>0.14184867108237409</v>
      </c>
      <c r="X780" s="90">
        <f t="shared" si="112"/>
        <v>5.7523245255830975E-3</v>
      </c>
    </row>
    <row r="781" spans="13:24" x14ac:dyDescent="0.25">
      <c r="M781" s="91">
        <v>7.78</v>
      </c>
      <c r="N781" s="89">
        <f t="shared" si="108"/>
        <v>6.22</v>
      </c>
      <c r="O781" s="89">
        <f t="shared" si="109"/>
        <v>6.3818066775972078</v>
      </c>
      <c r="P781" s="97">
        <f t="shared" si="110"/>
        <v>4.0018066775972079</v>
      </c>
      <c r="Q781" s="135">
        <f t="shared" si="113"/>
        <v>4.1513879692703883E-7</v>
      </c>
      <c r="R781" s="89">
        <f t="shared" si="113"/>
        <v>9.9584861203072845E-5</v>
      </c>
      <c r="S781" s="89">
        <f t="shared" si="114"/>
        <v>1.6595869074375541E-8</v>
      </c>
      <c r="T781" s="136">
        <f t="shared" si="114"/>
        <v>6.0255958607435721E-7</v>
      </c>
      <c r="U781" s="137">
        <f t="shared" si="115"/>
        <v>4.1513879692703934E-3</v>
      </c>
      <c r="V781" s="88">
        <f t="shared" si="111"/>
        <v>3.7781933224027924</v>
      </c>
      <c r="W781" s="86">
        <f t="shared" si="116"/>
        <v>0.16180667759720802</v>
      </c>
      <c r="X781" s="90">
        <f t="shared" si="112"/>
        <v>5.8486120307296068E-3</v>
      </c>
    </row>
    <row r="782" spans="13:24" x14ac:dyDescent="0.25">
      <c r="M782" s="91">
        <v>7.79</v>
      </c>
      <c r="N782" s="89">
        <f t="shared" si="108"/>
        <v>6.21</v>
      </c>
      <c r="O782" s="89">
        <f t="shared" si="109"/>
        <v>6.3917656360771815</v>
      </c>
      <c r="P782" s="97">
        <f t="shared" si="110"/>
        <v>4.0017656360771818</v>
      </c>
      <c r="Q782" s="135">
        <f t="shared" si="113"/>
        <v>4.057274242958884E-7</v>
      </c>
      <c r="R782" s="89">
        <f t="shared" si="113"/>
        <v>9.9594272575704055E-5</v>
      </c>
      <c r="S782" s="89">
        <f t="shared" si="114"/>
        <v>1.6218100973589297E-8</v>
      </c>
      <c r="T782" s="136">
        <f t="shared" si="114"/>
        <v>6.1659500186148145E-7</v>
      </c>
      <c r="U782" s="137">
        <f t="shared" si="115"/>
        <v>4.057274242958887E-3</v>
      </c>
      <c r="V782" s="88">
        <f t="shared" si="111"/>
        <v>3.7882343639228182</v>
      </c>
      <c r="W782" s="86">
        <f t="shared" si="116"/>
        <v>0.18176563607718155</v>
      </c>
      <c r="X782" s="90">
        <f t="shared" si="112"/>
        <v>5.9427257570411132E-3</v>
      </c>
    </row>
    <row r="783" spans="13:24" x14ac:dyDescent="0.25">
      <c r="M783" s="91">
        <v>7.8</v>
      </c>
      <c r="N783" s="89">
        <f t="shared" si="108"/>
        <v>6.2</v>
      </c>
      <c r="O783" s="89">
        <f t="shared" si="109"/>
        <v>6.4017255250287928</v>
      </c>
      <c r="P783" s="97">
        <f t="shared" si="110"/>
        <v>4.0017255250287924</v>
      </c>
      <c r="Q783" s="135">
        <f t="shared" si="113"/>
        <v>3.965285619152194E-7</v>
      </c>
      <c r="R783" s="89">
        <f t="shared" si="113"/>
        <v>9.9603471438084793E-5</v>
      </c>
      <c r="S783" s="89">
        <f t="shared" si="114"/>
        <v>1.5848931924611133E-8</v>
      </c>
      <c r="T783" s="136">
        <f t="shared" si="114"/>
        <v>6.3095734448019254E-7</v>
      </c>
      <c r="U783" s="137">
        <f t="shared" si="115"/>
        <v>3.9652856191521929E-3</v>
      </c>
      <c r="V783" s="88">
        <f t="shared" si="111"/>
        <v>3.7982744749712074</v>
      </c>
      <c r="W783" s="86">
        <f t="shared" si="116"/>
        <v>0.2017255250287926</v>
      </c>
      <c r="X783" s="90">
        <f t="shared" si="112"/>
        <v>6.0347143808478073E-3</v>
      </c>
    </row>
    <row r="784" spans="13:24" x14ac:dyDescent="0.25">
      <c r="M784" s="91">
        <v>7.81</v>
      </c>
      <c r="N784" s="89">
        <f t="shared" si="108"/>
        <v>6.19</v>
      </c>
      <c r="O784" s="89">
        <f t="shared" si="109"/>
        <v>6.4116863234399206</v>
      </c>
      <c r="P784" s="97">
        <f t="shared" si="110"/>
        <v>4.0016863234399205</v>
      </c>
      <c r="Q784" s="135">
        <f t="shared" si="113"/>
        <v>3.8753744936250067E-7</v>
      </c>
      <c r="R784" s="89">
        <f t="shared" si="113"/>
        <v>9.9612462550637557E-5</v>
      </c>
      <c r="S784" s="89">
        <f t="shared" si="114"/>
        <v>1.5488166189124814E-8</v>
      </c>
      <c r="T784" s="136">
        <f t="shared" si="114"/>
        <v>6.456542290346535E-7</v>
      </c>
      <c r="U784" s="137">
        <f t="shared" si="115"/>
        <v>3.8753744936250042E-3</v>
      </c>
      <c r="V784" s="88">
        <f t="shared" si="111"/>
        <v>3.8083136765600791</v>
      </c>
      <c r="W784" s="86">
        <f t="shared" si="116"/>
        <v>0.22168632343992023</v>
      </c>
      <c r="X784" s="90">
        <f t="shared" si="112"/>
        <v>6.1246255063749956E-3</v>
      </c>
    </row>
    <row r="785" spans="13:24" x14ac:dyDescent="0.25">
      <c r="M785" s="91">
        <v>7.82</v>
      </c>
      <c r="N785" s="89">
        <f t="shared" si="108"/>
        <v>6.18</v>
      </c>
      <c r="O785" s="89">
        <f t="shared" si="109"/>
        <v>6.4216480107692231</v>
      </c>
      <c r="P785" s="97">
        <f t="shared" si="110"/>
        <v>4.0016480107692232</v>
      </c>
      <c r="Q785" s="135">
        <f t="shared" si="113"/>
        <v>3.7874943114472413E-7</v>
      </c>
      <c r="R785" s="89">
        <f t="shared" si="113"/>
        <v>9.9621250568855162E-5</v>
      </c>
      <c r="S785" s="89">
        <f t="shared" si="114"/>
        <v>1.5135612484362029E-8</v>
      </c>
      <c r="T785" s="136">
        <f t="shared" si="114"/>
        <v>6.6069344800759506E-7</v>
      </c>
      <c r="U785" s="137">
        <f t="shared" si="115"/>
        <v>3.7874943114472458E-3</v>
      </c>
      <c r="V785" s="88">
        <f t="shared" si="111"/>
        <v>3.8183519892307771</v>
      </c>
      <c r="W785" s="86">
        <f t="shared" si="116"/>
        <v>0.24164801076922338</v>
      </c>
      <c r="X785" s="90">
        <f t="shared" si="112"/>
        <v>6.2125056885527549E-3</v>
      </c>
    </row>
    <row r="786" spans="13:24" x14ac:dyDescent="0.25">
      <c r="M786" s="91">
        <v>7.83</v>
      </c>
      <c r="N786" s="89">
        <f t="shared" si="108"/>
        <v>6.17</v>
      </c>
      <c r="O786" s="89">
        <f t="shared" si="109"/>
        <v>6.4316105669357526</v>
      </c>
      <c r="P786" s="97">
        <f t="shared" si="110"/>
        <v>4.001610566935752</v>
      </c>
      <c r="Q786" s="135">
        <f t="shared" si="113"/>
        <v>3.7015995446233432E-7</v>
      </c>
      <c r="R786" s="89">
        <f t="shared" si="113"/>
        <v>9.9629840045537679E-5</v>
      </c>
      <c r="S786" s="89">
        <f t="shared" si="114"/>
        <v>1.4791083881682026E-8</v>
      </c>
      <c r="T786" s="136">
        <f t="shared" si="114"/>
        <v>6.7608297539198085E-7</v>
      </c>
      <c r="U786" s="137">
        <f t="shared" si="115"/>
        <v>3.7015995446233424E-3</v>
      </c>
      <c r="V786" s="88">
        <f t="shared" si="111"/>
        <v>3.8283894330642481</v>
      </c>
      <c r="W786" s="86">
        <f t="shared" si="116"/>
        <v>0.26161056693575269</v>
      </c>
      <c r="X786" s="90">
        <f t="shared" si="112"/>
        <v>6.2984004553766574E-3</v>
      </c>
    </row>
    <row r="787" spans="13:24" x14ac:dyDescent="0.25">
      <c r="M787" s="91">
        <v>7.84</v>
      </c>
      <c r="N787" s="89">
        <f t="shared" si="108"/>
        <v>6.16</v>
      </c>
      <c r="O787" s="89">
        <f t="shared" si="109"/>
        <v>6.4415739723087988</v>
      </c>
      <c r="P787" s="97">
        <f t="shared" si="110"/>
        <v>4.0015739723087984</v>
      </c>
      <c r="Q787" s="135">
        <f t="shared" si="113"/>
        <v>3.6176456701732699E-7</v>
      </c>
      <c r="R787" s="89">
        <f t="shared" si="113"/>
        <v>9.9638235432982744E-5</v>
      </c>
      <c r="S787" s="89">
        <f t="shared" si="114"/>
        <v>1.4454397707459279E-8</v>
      </c>
      <c r="T787" s="136">
        <f t="shared" si="114"/>
        <v>6.9183097091893534E-7</v>
      </c>
      <c r="U787" s="137">
        <f t="shared" si="115"/>
        <v>3.6176456701732672E-3</v>
      </c>
      <c r="V787" s="88">
        <f t="shared" si="111"/>
        <v>3.8384260276912014</v>
      </c>
      <c r="W787" s="86">
        <f t="shared" si="116"/>
        <v>0.28157397230879866</v>
      </c>
      <c r="X787" s="90">
        <f t="shared" si="112"/>
        <v>6.3823543298267334E-3</v>
      </c>
    </row>
    <row r="788" spans="13:24" x14ac:dyDescent="0.25">
      <c r="M788" s="91">
        <v>7.85</v>
      </c>
      <c r="N788" s="89">
        <f t="shared" si="108"/>
        <v>6.15</v>
      </c>
      <c r="O788" s="89">
        <f t="shared" si="109"/>
        <v>6.4515382076979453</v>
      </c>
      <c r="P788" s="97">
        <f t="shared" si="110"/>
        <v>4.001538207697946</v>
      </c>
      <c r="Q788" s="135">
        <f t="shared" si="113"/>
        <v>3.5355891486480664E-7</v>
      </c>
      <c r="R788" s="89">
        <f t="shared" si="113"/>
        <v>9.9646441085135106E-5</v>
      </c>
      <c r="S788" s="89">
        <f t="shared" si="114"/>
        <v>1.4125375446227547E-8</v>
      </c>
      <c r="T788" s="136">
        <f t="shared" si="114"/>
        <v>7.0794578438413674E-7</v>
      </c>
      <c r="U788" s="137">
        <f t="shared" si="115"/>
        <v>3.5355891486480696E-3</v>
      </c>
      <c r="V788" s="88">
        <f t="shared" si="111"/>
        <v>3.8484617923020537</v>
      </c>
      <c r="W788" s="86">
        <f t="shared" si="116"/>
        <v>0.30153820769794493</v>
      </c>
      <c r="X788" s="90">
        <f t="shared" si="112"/>
        <v>6.4644108513519302E-3</v>
      </c>
    </row>
    <row r="789" spans="13:24" x14ac:dyDescent="0.25">
      <c r="M789" s="91">
        <v>7.86</v>
      </c>
      <c r="N789" s="89">
        <f t="shared" si="108"/>
        <v>6.14</v>
      </c>
      <c r="O789" s="89">
        <f t="shared" si="109"/>
        <v>6.4615032543433442</v>
      </c>
      <c r="P789" s="97">
        <f t="shared" si="110"/>
        <v>4.0015032543433442</v>
      </c>
      <c r="Q789" s="135">
        <f t="shared" si="113"/>
        <v>3.4553874030729634E-7</v>
      </c>
      <c r="R789" s="89">
        <f t="shared" si="113"/>
        <v>9.9654461259692542E-5</v>
      </c>
      <c r="S789" s="89">
        <f t="shared" si="114"/>
        <v>1.3803842646028805E-8</v>
      </c>
      <c r="T789" s="136">
        <f t="shared" si="114"/>
        <v>7.2443596007499005E-7</v>
      </c>
      <c r="U789" s="137">
        <f t="shared" si="115"/>
        <v>3.455387403072969E-3</v>
      </c>
      <c r="V789" s="88">
        <f t="shared" si="111"/>
        <v>3.8584967456566561</v>
      </c>
      <c r="W789" s="86">
        <f t="shared" si="116"/>
        <v>0.32150325434334448</v>
      </c>
      <c r="X789" s="90">
        <f t="shared" si="112"/>
        <v>6.5446125969270312E-3</v>
      </c>
    </row>
    <row r="790" spans="13:24" x14ac:dyDescent="0.25">
      <c r="M790" s="91">
        <v>7.87</v>
      </c>
      <c r="N790" s="89">
        <f t="shared" si="108"/>
        <v>6.13</v>
      </c>
      <c r="O790" s="89">
        <f t="shared" si="109"/>
        <v>6.471469093906185</v>
      </c>
      <c r="P790" s="97">
        <f t="shared" si="110"/>
        <v>4.0014690939061843</v>
      </c>
      <c r="Q790" s="135">
        <f t="shared" si="113"/>
        <v>3.3769987983110481E-7</v>
      </c>
      <c r="R790" s="89">
        <f t="shared" si="113"/>
        <v>9.9662300120168933E-5</v>
      </c>
      <c r="S790" s="89">
        <f t="shared" si="114"/>
        <v>1.3489628825916498E-8</v>
      </c>
      <c r="T790" s="136">
        <f t="shared" si="114"/>
        <v>7.4131024130091606E-7</v>
      </c>
      <c r="U790" s="137">
        <f t="shared" si="115"/>
        <v>3.376998798311047E-3</v>
      </c>
      <c r="V790" s="88">
        <f t="shared" si="111"/>
        <v>3.8685309060938158</v>
      </c>
      <c r="W790" s="86">
        <f t="shared" si="116"/>
        <v>0.34146909390618507</v>
      </c>
      <c r="X790" s="90">
        <f t="shared" si="112"/>
        <v>6.6230012016889536E-3</v>
      </c>
    </row>
    <row r="791" spans="13:24" x14ac:dyDescent="0.25">
      <c r="M791" s="91">
        <v>7.88</v>
      </c>
      <c r="N791" s="89">
        <f t="shared" si="108"/>
        <v>6.12</v>
      </c>
      <c r="O791" s="89">
        <f t="shared" si="109"/>
        <v>6.4814357084593865</v>
      </c>
      <c r="P791" s="97">
        <f t="shared" si="110"/>
        <v>4.001435708459387</v>
      </c>
      <c r="Q791" s="135">
        <f t="shared" si="113"/>
        <v>3.3003826208403049E-7</v>
      </c>
      <c r="R791" s="89">
        <f t="shared" si="113"/>
        <v>9.9669961737915879E-5</v>
      </c>
      <c r="S791" s="89">
        <f t="shared" si="114"/>
        <v>1.3182567385564031E-8</v>
      </c>
      <c r="T791" s="136">
        <f t="shared" si="114"/>
        <v>7.585775750291823E-7</v>
      </c>
      <c r="U791" s="137">
        <f t="shared" si="115"/>
        <v>3.3003826208403077E-3</v>
      </c>
      <c r="V791" s="88">
        <f t="shared" si="111"/>
        <v>3.8785642915406129</v>
      </c>
      <c r="W791" s="86">
        <f t="shared" si="116"/>
        <v>0.36143570845938644</v>
      </c>
      <c r="X791" s="90">
        <f t="shared" si="112"/>
        <v>6.699617379159693E-3</v>
      </c>
    </row>
    <row r="792" spans="13:24" x14ac:dyDescent="0.25">
      <c r="M792" s="91">
        <v>7.89</v>
      </c>
      <c r="N792" s="89">
        <f t="shared" si="108"/>
        <v>6.11</v>
      </c>
      <c r="O792" s="89">
        <f t="shared" si="109"/>
        <v>6.4914030804784799</v>
      </c>
      <c r="P792" s="97">
        <f t="shared" si="110"/>
        <v>4.0014030804784806</v>
      </c>
      <c r="Q792" s="135">
        <f t="shared" si="113"/>
        <v>3.225499058937238E-7</v>
      </c>
      <c r="R792" s="89">
        <f t="shared" si="113"/>
        <v>9.967745009410622E-5</v>
      </c>
      <c r="S792" s="89">
        <f t="shared" si="114"/>
        <v>1.288249551693135E-8</v>
      </c>
      <c r="T792" s="136">
        <f t="shared" si="114"/>
        <v>7.7624711662869019E-7</v>
      </c>
      <c r="U792" s="137">
        <f t="shared" si="115"/>
        <v>3.2254990589372398E-3</v>
      </c>
      <c r="V792" s="88">
        <f t="shared" si="111"/>
        <v>3.8885969195215191</v>
      </c>
      <c r="W792" s="86">
        <f t="shared" si="116"/>
        <v>0.38140308047847959</v>
      </c>
      <c r="X792" s="90">
        <f t="shared" si="112"/>
        <v>6.77450094106276E-3</v>
      </c>
    </row>
    <row r="793" spans="13:24" x14ac:dyDescent="0.25">
      <c r="M793" s="91">
        <v>7.9</v>
      </c>
      <c r="N793" s="89">
        <f t="shared" si="108"/>
        <v>6.1</v>
      </c>
      <c r="O793" s="89">
        <f t="shared" si="109"/>
        <v>6.5013711928326838</v>
      </c>
      <c r="P793" s="97">
        <f t="shared" si="110"/>
        <v>4.0013711928326829</v>
      </c>
      <c r="Q793" s="135">
        <f t="shared" si="113"/>
        <v>3.1523091832602022E-7</v>
      </c>
      <c r="R793" s="89">
        <f t="shared" si="113"/>
        <v>9.9684769081673932E-5</v>
      </c>
      <c r="S793" s="89">
        <f t="shared" si="114"/>
        <v>1.2589254117941638E-8</v>
      </c>
      <c r="T793" s="136">
        <f t="shared" si="114"/>
        <v>7.9432823472428114E-7</v>
      </c>
      <c r="U793" s="137">
        <f t="shared" si="115"/>
        <v>3.1523091832602037E-3</v>
      </c>
      <c r="V793" s="88">
        <f t="shared" si="111"/>
        <v>3.8986288071673174</v>
      </c>
      <c r="W793" s="86">
        <f t="shared" si="116"/>
        <v>0.40137119283268419</v>
      </c>
      <c r="X793" s="90">
        <f t="shared" si="112"/>
        <v>6.8476908167397965E-3</v>
      </c>
    </row>
    <row r="794" spans="13:24" x14ac:dyDescent="0.25">
      <c r="M794" s="91">
        <v>7.91</v>
      </c>
      <c r="N794" s="89">
        <f t="shared" si="108"/>
        <v>6.09</v>
      </c>
      <c r="O794" s="89">
        <f t="shared" si="109"/>
        <v>6.5113400287761749</v>
      </c>
      <c r="P794" s="97">
        <f t="shared" si="110"/>
        <v>4.0013400287761751</v>
      </c>
      <c r="Q794" s="135">
        <f t="shared" si="113"/>
        <v>3.0807749278255256E-7</v>
      </c>
      <c r="R794" s="89">
        <f t="shared" si="113"/>
        <v>9.9691922507217268E-5</v>
      </c>
      <c r="S794" s="89">
        <f t="shared" si="114"/>
        <v>1.2302687708123783E-8</v>
      </c>
      <c r="T794" s="136">
        <f t="shared" si="114"/>
        <v>8.1283051616409889E-7</v>
      </c>
      <c r="U794" s="137">
        <f t="shared" si="115"/>
        <v>3.0807749278255313E-3</v>
      </c>
      <c r="V794" s="88">
        <f t="shared" si="111"/>
        <v>3.908659971223825</v>
      </c>
      <c r="W794" s="86">
        <f t="shared" si="116"/>
        <v>0.42134002877617505</v>
      </c>
      <c r="X794" s="90">
        <f t="shared" si="112"/>
        <v>6.9192250721744689E-3</v>
      </c>
    </row>
    <row r="795" spans="13:24" x14ac:dyDescent="0.25">
      <c r="M795" s="91">
        <v>7.92</v>
      </c>
      <c r="N795" s="89">
        <f t="shared" si="108"/>
        <v>6.08</v>
      </c>
      <c r="O795" s="89">
        <f t="shared" si="109"/>
        <v>6.5213095719395557</v>
      </c>
      <c r="P795" s="97">
        <f t="shared" si="110"/>
        <v>4.0013095719395553</v>
      </c>
      <c r="Q795" s="135">
        <f t="shared" si="113"/>
        <v>3.0108590713695414E-7</v>
      </c>
      <c r="R795" s="89">
        <f t="shared" si="113"/>
        <v>9.9698914092862987E-5</v>
      </c>
      <c r="S795" s="89">
        <f t="shared" si="114"/>
        <v>1.2022644346174099E-8</v>
      </c>
      <c r="T795" s="136">
        <f t="shared" si="114"/>
        <v>8.3176377110266907E-7</v>
      </c>
      <c r="U795" s="137">
        <f t="shared" si="115"/>
        <v>3.0108590713695434E-3</v>
      </c>
      <c r="V795" s="88">
        <f t="shared" si="111"/>
        <v>3.9186904280604447</v>
      </c>
      <c r="W795" s="86">
        <f t="shared" si="116"/>
        <v>0.44130957193955567</v>
      </c>
      <c r="X795" s="90">
        <f t="shared" si="112"/>
        <v>6.9891409286304568E-3</v>
      </c>
    </row>
    <row r="796" spans="13:24" x14ac:dyDescent="0.25">
      <c r="M796" s="91">
        <v>7.93</v>
      </c>
      <c r="N796" s="89">
        <f t="shared" si="108"/>
        <v>6.07</v>
      </c>
      <c r="O796" s="89">
        <f t="shared" si="109"/>
        <v>6.5312798063214901</v>
      </c>
      <c r="P796" s="97">
        <f t="shared" si="110"/>
        <v>4.0012798063214898</v>
      </c>
      <c r="Q796" s="135">
        <f t="shared" si="113"/>
        <v>2.9425252190901026E-7</v>
      </c>
      <c r="R796" s="89">
        <f t="shared" si="113"/>
        <v>9.9705747478091056E-5</v>
      </c>
      <c r="S796" s="89">
        <f t="shared" si="114"/>
        <v>1.1748975549395268E-8</v>
      </c>
      <c r="T796" s="136">
        <f t="shared" si="114"/>
        <v>8.511380382023744E-7</v>
      </c>
      <c r="U796" s="137">
        <f t="shared" si="115"/>
        <v>2.9425252190901003E-3</v>
      </c>
      <c r="V796" s="88">
        <f t="shared" si="111"/>
        <v>3.9287201936785099</v>
      </c>
      <c r="W796" s="86">
        <f t="shared" si="116"/>
        <v>0.46127980632148979</v>
      </c>
      <c r="X796" s="90">
        <f t="shared" si="112"/>
        <v>7.0574747809099003E-3</v>
      </c>
    </row>
    <row r="797" spans="13:24" x14ac:dyDescent="0.25">
      <c r="M797" s="91">
        <v>7.94</v>
      </c>
      <c r="N797" s="89">
        <f t="shared" si="108"/>
        <v>6.06</v>
      </c>
      <c r="O797" s="89">
        <f t="shared" si="109"/>
        <v>6.5412507162805351</v>
      </c>
      <c r="P797" s="97">
        <f t="shared" si="110"/>
        <v>4.0012507162805351</v>
      </c>
      <c r="Q797" s="135">
        <f t="shared" si="113"/>
        <v>2.8757377847606208E-7</v>
      </c>
      <c r="R797" s="89">
        <f t="shared" si="113"/>
        <v>9.9712426221523865E-5</v>
      </c>
      <c r="S797" s="89">
        <f t="shared" si="114"/>
        <v>1.14815362149688E-8</v>
      </c>
      <c r="T797" s="136">
        <f t="shared" si="114"/>
        <v>8.7096358995607992E-7</v>
      </c>
      <c r="U797" s="137">
        <f t="shared" si="115"/>
        <v>2.875737784760623E-3</v>
      </c>
      <c r="V797" s="88">
        <f t="shared" si="111"/>
        <v>3.9387492837194653</v>
      </c>
      <c r="W797" s="86">
        <f t="shared" si="116"/>
        <v>0.48125071628053551</v>
      </c>
      <c r="X797" s="90">
        <f t="shared" si="112"/>
        <v>7.1242622152393777E-3</v>
      </c>
    </row>
    <row r="798" spans="13:24" x14ac:dyDescent="0.25">
      <c r="M798" s="91">
        <v>7.95</v>
      </c>
      <c r="N798" s="89">
        <f t="shared" si="108"/>
        <v>6.05</v>
      </c>
      <c r="O798" s="89">
        <f t="shared" si="109"/>
        <v>6.551222286527139</v>
      </c>
      <c r="P798" s="97">
        <f t="shared" si="110"/>
        <v>4.0012222865271383</v>
      </c>
      <c r="Q798" s="135">
        <f t="shared" si="113"/>
        <v>2.8104619732101814E-7</v>
      </c>
      <c r="R798" s="89">
        <f t="shared" si="113"/>
        <v>9.9718953802678883E-5</v>
      </c>
      <c r="S798" s="89">
        <f t="shared" si="114"/>
        <v>1.1220184543019609E-8</v>
      </c>
      <c r="T798" s="136">
        <f t="shared" si="114"/>
        <v>8.9125093813374487E-7</v>
      </c>
      <c r="U798" s="137">
        <f t="shared" si="115"/>
        <v>2.8104619732101845E-3</v>
      </c>
      <c r="V798" s="88">
        <f t="shared" si="111"/>
        <v>3.9487777134728619</v>
      </c>
      <c r="W798" s="86">
        <f t="shared" si="116"/>
        <v>0.50122228652713918</v>
      </c>
      <c r="X798" s="90">
        <f t="shared" si="112"/>
        <v>7.1895380267898157E-3</v>
      </c>
    </row>
    <row r="799" spans="13:24" x14ac:dyDescent="0.25">
      <c r="M799" s="91">
        <v>7.96</v>
      </c>
      <c r="N799" s="89">
        <f t="shared" si="108"/>
        <v>6.04</v>
      </c>
      <c r="O799" s="89">
        <f t="shared" si="109"/>
        <v>6.561194502115816</v>
      </c>
      <c r="P799" s="97">
        <f t="shared" si="110"/>
        <v>4.0011945021158164</v>
      </c>
      <c r="Q799" s="135">
        <f t="shared" si="113"/>
        <v>2.7466637631632413E-7</v>
      </c>
      <c r="R799" s="89">
        <f t="shared" si="113"/>
        <v>9.9725333623683636E-5</v>
      </c>
      <c r="S799" s="89">
        <f t="shared" si="114"/>
        <v>1.0964781961431828E-8</v>
      </c>
      <c r="T799" s="136">
        <f t="shared" si="114"/>
        <v>9.12010839355909E-7</v>
      </c>
      <c r="U799" s="137">
        <f t="shared" si="115"/>
        <v>2.7466637631632421E-3</v>
      </c>
      <c r="V799" s="88">
        <f t="shared" si="111"/>
        <v>3.9588054978841836</v>
      </c>
      <c r="W799" s="86">
        <f t="shared" si="116"/>
        <v>0.52119450211581597</v>
      </c>
      <c r="X799" s="90">
        <f t="shared" si="112"/>
        <v>7.2533362368367577E-3</v>
      </c>
    </row>
    <row r="800" spans="13:24" x14ac:dyDescent="0.25">
      <c r="M800" s="91">
        <v>7.97</v>
      </c>
      <c r="N800" s="89">
        <f t="shared" si="108"/>
        <v>6.03</v>
      </c>
      <c r="O800" s="89">
        <f t="shared" si="109"/>
        <v>6.5711673484374993</v>
      </c>
      <c r="P800" s="97">
        <f t="shared" si="110"/>
        <v>4.0011673484374999</v>
      </c>
      <c r="Q800" s="135">
        <f t="shared" si="113"/>
        <v>2.6843098904322914E-7</v>
      </c>
      <c r="R800" s="89">
        <f t="shared" si="113"/>
        <v>9.9731569010956609E-5</v>
      </c>
      <c r="S800" s="89">
        <f t="shared" si="114"/>
        <v>1.0715193052376043E-8</v>
      </c>
      <c r="T800" s="136">
        <f t="shared" si="114"/>
        <v>9.3325430079699009E-7</v>
      </c>
      <c r="U800" s="137">
        <f t="shared" si="115"/>
        <v>2.6843098904322958E-3</v>
      </c>
      <c r="V800" s="88">
        <f t="shared" si="111"/>
        <v>3.9688326515624999</v>
      </c>
      <c r="W800" s="86">
        <f t="shared" si="116"/>
        <v>0.54116734843749903</v>
      </c>
      <c r="X800" s="90">
        <f t="shared" si="112"/>
        <v>7.3156901095677044E-3</v>
      </c>
    </row>
    <row r="801" spans="13:24" x14ac:dyDescent="0.25">
      <c r="M801" s="91">
        <v>7.98</v>
      </c>
      <c r="N801" s="89">
        <f t="shared" si="108"/>
        <v>6.02</v>
      </c>
      <c r="O801" s="89">
        <f t="shared" si="109"/>
        <v>6.5811408112120429</v>
      </c>
      <c r="P801" s="97">
        <f t="shared" si="110"/>
        <v>4.0011408112120428</v>
      </c>
      <c r="Q801" s="135">
        <f t="shared" si="113"/>
        <v>2.6233678314573253E-7</v>
      </c>
      <c r="R801" s="89">
        <f t="shared" si="113"/>
        <v>9.9737663216854208E-5</v>
      </c>
      <c r="S801" s="89">
        <f t="shared" si="114"/>
        <v>1.0471285480508974E-8</v>
      </c>
      <c r="T801" s="136">
        <f t="shared" si="114"/>
        <v>9.5499258602143498E-7</v>
      </c>
      <c r="U801" s="137">
        <f t="shared" si="115"/>
        <v>2.6233678314573267E-3</v>
      </c>
      <c r="V801" s="88">
        <f t="shared" si="111"/>
        <v>3.9788591887879576</v>
      </c>
      <c r="W801" s="86">
        <f t="shared" si="116"/>
        <v>0.56114081121204329</v>
      </c>
      <c r="X801" s="90">
        <f t="shared" si="112"/>
        <v>7.3766321685426739E-3</v>
      </c>
    </row>
    <row r="802" spans="13:24" x14ac:dyDescent="0.25">
      <c r="M802" s="91">
        <v>7.99</v>
      </c>
      <c r="N802" s="89">
        <f t="shared" si="108"/>
        <v>6.01</v>
      </c>
      <c r="O802" s="89">
        <f t="shared" si="109"/>
        <v>6.5911148764809004</v>
      </c>
      <c r="P802" s="97">
        <f t="shared" si="110"/>
        <v>4.0011148764809006</v>
      </c>
      <c r="Q802" s="135">
        <f t="shared" si="113"/>
        <v>2.5638057871856378E-7</v>
      </c>
      <c r="R802" s="89">
        <f t="shared" si="113"/>
        <v>9.9743619421281232E-5</v>
      </c>
      <c r="S802" s="89">
        <f t="shared" si="114"/>
        <v>1.0232929922807522E-8</v>
      </c>
      <c r="T802" s="136">
        <f t="shared" si="114"/>
        <v>9.7723722095580961E-7</v>
      </c>
      <c r="U802" s="137">
        <f t="shared" si="115"/>
        <v>2.5638057871856428E-3</v>
      </c>
      <c r="V802" s="88">
        <f t="shared" si="111"/>
        <v>3.9888851235190996</v>
      </c>
      <c r="W802" s="86">
        <f t="shared" si="116"/>
        <v>0.58111487648090066</v>
      </c>
      <c r="X802" s="90">
        <f t="shared" si="112"/>
        <v>7.4361942128143574E-3</v>
      </c>
    </row>
    <row r="803" spans="13:24" x14ac:dyDescent="0.25">
      <c r="M803" s="91">
        <v>8</v>
      </c>
      <c r="N803" s="89">
        <f t="shared" si="108"/>
        <v>6</v>
      </c>
      <c r="O803" s="89">
        <f t="shared" si="109"/>
        <v>6.6010895305999613</v>
      </c>
      <c r="P803" s="97">
        <f t="shared" si="110"/>
        <v>4.0010895305999616</v>
      </c>
      <c r="Q803" s="135">
        <f t="shared" si="113"/>
        <v>2.5055926672857314E-7</v>
      </c>
      <c r="R803" s="89">
        <f t="shared" si="113"/>
        <v>9.97494407332713E-5</v>
      </c>
      <c r="S803" s="89">
        <f t="shared" si="114"/>
        <v>1E-8</v>
      </c>
      <c r="T803" s="136">
        <f t="shared" si="114"/>
        <v>9.9999999999999995E-7</v>
      </c>
      <c r="U803" s="137">
        <f t="shared" si="115"/>
        <v>2.5055926672857345E-3</v>
      </c>
      <c r="V803" s="88">
        <f t="shared" si="111"/>
        <v>3.9989104694000384</v>
      </c>
      <c r="W803" s="86">
        <f t="shared" si="116"/>
        <v>0.60108953059996129</v>
      </c>
      <c r="X803" s="90">
        <f t="shared" si="112"/>
        <v>7.4944073327142657E-3</v>
      </c>
    </row>
    <row r="804" spans="13:24" x14ac:dyDescent="0.25">
      <c r="M804" s="91">
        <v>8.01</v>
      </c>
      <c r="N804" s="89">
        <f t="shared" si="108"/>
        <v>5.99</v>
      </c>
      <c r="O804" s="89">
        <f t="shared" si="109"/>
        <v>6.6110647602325381</v>
      </c>
      <c r="P804" s="97">
        <f t="shared" si="110"/>
        <v>4.0010647602325387</v>
      </c>
      <c r="Q804" s="135">
        <f t="shared" si="113"/>
        <v>2.4486980746892722E-7</v>
      </c>
      <c r="R804" s="89">
        <f t="shared" si="113"/>
        <v>9.9755130192530987E-5</v>
      </c>
      <c r="S804" s="89">
        <f t="shared" si="114"/>
        <v>9.7723722095580911E-9</v>
      </c>
      <c r="T804" s="136">
        <f t="shared" si="114"/>
        <v>1.0232929922807527E-6</v>
      </c>
      <c r="U804" s="137">
        <f t="shared" si="115"/>
        <v>2.4486980746892743E-3</v>
      </c>
      <c r="V804" s="88">
        <f t="shared" si="111"/>
        <v>4.0089352397674611</v>
      </c>
      <c r="W804" s="86">
        <f t="shared" si="116"/>
        <v>0.62106476023253787</v>
      </c>
      <c r="X804" s="90">
        <f t="shared" si="112"/>
        <v>7.5513019253107255E-3</v>
      </c>
    </row>
    <row r="805" spans="13:24" x14ac:dyDescent="0.25">
      <c r="M805" s="91">
        <v>8.02</v>
      </c>
      <c r="N805" s="89">
        <f t="shared" si="108"/>
        <v>5.98</v>
      </c>
      <c r="O805" s="89">
        <f t="shared" si="109"/>
        <v>6.6210405523425129</v>
      </c>
      <c r="P805" s="97">
        <f t="shared" si="110"/>
        <v>4.0010405523425137</v>
      </c>
      <c r="Q805" s="135">
        <f t="shared" si="113"/>
        <v>2.3930922904548959E-7</v>
      </c>
      <c r="R805" s="89">
        <f t="shared" si="113"/>
        <v>9.9760690770954333E-5</v>
      </c>
      <c r="S805" s="89">
        <f t="shared" si="114"/>
        <v>9.5499258602143453E-9</v>
      </c>
      <c r="T805" s="136">
        <f t="shared" si="114"/>
        <v>1.0471285480508979E-6</v>
      </c>
      <c r="U805" s="137">
        <f t="shared" si="115"/>
        <v>2.3930922904549E-3</v>
      </c>
      <c r="V805" s="88">
        <f t="shared" si="111"/>
        <v>4.0189594476574859</v>
      </c>
      <c r="W805" s="86">
        <f t="shared" si="116"/>
        <v>0.64104055234251245</v>
      </c>
      <c r="X805" s="90">
        <f t="shared" si="112"/>
        <v>7.6069077095451002E-3</v>
      </c>
    </row>
    <row r="806" spans="13:24" x14ac:dyDescent="0.25">
      <c r="M806" s="91">
        <v>8.0299999999999994</v>
      </c>
      <c r="N806" s="89">
        <f t="shared" si="108"/>
        <v>5.9700000000000006</v>
      </c>
      <c r="O806" s="89">
        <f t="shared" si="109"/>
        <v>6.6310168941876251</v>
      </c>
      <c r="P806" s="97">
        <f t="shared" si="110"/>
        <v>4.0010168941876261</v>
      </c>
      <c r="Q806" s="135">
        <f t="shared" si="113"/>
        <v>2.3387462589479746E-7</v>
      </c>
      <c r="R806" s="89">
        <f t="shared" si="113"/>
        <v>9.9766125374105188E-5</v>
      </c>
      <c r="S806" s="89">
        <f t="shared" si="114"/>
        <v>9.3325430079698966E-9</v>
      </c>
      <c r="T806" s="136">
        <f t="shared" si="114"/>
        <v>1.0715193052376028E-6</v>
      </c>
      <c r="U806" s="137">
        <f t="shared" si="115"/>
        <v>2.3387462589479747E-3</v>
      </c>
      <c r="V806" s="88">
        <f t="shared" si="111"/>
        <v>4.0289831058123733</v>
      </c>
      <c r="W806" s="86">
        <f t="shared" si="116"/>
        <v>0.66101689418762444</v>
      </c>
      <c r="X806" s="90">
        <f t="shared" si="112"/>
        <v>7.6612537410520251E-3</v>
      </c>
    </row>
    <row r="807" spans="13:24" x14ac:dyDescent="0.25">
      <c r="M807" s="91">
        <v>8.0399999999999991</v>
      </c>
      <c r="N807" s="89">
        <f t="shared" si="108"/>
        <v>5.9600000000000009</v>
      </c>
      <c r="O807" s="89">
        <f t="shared" si="109"/>
        <v>6.6409937733129176</v>
      </c>
      <c r="P807" s="97">
        <f t="shared" si="110"/>
        <v>4.0009937733129188</v>
      </c>
      <c r="Q807" s="135">
        <f t="shared" si="113"/>
        <v>2.2856315733302865E-7</v>
      </c>
      <c r="R807" s="89">
        <f t="shared" si="113"/>
        <v>9.977143684266678E-5</v>
      </c>
      <c r="S807" s="89">
        <f t="shared" si="114"/>
        <v>9.1201083935590851E-9</v>
      </c>
      <c r="T807" s="136">
        <f t="shared" si="114"/>
        <v>1.0964781961431813E-6</v>
      </c>
      <c r="U807" s="137">
        <f t="shared" si="115"/>
        <v>2.2856315733302906E-3</v>
      </c>
      <c r="V807" s="88">
        <f t="shared" si="111"/>
        <v>4.0390062266870803</v>
      </c>
      <c r="W807" s="86">
        <f t="shared" si="116"/>
        <v>0.68099377331291677</v>
      </c>
      <c r="X807" s="90">
        <f t="shared" si="112"/>
        <v>7.7143684266697092E-3</v>
      </c>
    </row>
    <row r="808" spans="13:24" x14ac:dyDescent="0.25">
      <c r="M808" s="91">
        <v>8.0500000000000007</v>
      </c>
      <c r="N808" s="89">
        <f t="shared" si="108"/>
        <v>5.9499999999999993</v>
      </c>
      <c r="O808" s="89">
        <f t="shared" si="109"/>
        <v>6.6509711775443172</v>
      </c>
      <c r="P808" s="97">
        <f t="shared" si="110"/>
        <v>4.000971177544316</v>
      </c>
      <c r="Q808" s="135">
        <f t="shared" si="113"/>
        <v>2.2337204613538446E-7</v>
      </c>
      <c r="R808" s="89">
        <f t="shared" si="113"/>
        <v>9.9776627953864676E-5</v>
      </c>
      <c r="S808" s="89">
        <f t="shared" si="114"/>
        <v>8.9125093813374133E-9</v>
      </c>
      <c r="T808" s="136">
        <f t="shared" si="114"/>
        <v>1.1220184543019635E-6</v>
      </c>
      <c r="U808" s="137">
        <f t="shared" si="115"/>
        <v>2.2337204613538434E-3</v>
      </c>
      <c r="V808" s="88">
        <f t="shared" si="111"/>
        <v>4.0490288224556847</v>
      </c>
      <c r="W808" s="86">
        <f t="shared" si="116"/>
        <v>0.70097117754431792</v>
      </c>
      <c r="X808" s="90">
        <f t="shared" si="112"/>
        <v>7.7662795386461564E-3</v>
      </c>
    </row>
    <row r="809" spans="13:24" x14ac:dyDescent="0.25">
      <c r="M809" s="91">
        <v>8.06</v>
      </c>
      <c r="N809" s="89">
        <f t="shared" si="108"/>
        <v>5.9399999999999995</v>
      </c>
      <c r="O809" s="89">
        <f t="shared" si="109"/>
        <v>6.6609490949823522</v>
      </c>
      <c r="P809" s="97">
        <f t="shared" si="110"/>
        <v>4.0009490949823521</v>
      </c>
      <c r="Q809" s="135">
        <f t="shared" si="113"/>
        <v>2.1829857714531368E-7</v>
      </c>
      <c r="R809" s="89">
        <f t="shared" si="113"/>
        <v>9.9781701422854504E-5</v>
      </c>
      <c r="S809" s="89">
        <f t="shared" si="114"/>
        <v>8.7096358995607965E-9</v>
      </c>
      <c r="T809" s="136">
        <f t="shared" si="114"/>
        <v>1.1481536214968825E-6</v>
      </c>
      <c r="U809" s="137">
        <f t="shared" si="115"/>
        <v>2.1829857714531407E-3</v>
      </c>
      <c r="V809" s="88">
        <f t="shared" si="111"/>
        <v>4.0590509050176484</v>
      </c>
      <c r="W809" s="86">
        <f t="shared" si="116"/>
        <v>0.72094909498235271</v>
      </c>
      <c r="X809" s="90">
        <f t="shared" si="112"/>
        <v>7.8170142285468591E-3</v>
      </c>
    </row>
    <row r="810" spans="13:24" x14ac:dyDescent="0.25">
      <c r="M810" s="91">
        <v>8.07</v>
      </c>
      <c r="N810" s="89">
        <f t="shared" si="108"/>
        <v>5.93</v>
      </c>
      <c r="O810" s="89">
        <f t="shared" si="109"/>
        <v>6.6709275139960278</v>
      </c>
      <c r="P810" s="97">
        <f t="shared" si="110"/>
        <v>4.0009275139960279</v>
      </c>
      <c r="Q810" s="135">
        <f t="shared" si="113"/>
        <v>2.1334009591299029E-7</v>
      </c>
      <c r="R810" s="89">
        <f t="shared" si="113"/>
        <v>9.9786659904086856E-5</v>
      </c>
      <c r="S810" s="89">
        <f t="shared" si="114"/>
        <v>8.5113803820237553E-9</v>
      </c>
      <c r="T810" s="136">
        <f t="shared" si="114"/>
        <v>1.1748975549395291E-6</v>
      </c>
      <c r="U810" s="137">
        <f t="shared" si="115"/>
        <v>2.1334009591299063E-3</v>
      </c>
      <c r="V810" s="88">
        <f t="shared" si="111"/>
        <v>4.0690724860039724</v>
      </c>
      <c r="W810" s="86">
        <f t="shared" si="116"/>
        <v>0.74092751399602808</v>
      </c>
      <c r="X810" s="90">
        <f t="shared" si="112"/>
        <v>7.8665990408700939E-3</v>
      </c>
    </row>
    <row r="811" spans="13:24" x14ac:dyDescent="0.25">
      <c r="M811" s="91">
        <v>8.08</v>
      </c>
      <c r="N811" s="89">
        <f t="shared" si="108"/>
        <v>5.92</v>
      </c>
      <c r="O811" s="89">
        <f t="shared" si="109"/>
        <v>6.6809064232168112</v>
      </c>
      <c r="P811" s="97">
        <f t="shared" si="110"/>
        <v>4.0009064232168114</v>
      </c>
      <c r="Q811" s="135">
        <f t="shared" si="113"/>
        <v>2.0849400736251495E-7</v>
      </c>
      <c r="R811" s="89">
        <f t="shared" si="113"/>
        <v>9.979150599263731E-5</v>
      </c>
      <c r="S811" s="89">
        <f t="shared" si="114"/>
        <v>8.3176377110267021E-9</v>
      </c>
      <c r="T811" s="136">
        <f t="shared" si="114"/>
        <v>1.2022644346174125E-6</v>
      </c>
      <c r="U811" s="137">
        <f t="shared" si="115"/>
        <v>2.0849400736251533E-3</v>
      </c>
      <c r="V811" s="88">
        <f t="shared" si="111"/>
        <v>4.0790935767831886</v>
      </c>
      <c r="W811" s="86">
        <f t="shared" si="116"/>
        <v>0.76090642321681123</v>
      </c>
      <c r="X811" s="90">
        <f t="shared" si="112"/>
        <v>7.915059926374847E-3</v>
      </c>
    </row>
    <row r="812" spans="13:24" x14ac:dyDescent="0.25">
      <c r="M812" s="91">
        <v>8.09</v>
      </c>
      <c r="N812" s="89">
        <f t="shared" si="108"/>
        <v>5.91</v>
      </c>
      <c r="O812" s="89">
        <f t="shared" si="109"/>
        <v>6.6908858115327625</v>
      </c>
      <c r="P812" s="97">
        <f t="shared" si="110"/>
        <v>4.000885811532763</v>
      </c>
      <c r="Q812" s="135">
        <f t="shared" si="113"/>
        <v>2.0375777448726083E-7</v>
      </c>
      <c r="R812" s="89">
        <f t="shared" si="113"/>
        <v>9.9796242225512629E-5</v>
      </c>
      <c r="S812" s="89">
        <f t="shared" si="114"/>
        <v>8.1283051616409861E-9</v>
      </c>
      <c r="T812" s="136">
        <f t="shared" si="114"/>
        <v>1.230268770812379E-6</v>
      </c>
      <c r="U812" s="137">
        <f t="shared" si="115"/>
        <v>2.0375777448726103E-3</v>
      </c>
      <c r="V812" s="88">
        <f t="shared" si="111"/>
        <v>4.0891141884672368</v>
      </c>
      <c r="W812" s="86">
        <f t="shared" si="116"/>
        <v>0.78088581153276238</v>
      </c>
      <c r="X812" s="90">
        <f t="shared" si="112"/>
        <v>7.96242225512739E-3</v>
      </c>
    </row>
    <row r="813" spans="13:24" x14ac:dyDescent="0.25">
      <c r="M813" s="91">
        <v>8.1</v>
      </c>
      <c r="N813" s="89">
        <f t="shared" si="108"/>
        <v>5.9</v>
      </c>
      <c r="O813" s="89">
        <f t="shared" si="109"/>
        <v>6.7008656680827929</v>
      </c>
      <c r="P813" s="97">
        <f t="shared" si="110"/>
        <v>4.0008656680827936</v>
      </c>
      <c r="Q813" s="135">
        <f t="shared" si="113"/>
        <v>1.9912891707283207E-7</v>
      </c>
      <c r="R813" s="89">
        <f t="shared" si="113"/>
        <v>9.980087108292713E-5</v>
      </c>
      <c r="S813" s="89">
        <f t="shared" si="114"/>
        <v>7.9432823472428087E-9</v>
      </c>
      <c r="T813" s="136">
        <f t="shared" si="114"/>
        <v>1.2589254117941642E-6</v>
      </c>
      <c r="U813" s="137">
        <f t="shared" si="115"/>
        <v>1.9912891707283215E-3</v>
      </c>
      <c r="V813" s="88">
        <f t="shared" si="111"/>
        <v>4.099134331917206</v>
      </c>
      <c r="W813" s="86">
        <f t="shared" si="116"/>
        <v>0.80086566808279258</v>
      </c>
      <c r="X813" s="90">
        <f t="shared" si="112"/>
        <v>8.0087108292716779E-3</v>
      </c>
    </row>
    <row r="814" spans="13:24" x14ac:dyDescent="0.25">
      <c r="M814" s="91">
        <v>8.11</v>
      </c>
      <c r="N814" s="89">
        <f t="shared" si="108"/>
        <v>5.8900000000000006</v>
      </c>
      <c r="O814" s="89">
        <f t="shared" si="109"/>
        <v>6.7108459822510476</v>
      </c>
      <c r="P814" s="97">
        <f t="shared" si="110"/>
        <v>4.0008459822510485</v>
      </c>
      <c r="Q814" s="135">
        <f t="shared" si="113"/>
        <v>1.9460501044709853E-7</v>
      </c>
      <c r="R814" s="89">
        <f t="shared" si="113"/>
        <v>9.9805394989552863E-5</v>
      </c>
      <c r="S814" s="89">
        <f t="shared" si="114"/>
        <v>7.7624711662869124E-9</v>
      </c>
      <c r="T814" s="136">
        <f t="shared" si="114"/>
        <v>1.2882495516931309E-6</v>
      </c>
      <c r="U814" s="137">
        <f t="shared" si="115"/>
        <v>1.9460501044709861E-3</v>
      </c>
      <c r="V814" s="88">
        <f t="shared" si="111"/>
        <v>4.1091540177489509</v>
      </c>
      <c r="W814" s="86">
        <f t="shared" si="116"/>
        <v>0.82084598225104699</v>
      </c>
      <c r="X814" s="90">
        <f t="shared" si="112"/>
        <v>8.0539498955290133E-3</v>
      </c>
    </row>
    <row r="815" spans="13:24" x14ac:dyDescent="0.25">
      <c r="M815" s="91">
        <v>8.1199999999999992</v>
      </c>
      <c r="N815" s="89">
        <f t="shared" si="108"/>
        <v>5.8800000000000008</v>
      </c>
      <c r="O815" s="89">
        <f t="shared" si="109"/>
        <v>6.720826743661414</v>
      </c>
      <c r="P815" s="97">
        <f t="shared" si="110"/>
        <v>4.0008267436614151</v>
      </c>
      <c r="Q815" s="135">
        <f t="shared" si="113"/>
        <v>1.9018368425677618E-7</v>
      </c>
      <c r="R815" s="89">
        <f t="shared" si="113"/>
        <v>9.9809816315743076E-5</v>
      </c>
      <c r="S815" s="89">
        <f t="shared" si="114"/>
        <v>7.585775750291834E-9</v>
      </c>
      <c r="T815" s="136">
        <f t="shared" si="114"/>
        <v>1.3182567385564038E-6</v>
      </c>
      <c r="U815" s="137">
        <f t="shared" si="115"/>
        <v>1.9018368425677645E-3</v>
      </c>
      <c r="V815" s="88">
        <f t="shared" si="111"/>
        <v>4.1191732563385841</v>
      </c>
      <c r="W815" s="86">
        <f t="shared" si="116"/>
        <v>0.84082674366141319</v>
      </c>
      <c r="X815" s="90">
        <f t="shared" si="112"/>
        <v>8.0981631574322359E-3</v>
      </c>
    </row>
    <row r="816" spans="13:24" x14ac:dyDescent="0.25">
      <c r="M816" s="91">
        <v>8.1300000000000008</v>
      </c>
      <c r="N816" s="89">
        <f t="shared" si="108"/>
        <v>5.8699999999999992</v>
      </c>
      <c r="O816" s="89">
        <f t="shared" si="109"/>
        <v>6.7308079421721487</v>
      </c>
      <c r="P816" s="97">
        <f t="shared" si="110"/>
        <v>4.0008079421721483</v>
      </c>
      <c r="Q816" s="135">
        <f t="shared" si="113"/>
        <v>1.8586262127003286E-7</v>
      </c>
      <c r="R816" s="89">
        <f t="shared" si="113"/>
        <v>9.9814137378729923E-5</v>
      </c>
      <c r="S816" s="89">
        <f t="shared" si="114"/>
        <v>7.4131024130091451E-9</v>
      </c>
      <c r="T816" s="136">
        <f t="shared" si="114"/>
        <v>1.348962882591655E-6</v>
      </c>
      <c r="U816" s="137">
        <f t="shared" si="115"/>
        <v>1.8586262127003295E-3</v>
      </c>
      <c r="V816" s="88">
        <f t="shared" si="111"/>
        <v>4.1291920578278525</v>
      </c>
      <c r="W816" s="86">
        <f t="shared" si="116"/>
        <v>0.86080794217214951</v>
      </c>
      <c r="X816" s="90">
        <f t="shared" si="112"/>
        <v>8.1413737872996703E-3</v>
      </c>
    </row>
    <row r="817" spans="13:24" x14ac:dyDescent="0.25">
      <c r="M817" s="91">
        <v>8.14</v>
      </c>
      <c r="N817" s="89">
        <f t="shared" si="108"/>
        <v>5.8599999999999994</v>
      </c>
      <c r="O817" s="89">
        <f t="shared" si="109"/>
        <v>6.7407895678706211</v>
      </c>
      <c r="P817" s="97">
        <f t="shared" si="110"/>
        <v>4.00078956787062</v>
      </c>
      <c r="Q817" s="135">
        <f t="shared" si="113"/>
        <v>1.8163955620461477E-7</v>
      </c>
      <c r="R817" s="89">
        <f t="shared" si="113"/>
        <v>9.9818360443795334E-5</v>
      </c>
      <c r="S817" s="89">
        <f t="shared" si="114"/>
        <v>7.2443596007498722E-9</v>
      </c>
      <c r="T817" s="136">
        <f t="shared" si="114"/>
        <v>1.3803842646028861E-6</v>
      </c>
      <c r="U817" s="137">
        <f t="shared" si="115"/>
        <v>1.8163955620461485E-3</v>
      </c>
      <c r="V817" s="88">
        <f t="shared" si="111"/>
        <v>4.1392104321293806</v>
      </c>
      <c r="W817" s="86">
        <f t="shared" si="116"/>
        <v>0.88078956787062168</v>
      </c>
      <c r="X817" s="90">
        <f t="shared" si="112"/>
        <v>8.1836044379538508E-3</v>
      </c>
    </row>
    <row r="818" spans="13:24" x14ac:dyDescent="0.25">
      <c r="M818" s="91">
        <v>8.15</v>
      </c>
      <c r="N818" s="89">
        <f t="shared" si="108"/>
        <v>5.85</v>
      </c>
      <c r="O818" s="89">
        <f t="shared" si="109"/>
        <v>6.7507716110681812</v>
      </c>
      <c r="P818" s="97">
        <f t="shared" si="110"/>
        <v>4.0007716110681812</v>
      </c>
      <c r="Q818" s="135">
        <f t="shared" si="113"/>
        <v>1.7751227458097545E-7</v>
      </c>
      <c r="R818" s="89">
        <f t="shared" si="113"/>
        <v>9.9822487725418897E-5</v>
      </c>
      <c r="S818" s="89">
        <f t="shared" si="114"/>
        <v>7.0794578438413513E-9</v>
      </c>
      <c r="T818" s="136">
        <f t="shared" si="114"/>
        <v>1.4125375446227531E-6</v>
      </c>
      <c r="U818" s="137">
        <f t="shared" si="115"/>
        <v>1.7751227458097569E-3</v>
      </c>
      <c r="V818" s="88">
        <f t="shared" si="111"/>
        <v>4.1492283889318191</v>
      </c>
      <c r="W818" s="86">
        <f t="shared" si="116"/>
        <v>0.9007716110681816</v>
      </c>
      <c r="X818" s="90">
        <f t="shared" si="112"/>
        <v>8.2248772541902437E-3</v>
      </c>
    </row>
    <row r="819" spans="13:24" x14ac:dyDescent="0.25">
      <c r="M819" s="91">
        <v>8.16</v>
      </c>
      <c r="N819" s="89">
        <f t="shared" si="108"/>
        <v>5.84</v>
      </c>
      <c r="O819" s="89">
        <f t="shared" si="109"/>
        <v>6.7607540622951365</v>
      </c>
      <c r="P819" s="97">
        <f t="shared" si="110"/>
        <v>4.0007540622951367</v>
      </c>
      <c r="Q819" s="135">
        <f t="shared" si="113"/>
        <v>1.7347861159992875E-7</v>
      </c>
      <c r="R819" s="89">
        <f t="shared" si="113"/>
        <v>9.9826521388400014E-5</v>
      </c>
      <c r="S819" s="89">
        <f t="shared" si="114"/>
        <v>6.9183097091893386E-9</v>
      </c>
      <c r="T819" s="136">
        <f t="shared" si="114"/>
        <v>1.445439770745926E-6</v>
      </c>
      <c r="U819" s="137">
        <f t="shared" si="115"/>
        <v>1.7347861159992886E-3</v>
      </c>
      <c r="V819" s="88">
        <f t="shared" si="111"/>
        <v>4.1592459377048634</v>
      </c>
      <c r="W819" s="86">
        <f t="shared" si="116"/>
        <v>0.92075406229513668</v>
      </c>
      <c r="X819" s="90">
        <f t="shared" si="112"/>
        <v>8.2652138840007116E-3</v>
      </c>
    </row>
    <row r="820" spans="13:24" x14ac:dyDescent="0.25">
      <c r="M820" s="91">
        <v>8.17</v>
      </c>
      <c r="N820" s="89">
        <f t="shared" si="108"/>
        <v>5.83</v>
      </c>
      <c r="O820" s="89">
        <f t="shared" si="109"/>
        <v>6.770736912295833</v>
      </c>
      <c r="P820" s="97">
        <f t="shared" si="110"/>
        <v>4.0007369122958334</v>
      </c>
      <c r="Q820" s="135">
        <f t="shared" si="113"/>
        <v>1.6953645104432734E-7</v>
      </c>
      <c r="R820" s="89">
        <f t="shared" si="113"/>
        <v>9.9830463548955593E-5</v>
      </c>
      <c r="S820" s="89">
        <f t="shared" si="114"/>
        <v>6.7608297539198166E-9</v>
      </c>
      <c r="T820" s="136">
        <f t="shared" si="114"/>
        <v>1.4791083881682056E-6</v>
      </c>
      <c r="U820" s="137">
        <f t="shared" si="115"/>
        <v>1.6953645104432747E-3</v>
      </c>
      <c r="V820" s="88">
        <f t="shared" si="111"/>
        <v>4.1692630877041665</v>
      </c>
      <c r="W820" s="86">
        <f t="shared" si="116"/>
        <v>0.94073691229583289</v>
      </c>
      <c r="X820" s="90">
        <f t="shared" si="112"/>
        <v>8.3046354895567262E-3</v>
      </c>
    </row>
    <row r="821" spans="13:24" x14ac:dyDescent="0.25">
      <c r="M821" s="91">
        <v>8.18</v>
      </c>
      <c r="N821" s="89">
        <f t="shared" si="108"/>
        <v>5.82</v>
      </c>
      <c r="O821" s="89">
        <f t="shared" si="109"/>
        <v>6.7807201520238554</v>
      </c>
      <c r="P821" s="97">
        <f t="shared" si="110"/>
        <v>4.0007201520238551</v>
      </c>
      <c r="Q821" s="135">
        <f t="shared" si="113"/>
        <v>1.6568372420429103E-7</v>
      </c>
      <c r="R821" s="89">
        <f t="shared" si="113"/>
        <v>9.9834316275795653E-5</v>
      </c>
      <c r="S821" s="89">
        <f t="shared" si="114"/>
        <v>6.6069344800759602E-9</v>
      </c>
      <c r="T821" s="136">
        <f t="shared" si="114"/>
        <v>1.5135612484362063E-6</v>
      </c>
      <c r="U821" s="137">
        <f t="shared" si="115"/>
        <v>1.6568372420429111E-3</v>
      </c>
      <c r="V821" s="88">
        <f t="shared" si="111"/>
        <v>4.1792798479761446</v>
      </c>
      <c r="W821" s="86">
        <f t="shared" si="116"/>
        <v>0.96072015202385508</v>
      </c>
      <c r="X821" s="90">
        <f t="shared" si="112"/>
        <v>8.3431627579570889E-3</v>
      </c>
    </row>
    <row r="822" spans="13:24" x14ac:dyDescent="0.25">
      <c r="M822" s="91">
        <v>8.19</v>
      </c>
      <c r="N822" s="89">
        <f t="shared" si="108"/>
        <v>5.8100000000000005</v>
      </c>
      <c r="O822" s="89">
        <f t="shared" si="109"/>
        <v>6.7907037726373263</v>
      </c>
      <c r="P822" s="97">
        <f t="shared" si="110"/>
        <v>4.0007037726373271</v>
      </c>
      <c r="Q822" s="135">
        <f t="shared" si="113"/>
        <v>1.6191840882551183E-7</v>
      </c>
      <c r="R822" s="89">
        <f t="shared" si="113"/>
        <v>9.983808159117452E-5</v>
      </c>
      <c r="S822" s="89">
        <f t="shared" si="114"/>
        <v>6.456542290346555E-9</v>
      </c>
      <c r="T822" s="136">
        <f t="shared" si="114"/>
        <v>1.5488166189124767E-6</v>
      </c>
      <c r="U822" s="137">
        <f t="shared" si="115"/>
        <v>1.6191840882551177E-3</v>
      </c>
      <c r="V822" s="88">
        <f t="shared" si="111"/>
        <v>4.1892962273626724</v>
      </c>
      <c r="W822" s="86">
        <f t="shared" si="116"/>
        <v>0.98070377263732578</v>
      </c>
      <c r="X822" s="90">
        <f t="shared" si="112"/>
        <v>8.3808159117448825E-3</v>
      </c>
    </row>
    <row r="823" spans="13:24" x14ac:dyDescent="0.25">
      <c r="M823" s="91">
        <v>8.1999999999999993</v>
      </c>
      <c r="N823" s="89">
        <f t="shared" si="108"/>
        <v>5.8000000000000007</v>
      </c>
      <c r="O823" s="89">
        <f t="shared" si="109"/>
        <v>6.8006877654943176</v>
      </c>
      <c r="P823" s="97">
        <f t="shared" si="110"/>
        <v>4.0006877654943187</v>
      </c>
      <c r="Q823" s="135">
        <f t="shared" si="113"/>
        <v>1.582385280801722E-7</v>
      </c>
      <c r="R823" s="89">
        <f t="shared" si="113"/>
        <v>9.9841761471919762E-5</v>
      </c>
      <c r="S823" s="89">
        <f t="shared" si="114"/>
        <v>6.3095734448019329E-9</v>
      </c>
      <c r="T823" s="136">
        <f t="shared" si="114"/>
        <v>1.5848931924611084E-6</v>
      </c>
      <c r="U823" s="137">
        <f t="shared" si="115"/>
        <v>1.582385280801723E-3</v>
      </c>
      <c r="V823" s="88">
        <f t="shared" si="111"/>
        <v>4.1993122345056806</v>
      </c>
      <c r="W823" s="86">
        <f t="shared" si="116"/>
        <v>1.0006877654943169</v>
      </c>
      <c r="X823" s="90">
        <f t="shared" si="112"/>
        <v>8.4176147191982777E-3</v>
      </c>
    </row>
    <row r="824" spans="13:24" x14ac:dyDescent="0.25">
      <c r="M824" s="91">
        <v>8.2100000000000009</v>
      </c>
      <c r="N824" s="89">
        <f t="shared" si="108"/>
        <v>5.7899999999999991</v>
      </c>
      <c r="O824" s="89">
        <f t="shared" si="109"/>
        <v>6.810672122148353</v>
      </c>
      <c r="P824" s="97">
        <f t="shared" si="110"/>
        <v>4.0006721221483525</v>
      </c>
      <c r="Q824" s="135">
        <f t="shared" si="113"/>
        <v>1.5464214956002481E-7</v>
      </c>
      <c r="R824" s="89">
        <f t="shared" si="113"/>
        <v>9.9845357850439863E-5</v>
      </c>
      <c r="S824" s="89">
        <f t="shared" si="114"/>
        <v>6.1659500186148016E-9</v>
      </c>
      <c r="T824" s="136">
        <f t="shared" si="114"/>
        <v>1.6218100973589304E-6</v>
      </c>
      <c r="U824" s="137">
        <f t="shared" si="115"/>
        <v>1.5464214956002499E-3</v>
      </c>
      <c r="V824" s="88">
        <f t="shared" si="111"/>
        <v>4.2093278778516483</v>
      </c>
      <c r="W824" s="86">
        <f t="shared" si="116"/>
        <v>1.0206721221483539</v>
      </c>
      <c r="X824" s="90">
        <f t="shared" si="112"/>
        <v>8.4535785043997509E-3</v>
      </c>
    </row>
    <row r="825" spans="13:24" x14ac:dyDescent="0.25">
      <c r="M825" s="91">
        <v>8.2200000000000006</v>
      </c>
      <c r="N825" s="89">
        <f t="shared" si="108"/>
        <v>5.7799999999999994</v>
      </c>
      <c r="O825" s="89">
        <f t="shared" si="109"/>
        <v>6.820656834344013</v>
      </c>
      <c r="P825" s="97">
        <f t="shared" si="110"/>
        <v>4.0006568343440119</v>
      </c>
      <c r="Q825" s="135">
        <f t="shared" si="113"/>
        <v>1.5112738429117958E-7</v>
      </c>
      <c r="R825" s="89">
        <f t="shared" si="113"/>
        <v>9.984887261570876E-5</v>
      </c>
      <c r="S825" s="89">
        <f t="shared" si="114"/>
        <v>6.0255958607435582E-9</v>
      </c>
      <c r="T825" s="136">
        <f t="shared" si="114"/>
        <v>1.6595869074375609E-6</v>
      </c>
      <c r="U825" s="137">
        <f t="shared" si="115"/>
        <v>1.5112738429117968E-3</v>
      </c>
      <c r="V825" s="88">
        <f t="shared" si="111"/>
        <v>4.2193431656559888</v>
      </c>
      <c r="W825" s="86">
        <f t="shared" si="116"/>
        <v>1.0406568343440137</v>
      </c>
      <c r="X825" s="90">
        <f t="shared" si="112"/>
        <v>8.4887261570882038E-3</v>
      </c>
    </row>
    <row r="826" spans="13:24" x14ac:dyDescent="0.25">
      <c r="M826" s="91">
        <v>8.23</v>
      </c>
      <c r="N826" s="89">
        <f t="shared" si="108"/>
        <v>5.77</v>
      </c>
      <c r="O826" s="89">
        <f t="shared" si="109"/>
        <v>6.8306418940126488</v>
      </c>
      <c r="P826" s="97">
        <f t="shared" si="110"/>
        <v>4.0006418940126487</v>
      </c>
      <c r="Q826" s="135">
        <f t="shared" si="113"/>
        <v>1.4769238577015914E-7</v>
      </c>
      <c r="R826" s="89">
        <f t="shared" si="113"/>
        <v>9.9852307614229721E-5</v>
      </c>
      <c r="S826" s="89">
        <f t="shared" si="114"/>
        <v>5.8884365535558713E-9</v>
      </c>
      <c r="T826" s="136">
        <f t="shared" si="114"/>
        <v>1.6982436524617446E-6</v>
      </c>
      <c r="U826" s="137">
        <f t="shared" si="115"/>
        <v>1.4769238577015931E-3</v>
      </c>
      <c r="V826" s="88">
        <f t="shared" si="111"/>
        <v>4.2293581059873517</v>
      </c>
      <c r="W826" s="86">
        <f t="shared" si="116"/>
        <v>1.0606418940126492</v>
      </c>
      <c r="X826" s="90">
        <f t="shared" si="112"/>
        <v>8.5230761422984067E-3</v>
      </c>
    </row>
    <row r="827" spans="13:24" x14ac:dyDescent="0.25">
      <c r="M827" s="91">
        <v>8.24</v>
      </c>
      <c r="N827" s="89">
        <f t="shared" si="108"/>
        <v>5.76</v>
      </c>
      <c r="O827" s="89">
        <f t="shared" si="109"/>
        <v>6.8406272932681773</v>
      </c>
      <c r="P827" s="97">
        <f t="shared" si="110"/>
        <v>4.0006272932681775</v>
      </c>
      <c r="Q827" s="135">
        <f t="shared" si="113"/>
        <v>1.4433534902079336E-7</v>
      </c>
      <c r="R827" s="89">
        <f t="shared" si="113"/>
        <v>9.985566465097915E-5</v>
      </c>
      <c r="S827" s="89">
        <f t="shared" si="114"/>
        <v>5.754399373371552E-9</v>
      </c>
      <c r="T827" s="136">
        <f t="shared" si="114"/>
        <v>1.7378008287493753E-6</v>
      </c>
      <c r="U827" s="137">
        <f t="shared" si="115"/>
        <v>1.4433534902079344E-3</v>
      </c>
      <c r="V827" s="88">
        <f t="shared" si="111"/>
        <v>4.2393727067318228</v>
      </c>
      <c r="W827" s="86">
        <f t="shared" si="116"/>
        <v>1.0806272932681775</v>
      </c>
      <c r="X827" s="90">
        <f t="shared" si="112"/>
        <v>8.5566465097920655E-3</v>
      </c>
    </row>
    <row r="828" spans="13:24" x14ac:dyDescent="0.25">
      <c r="M828" s="91">
        <v>8.25</v>
      </c>
      <c r="N828" s="89">
        <f t="shared" si="108"/>
        <v>5.75</v>
      </c>
      <c r="O828" s="89">
        <f t="shared" si="109"/>
        <v>6.8506130244029748</v>
      </c>
      <c r="P828" s="97">
        <f t="shared" si="110"/>
        <v>4.0006130244029752</v>
      </c>
      <c r="Q828" s="135">
        <f t="shared" si="113"/>
        <v>1.4105450967152587E-7</v>
      </c>
      <c r="R828" s="89">
        <f t="shared" si="113"/>
        <v>9.9858945490328301E-5</v>
      </c>
      <c r="S828" s="89">
        <f t="shared" si="114"/>
        <v>5.6234132519034744E-9</v>
      </c>
      <c r="T828" s="136">
        <f t="shared" si="114"/>
        <v>1.7782794100389193E-6</v>
      </c>
      <c r="U828" s="137">
        <f t="shared" si="115"/>
        <v>1.4105450967152613E-3</v>
      </c>
      <c r="V828" s="88">
        <f t="shared" si="111"/>
        <v>4.2493869755970248</v>
      </c>
      <c r="W828" s="86">
        <f t="shared" si="116"/>
        <v>1.1006130244029748</v>
      </c>
      <c r="X828" s="90">
        <f t="shared" si="112"/>
        <v>8.5894549032847385E-3</v>
      </c>
    </row>
    <row r="829" spans="13:24" x14ac:dyDescent="0.25">
      <c r="M829" s="91">
        <v>8.26</v>
      </c>
      <c r="N829" s="89">
        <f t="shared" si="108"/>
        <v>5.74</v>
      </c>
      <c r="O829" s="89">
        <f t="shared" si="109"/>
        <v>6.8605990798838619</v>
      </c>
      <c r="P829" s="97">
        <f t="shared" si="110"/>
        <v>4.0005990798838624</v>
      </c>
      <c r="Q829" s="135">
        <f t="shared" si="113"/>
        <v>1.3784814305271371E-7</v>
      </c>
      <c r="R829" s="89">
        <f t="shared" si="113"/>
        <v>9.986215185694717E-5</v>
      </c>
      <c r="S829" s="89">
        <f t="shared" si="114"/>
        <v>5.4954087385762298E-9</v>
      </c>
      <c r="T829" s="136">
        <f t="shared" si="114"/>
        <v>1.8197008586099798E-6</v>
      </c>
      <c r="U829" s="137">
        <f t="shared" si="115"/>
        <v>1.3784814305271387E-3</v>
      </c>
      <c r="V829" s="88">
        <f t="shared" si="111"/>
        <v>4.2594009201161374</v>
      </c>
      <c r="W829" s="86">
        <f t="shared" si="116"/>
        <v>1.1205990798838616</v>
      </c>
      <c r="X829" s="90">
        <f t="shared" si="112"/>
        <v>8.6215185694728611E-3</v>
      </c>
    </row>
    <row r="830" spans="13:24" x14ac:dyDescent="0.25">
      <c r="M830" s="91">
        <v>8.27</v>
      </c>
      <c r="N830" s="89">
        <f t="shared" si="108"/>
        <v>5.73</v>
      </c>
      <c r="O830" s="89">
        <f t="shared" si="109"/>
        <v>6.8705854523481769</v>
      </c>
      <c r="P830" s="97">
        <f t="shared" si="110"/>
        <v>4.0005854523481776</v>
      </c>
      <c r="Q830" s="135">
        <f t="shared" si="113"/>
        <v>1.3471456331351085E-7</v>
      </c>
      <c r="R830" s="89">
        <f t="shared" si="113"/>
        <v>9.9865285436686379E-5</v>
      </c>
      <c r="S830" s="89">
        <f t="shared" si="114"/>
        <v>5.3703179637025321E-9</v>
      </c>
      <c r="T830" s="136">
        <f t="shared" si="114"/>
        <v>1.8620871366628635E-6</v>
      </c>
      <c r="U830" s="137">
        <f t="shared" si="115"/>
        <v>1.34714563313511E-3</v>
      </c>
      <c r="V830" s="88">
        <f t="shared" si="111"/>
        <v>4.2694145476518219</v>
      </c>
      <c r="W830" s="86">
        <f t="shared" si="116"/>
        <v>1.1405854523481764</v>
      </c>
      <c r="X830" s="90">
        <f t="shared" si="112"/>
        <v>8.6528543668648907E-3</v>
      </c>
    </row>
    <row r="831" spans="13:24" x14ac:dyDescent="0.25">
      <c r="M831" s="91">
        <v>8.2799999999999994</v>
      </c>
      <c r="N831" s="89">
        <f t="shared" si="108"/>
        <v>5.7200000000000006</v>
      </c>
      <c r="O831" s="89">
        <f t="shared" si="109"/>
        <v>6.88057213459994</v>
      </c>
      <c r="P831" s="97">
        <f t="shared" si="110"/>
        <v>4.000572134599941</v>
      </c>
      <c r="Q831" s="135">
        <f t="shared" si="113"/>
        <v>1.316521225579336E-7</v>
      </c>
      <c r="R831" s="89">
        <f t="shared" si="113"/>
        <v>9.986834787744209E-5</v>
      </c>
      <c r="S831" s="89">
        <f t="shared" si="114"/>
        <v>5.2480746024977305E-9</v>
      </c>
      <c r="T831" s="136">
        <f t="shared" si="114"/>
        <v>1.9054607179632428E-6</v>
      </c>
      <c r="U831" s="137">
        <f t="shared" si="115"/>
        <v>1.3165212255793358E-3</v>
      </c>
      <c r="V831" s="88">
        <f t="shared" si="111"/>
        <v>4.2794278654000584</v>
      </c>
      <c r="W831" s="86">
        <f t="shared" si="116"/>
        <v>1.1605721345999394</v>
      </c>
      <c r="X831" s="90">
        <f t="shared" si="112"/>
        <v>8.6834787744206644E-3</v>
      </c>
    </row>
    <row r="832" spans="13:24" x14ac:dyDescent="0.25">
      <c r="M832" s="91">
        <v>8.2899999999999991</v>
      </c>
      <c r="N832" s="89">
        <f t="shared" si="108"/>
        <v>5.7100000000000009</v>
      </c>
      <c r="O832" s="89">
        <f t="shared" si="109"/>
        <v>6.8905591196060989</v>
      </c>
      <c r="P832" s="97">
        <f t="shared" si="110"/>
        <v>4.0005591196060992</v>
      </c>
      <c r="Q832" s="135">
        <f t="shared" si="113"/>
        <v>1.2865920999971006E-7</v>
      </c>
      <c r="R832" s="89">
        <f t="shared" si="113"/>
        <v>9.9871340790000365E-5</v>
      </c>
      <c r="S832" s="89">
        <f t="shared" si="114"/>
        <v>5.1286138399136542E-9</v>
      </c>
      <c r="T832" s="136">
        <f t="shared" si="114"/>
        <v>1.9498445997580374E-6</v>
      </c>
      <c r="U832" s="137">
        <f t="shared" si="115"/>
        <v>1.2865920999970996E-3</v>
      </c>
      <c r="V832" s="88">
        <f t="shared" si="111"/>
        <v>4.2894408803938999</v>
      </c>
      <c r="W832" s="86">
        <f t="shared" si="116"/>
        <v>1.1805591196060981</v>
      </c>
      <c r="X832" s="90">
        <f t="shared" si="112"/>
        <v>8.7134079000029015E-3</v>
      </c>
    </row>
    <row r="833" spans="13:24" x14ac:dyDescent="0.25">
      <c r="M833" s="91">
        <v>8.3000000000000007</v>
      </c>
      <c r="N833" s="89">
        <f t="shared" si="108"/>
        <v>5.6999999999999993</v>
      </c>
      <c r="O833" s="89">
        <f t="shared" si="109"/>
        <v>6.9005464004928578</v>
      </c>
      <c r="P833" s="97">
        <f t="shared" si="110"/>
        <v>4.0005464004928575</v>
      </c>
      <c r="Q833" s="135">
        <f t="shared" si="113"/>
        <v>1.2573425113552905E-7</v>
      </c>
      <c r="R833" s="89">
        <f t="shared" si="113"/>
        <v>9.9874265748864347E-5</v>
      </c>
      <c r="S833" s="89">
        <f t="shared" si="114"/>
        <v>5.0118723362727114E-9</v>
      </c>
      <c r="T833" s="136">
        <f t="shared" si="114"/>
        <v>1.9952623149688817E-6</v>
      </c>
      <c r="U833" s="137">
        <f t="shared" si="115"/>
        <v>1.2573425113552919E-3</v>
      </c>
      <c r="V833" s="88">
        <f t="shared" si="111"/>
        <v>4.2994535995071432</v>
      </c>
      <c r="W833" s="86">
        <f t="shared" si="116"/>
        <v>1.2005464004928585</v>
      </c>
      <c r="X833" s="90">
        <f t="shared" si="112"/>
        <v>8.7426574886447089E-3</v>
      </c>
    </row>
    <row r="834" spans="13:24" x14ac:dyDescent="0.25">
      <c r="M834" s="91">
        <v>8.31</v>
      </c>
      <c r="N834" s="89">
        <f t="shared" si="108"/>
        <v>5.6899999999999995</v>
      </c>
      <c r="O834" s="89">
        <f t="shared" si="109"/>
        <v>6.9105339705420894</v>
      </c>
      <c r="P834" s="97">
        <f t="shared" si="110"/>
        <v>4.0005339705420884</v>
      </c>
      <c r="Q834" s="135">
        <f t="shared" si="113"/>
        <v>1.228757069363025E-7</v>
      </c>
      <c r="R834" s="89">
        <f t="shared" si="113"/>
        <v>9.9877124293063776E-5</v>
      </c>
      <c r="S834" s="89">
        <f t="shared" si="114"/>
        <v>4.8977881936844509E-9</v>
      </c>
      <c r="T834" s="136">
        <f t="shared" si="114"/>
        <v>2.0417379446695277E-6</v>
      </c>
      <c r="U834" s="137">
        <f t="shared" si="115"/>
        <v>1.2287570693630242E-3</v>
      </c>
      <c r="V834" s="88">
        <f t="shared" si="111"/>
        <v>4.3094660294579121</v>
      </c>
      <c r="W834" s="86">
        <f t="shared" si="116"/>
        <v>1.2205339705420899</v>
      </c>
      <c r="X834" s="90">
        <f t="shared" si="112"/>
        <v>8.7712429306369757E-3</v>
      </c>
    </row>
    <row r="835" spans="13:24" x14ac:dyDescent="0.25">
      <c r="M835" s="91">
        <v>8.32</v>
      </c>
      <c r="N835" s="89">
        <f t="shared" ref="N835:N898" si="117">14-M835</f>
        <v>5.68</v>
      </c>
      <c r="O835" s="89">
        <f t="shared" ref="O835:O898" si="118">-LOG(10^-$B$3/(1+10^(M835-$A$3)))</f>
        <v>6.9205218231878307</v>
      </c>
      <c r="P835" s="97">
        <f t="shared" ref="P835:P898" si="119">-LOG(10^-$B$3/(1+10^($A$3-M835)))</f>
        <v>4.0005218231878308</v>
      </c>
      <c r="Q835" s="135">
        <f t="shared" si="113"/>
        <v>1.2008207305607062E-7</v>
      </c>
      <c r="R835" s="89">
        <f t="shared" si="113"/>
        <v>9.9879917926943776E-5</v>
      </c>
      <c r="S835" s="89">
        <f t="shared" si="114"/>
        <v>4.7863009232263728E-9</v>
      </c>
      <c r="T835" s="136">
        <f t="shared" si="114"/>
        <v>2.0892961308540377E-6</v>
      </c>
      <c r="U835" s="137">
        <f t="shared" si="115"/>
        <v>1.2008207305607081E-3</v>
      </c>
      <c r="V835" s="88">
        <f t="shared" ref="V835:V898" si="120">ABS(P835-M835)</f>
        <v>4.3194781768121695</v>
      </c>
      <c r="W835" s="86">
        <f t="shared" si="116"/>
        <v>1.240521823187831</v>
      </c>
      <c r="X835" s="90">
        <f t="shared" ref="X835:X898" si="121">ABS($J$2-U835)</f>
        <v>8.7991792694392928E-3</v>
      </c>
    </row>
    <row r="836" spans="13:24" x14ac:dyDescent="0.25">
      <c r="M836" s="91">
        <v>8.33</v>
      </c>
      <c r="N836" s="89">
        <f t="shared" si="117"/>
        <v>5.67</v>
      </c>
      <c r="O836" s="89">
        <f t="shared" si="118"/>
        <v>6.9305099520128515</v>
      </c>
      <c r="P836" s="97">
        <f t="shared" si="119"/>
        <v>4.0005099520128518</v>
      </c>
      <c r="Q836" s="135">
        <f t="shared" ref="Q836:R899" si="122">10^-O836</f>
        <v>1.1735187905817978E-7</v>
      </c>
      <c r="R836" s="89">
        <f t="shared" si="122"/>
        <v>9.9882648120941725E-5</v>
      </c>
      <c r="S836" s="89">
        <f t="shared" ref="S836:T899" si="123">10^-M836</f>
        <v>4.6773514128719724E-9</v>
      </c>
      <c r="T836" s="136">
        <f t="shared" si="123"/>
        <v>2.1379620895022301E-6</v>
      </c>
      <c r="U836" s="137">
        <f t="shared" ref="U836:U899" si="124">Q836/(Q836+R836)</f>
        <v>1.1735187905817989E-3</v>
      </c>
      <c r="V836" s="88">
        <f t="shared" si="120"/>
        <v>4.3294900479871483</v>
      </c>
      <c r="W836" s="86">
        <f t="shared" ref="W836:W899" si="125">ABS(O836-N836)</f>
        <v>1.2605099520128515</v>
      </c>
      <c r="X836" s="90">
        <f t="shared" si="121"/>
        <v>8.8264812094182021E-3</v>
      </c>
    </row>
    <row r="837" spans="13:24" x14ac:dyDescent="0.25">
      <c r="M837" s="91">
        <v>8.34</v>
      </c>
      <c r="N837" s="89">
        <f t="shared" si="117"/>
        <v>5.66</v>
      </c>
      <c r="O837" s="89">
        <f t="shared" si="118"/>
        <v>6.9404983507453011</v>
      </c>
      <c r="P837" s="97">
        <f t="shared" si="119"/>
        <v>4.0004983507453016</v>
      </c>
      <c r="Q837" s="135">
        <f t="shared" si="122"/>
        <v>1.146836876583767E-7</v>
      </c>
      <c r="R837" s="89">
        <f t="shared" si="122"/>
        <v>9.9885316312341496E-5</v>
      </c>
      <c r="S837" s="89">
        <f t="shared" si="123"/>
        <v>4.570881896148741E-9</v>
      </c>
      <c r="T837" s="136">
        <f t="shared" si="123"/>
        <v>2.1877616239495505E-6</v>
      </c>
      <c r="U837" s="137">
        <f t="shared" si="124"/>
        <v>1.1468368765837685E-3</v>
      </c>
      <c r="V837" s="88">
        <f t="shared" si="120"/>
        <v>4.3395016492546983</v>
      </c>
      <c r="W837" s="86">
        <f t="shared" si="125"/>
        <v>1.2804983507453009</v>
      </c>
      <c r="X837" s="90">
        <f t="shared" si="121"/>
        <v>8.8531631234162311E-3</v>
      </c>
    </row>
    <row r="838" spans="13:24" x14ac:dyDescent="0.25">
      <c r="M838" s="91">
        <v>8.35</v>
      </c>
      <c r="N838" s="89">
        <f t="shared" si="117"/>
        <v>5.65</v>
      </c>
      <c r="O838" s="89">
        <f t="shared" si="118"/>
        <v>6.9504870132554304</v>
      </c>
      <c r="P838" s="97">
        <f t="shared" si="119"/>
        <v>4.0004870132554311</v>
      </c>
      <c r="Q838" s="135">
        <f t="shared" si="122"/>
        <v>1.1207609398445957E-7</v>
      </c>
      <c r="R838" s="89">
        <f t="shared" si="122"/>
        <v>9.9887923906015455E-5</v>
      </c>
      <c r="S838" s="89">
        <f t="shared" si="123"/>
        <v>4.4668359215096219E-9</v>
      </c>
      <c r="T838" s="136">
        <f t="shared" si="123"/>
        <v>2.2387211385683329E-6</v>
      </c>
      <c r="U838" s="137">
        <f t="shared" si="124"/>
        <v>1.1207609398445966E-3</v>
      </c>
      <c r="V838" s="88">
        <f t="shared" si="120"/>
        <v>4.3495129867445685</v>
      </c>
      <c r="W838" s="86">
        <f t="shared" si="125"/>
        <v>1.30048701325543</v>
      </c>
      <c r="X838" s="90">
        <f t="shared" si="121"/>
        <v>8.8792390601554038E-3</v>
      </c>
    </row>
    <row r="839" spans="13:24" x14ac:dyDescent="0.25">
      <c r="M839" s="91">
        <v>8.36</v>
      </c>
      <c r="N839" s="89">
        <f t="shared" si="117"/>
        <v>5.6400000000000006</v>
      </c>
      <c r="O839" s="89">
        <f t="shared" si="118"/>
        <v>6.9604759335523871</v>
      </c>
      <c r="P839" s="97">
        <f t="shared" si="119"/>
        <v>4.0004759335523881</v>
      </c>
      <c r="Q839" s="135">
        <f t="shared" si="122"/>
        <v>1.0952772485214487E-7</v>
      </c>
      <c r="R839" s="89">
        <f t="shared" si="122"/>
        <v>9.9890472275147626E-5</v>
      </c>
      <c r="S839" s="89">
        <f t="shared" si="123"/>
        <v>4.3651583224016521E-9</v>
      </c>
      <c r="T839" s="136">
        <f t="shared" si="123"/>
        <v>2.2908676527677663E-6</v>
      </c>
      <c r="U839" s="137">
        <f t="shared" si="124"/>
        <v>1.0952772485214512E-3</v>
      </c>
      <c r="V839" s="88">
        <f t="shared" si="120"/>
        <v>4.3595240664476114</v>
      </c>
      <c r="W839" s="86">
        <f t="shared" si="125"/>
        <v>1.3204759335523866</v>
      </c>
      <c r="X839" s="90">
        <f t="shared" si="121"/>
        <v>8.9047227514785499E-3</v>
      </c>
    </row>
    <row r="840" spans="13:24" x14ac:dyDescent="0.25">
      <c r="M840" s="91">
        <v>8.3699999999999992</v>
      </c>
      <c r="N840" s="89">
        <f t="shared" si="117"/>
        <v>5.6300000000000008</v>
      </c>
      <c r="O840" s="89">
        <f t="shared" si="118"/>
        <v>6.9704651057810825</v>
      </c>
      <c r="P840" s="97">
        <f t="shared" si="119"/>
        <v>4.0004651057810827</v>
      </c>
      <c r="Q840" s="135">
        <f t="shared" si="122"/>
        <v>1.070372380568034E-7</v>
      </c>
      <c r="R840" s="89">
        <f t="shared" si="122"/>
        <v>9.9892962761943138E-5</v>
      </c>
      <c r="S840" s="89">
        <f t="shared" si="123"/>
        <v>4.265795188015919E-9</v>
      </c>
      <c r="T840" s="136">
        <f t="shared" si="123"/>
        <v>2.344228815319915E-6</v>
      </c>
      <c r="U840" s="137">
        <f t="shared" si="124"/>
        <v>1.0703723805680348E-3</v>
      </c>
      <c r="V840" s="88">
        <f t="shared" si="120"/>
        <v>4.3695348942189165</v>
      </c>
      <c r="W840" s="86">
        <f t="shared" si="125"/>
        <v>1.3404651057810817</v>
      </c>
      <c r="X840" s="90">
        <f t="shared" si="121"/>
        <v>8.9296276194319648E-3</v>
      </c>
    </row>
    <row r="841" spans="13:24" x14ac:dyDescent="0.25">
      <c r="M841" s="91">
        <v>8.3800000000000008</v>
      </c>
      <c r="N841" s="89">
        <f t="shared" si="117"/>
        <v>5.6199999999999992</v>
      </c>
      <c r="O841" s="89">
        <f t="shared" si="118"/>
        <v>6.9804545242191294</v>
      </c>
      <c r="P841" s="97">
        <f t="shared" si="119"/>
        <v>4.0004545242191289</v>
      </c>
      <c r="Q841" s="135">
        <f t="shared" si="122"/>
        <v>1.0460332168073676E-7</v>
      </c>
      <c r="R841" s="89">
        <f t="shared" si="122"/>
        <v>9.9895396678319117E-5</v>
      </c>
      <c r="S841" s="89">
        <f t="shared" si="123"/>
        <v>4.1686938347033319E-9</v>
      </c>
      <c r="T841" s="136">
        <f t="shared" si="123"/>
        <v>2.3988329190194914E-6</v>
      </c>
      <c r="U841" s="137">
        <f t="shared" si="124"/>
        <v>1.046033216807369E-3</v>
      </c>
      <c r="V841" s="88">
        <f t="shared" si="120"/>
        <v>4.3795454757808718</v>
      </c>
      <c r="W841" s="86">
        <f t="shared" si="125"/>
        <v>1.3604545242191302</v>
      </c>
      <c r="X841" s="90">
        <f t="shared" si="121"/>
        <v>8.9539667831926312E-3</v>
      </c>
    </row>
    <row r="842" spans="13:24" x14ac:dyDescent="0.25">
      <c r="M842" s="91">
        <v>8.39</v>
      </c>
      <c r="N842" s="89">
        <f t="shared" si="117"/>
        <v>5.6099999999999994</v>
      </c>
      <c r="O842" s="89">
        <f t="shared" si="118"/>
        <v>6.9904441832738424</v>
      </c>
      <c r="P842" s="97">
        <f t="shared" si="119"/>
        <v>4.0004441832738422</v>
      </c>
      <c r="Q842" s="135">
        <f t="shared" si="122"/>
        <v>1.0222469341566496E-7</v>
      </c>
      <c r="R842" s="89">
        <f t="shared" si="122"/>
        <v>9.9897775306584174E-5</v>
      </c>
      <c r="S842" s="89">
        <f t="shared" si="123"/>
        <v>4.0738027780411214E-9</v>
      </c>
      <c r="T842" s="136">
        <f t="shared" si="123"/>
        <v>2.4547089156850314E-6</v>
      </c>
      <c r="U842" s="137">
        <f t="shared" si="124"/>
        <v>1.0222469341566512E-3</v>
      </c>
      <c r="V842" s="88">
        <f t="shared" si="120"/>
        <v>4.3895558167261584</v>
      </c>
      <c r="W842" s="86">
        <f t="shared" si="125"/>
        <v>1.380444183273843</v>
      </c>
      <c r="X842" s="90">
        <f t="shared" si="121"/>
        <v>8.9777530658433496E-3</v>
      </c>
    </row>
    <row r="843" spans="13:24" x14ac:dyDescent="0.25">
      <c r="M843" s="91">
        <v>8.4</v>
      </c>
      <c r="N843" s="89">
        <f t="shared" si="117"/>
        <v>5.6</v>
      </c>
      <c r="O843" s="89">
        <f t="shared" si="118"/>
        <v>7.0004340774793183</v>
      </c>
      <c r="P843" s="97">
        <f t="shared" si="119"/>
        <v>4.0004340774793183</v>
      </c>
      <c r="Q843" s="135">
        <f t="shared" si="122"/>
        <v>9.9900099900099829E-8</v>
      </c>
      <c r="R843" s="89">
        <f t="shared" si="122"/>
        <v>9.9900099900099805E-5</v>
      </c>
      <c r="S843" s="89">
        <f t="shared" si="123"/>
        <v>3.9810717055349665E-9</v>
      </c>
      <c r="T843" s="136">
        <f t="shared" si="123"/>
        <v>2.5118864315095806E-6</v>
      </c>
      <c r="U843" s="137">
        <f t="shared" si="124"/>
        <v>9.9900099900099922E-4</v>
      </c>
      <c r="V843" s="88">
        <f t="shared" si="120"/>
        <v>4.399565922520682</v>
      </c>
      <c r="W843" s="86">
        <f t="shared" si="125"/>
        <v>1.4004340774793187</v>
      </c>
      <c r="X843" s="90">
        <f t="shared" si="121"/>
        <v>9.0009990009990003E-3</v>
      </c>
    </row>
    <row r="844" spans="13:24" x14ac:dyDescent="0.25">
      <c r="M844" s="91">
        <v>8.41</v>
      </c>
      <c r="N844" s="89">
        <f t="shared" si="117"/>
        <v>5.59</v>
      </c>
      <c r="O844" s="89">
        <f t="shared" si="118"/>
        <v>7.0104242014935698</v>
      </c>
      <c r="P844" s="97">
        <f t="shared" si="119"/>
        <v>4.00042420149357</v>
      </c>
      <c r="Q844" s="135">
        <f t="shared" si="122"/>
        <v>9.7628316071296842E-8</v>
      </c>
      <c r="R844" s="89">
        <f t="shared" si="122"/>
        <v>9.9902371683928556E-5</v>
      </c>
      <c r="S844" s="89">
        <f t="shared" si="123"/>
        <v>3.8904514499428009E-9</v>
      </c>
      <c r="T844" s="136">
        <f t="shared" si="123"/>
        <v>2.5703957827688596E-6</v>
      </c>
      <c r="U844" s="137">
        <f t="shared" si="124"/>
        <v>9.7628316071296983E-4</v>
      </c>
      <c r="V844" s="88">
        <f t="shared" si="120"/>
        <v>4.4095757985064301</v>
      </c>
      <c r="W844" s="86">
        <f t="shared" si="125"/>
        <v>1.42042420149357</v>
      </c>
      <c r="X844" s="90">
        <f t="shared" si="121"/>
        <v>9.0237168392870298E-3</v>
      </c>
    </row>
    <row r="845" spans="13:24" x14ac:dyDescent="0.25">
      <c r="M845" s="91">
        <v>8.42</v>
      </c>
      <c r="N845" s="89">
        <f t="shared" si="117"/>
        <v>5.58</v>
      </c>
      <c r="O845" s="89">
        <f t="shared" si="118"/>
        <v>7.0204145500957242</v>
      </c>
      <c r="P845" s="97">
        <f t="shared" si="119"/>
        <v>4.0004145500957247</v>
      </c>
      <c r="Q845" s="135">
        <f t="shared" si="122"/>
        <v>9.5408144531469932E-8</v>
      </c>
      <c r="R845" s="89">
        <f t="shared" si="122"/>
        <v>9.9904591855468441E-5</v>
      </c>
      <c r="S845" s="89">
        <f t="shared" si="123"/>
        <v>3.8018939632056068E-9</v>
      </c>
      <c r="T845" s="136">
        <f t="shared" si="123"/>
        <v>2.630267991895377E-6</v>
      </c>
      <c r="U845" s="137">
        <f t="shared" si="124"/>
        <v>9.5408144531470022E-4</v>
      </c>
      <c r="V845" s="88">
        <f t="shared" si="120"/>
        <v>4.4195854499042753</v>
      </c>
      <c r="W845" s="86">
        <f t="shared" si="125"/>
        <v>1.4404145500957242</v>
      </c>
      <c r="X845" s="90">
        <f t="shared" si="121"/>
        <v>9.0459185546852994E-3</v>
      </c>
    </row>
    <row r="846" spans="13:24" x14ac:dyDescent="0.25">
      <c r="M846" s="91">
        <v>8.43</v>
      </c>
      <c r="N846" s="89">
        <f t="shared" si="117"/>
        <v>5.57</v>
      </c>
      <c r="O846" s="89">
        <f t="shared" si="118"/>
        <v>7.0304051181832952</v>
      </c>
      <c r="P846" s="97">
        <f t="shared" si="119"/>
        <v>4.0004051181832949</v>
      </c>
      <c r="Q846" s="135">
        <f t="shared" si="122"/>
        <v>9.3238414927967829E-8</v>
      </c>
      <c r="R846" s="89">
        <f t="shared" si="122"/>
        <v>9.9906761585072054E-5</v>
      </c>
      <c r="S846" s="89">
        <f t="shared" si="123"/>
        <v>3.7153522909717206E-9</v>
      </c>
      <c r="T846" s="136">
        <f t="shared" si="123"/>
        <v>2.6915348039269108E-6</v>
      </c>
      <c r="U846" s="137">
        <f t="shared" si="124"/>
        <v>9.3238414927967811E-4</v>
      </c>
      <c r="V846" s="88">
        <f t="shared" si="120"/>
        <v>4.4295948818167048</v>
      </c>
      <c r="W846" s="86">
        <f t="shared" si="125"/>
        <v>1.4604051181832949</v>
      </c>
      <c r="X846" s="90">
        <f t="shared" si="121"/>
        <v>9.0676158507203217E-3</v>
      </c>
    </row>
    <row r="847" spans="13:24" x14ac:dyDescent="0.25">
      <c r="M847" s="91">
        <v>8.44</v>
      </c>
      <c r="N847" s="89">
        <f t="shared" si="117"/>
        <v>5.5600000000000005</v>
      </c>
      <c r="O847" s="89">
        <f t="shared" si="118"/>
        <v>7.0403959007695001</v>
      </c>
      <c r="P847" s="97">
        <f t="shared" si="119"/>
        <v>4.0003959007695</v>
      </c>
      <c r="Q847" s="135">
        <f t="shared" si="122"/>
        <v>9.1117983347118258E-8</v>
      </c>
      <c r="R847" s="89">
        <f t="shared" si="122"/>
        <v>9.9908882016652931E-5</v>
      </c>
      <c r="S847" s="89">
        <f t="shared" si="123"/>
        <v>3.6307805477010094E-9</v>
      </c>
      <c r="T847" s="136">
        <f t="shared" si="123"/>
        <v>2.7542287033381612E-6</v>
      </c>
      <c r="U847" s="137">
        <f t="shared" si="124"/>
        <v>9.1117983347118218E-4</v>
      </c>
      <c r="V847" s="88">
        <f t="shared" si="120"/>
        <v>4.4396040992304995</v>
      </c>
      <c r="W847" s="86">
        <f t="shared" si="125"/>
        <v>1.4803959007694996</v>
      </c>
      <c r="X847" s="90">
        <f t="shared" si="121"/>
        <v>9.0888201665288177E-3</v>
      </c>
    </row>
    <row r="848" spans="13:24" x14ac:dyDescent="0.25">
      <c r="M848" s="91">
        <v>8.4499999999999993</v>
      </c>
      <c r="N848" s="89">
        <f t="shared" si="117"/>
        <v>5.5500000000000007</v>
      </c>
      <c r="O848" s="89">
        <f t="shared" si="118"/>
        <v>7.0503868929806544</v>
      </c>
      <c r="P848" s="97">
        <f t="shared" si="119"/>
        <v>4.0003868929806554</v>
      </c>
      <c r="Q848" s="135">
        <f t="shared" si="122"/>
        <v>8.9045731721441154E-8</v>
      </c>
      <c r="R848" s="89">
        <f t="shared" si="122"/>
        <v>9.9910954268278476E-5</v>
      </c>
      <c r="S848" s="89">
        <f t="shared" si="123"/>
        <v>3.5481338923357512E-9</v>
      </c>
      <c r="T848" s="136">
        <f t="shared" si="123"/>
        <v>2.8183829312644479E-6</v>
      </c>
      <c r="U848" s="137">
        <f t="shared" si="124"/>
        <v>8.9045731721441228E-4</v>
      </c>
      <c r="V848" s="88">
        <f t="shared" si="120"/>
        <v>4.4496131070193439</v>
      </c>
      <c r="W848" s="86">
        <f t="shared" si="125"/>
        <v>1.5003868929806536</v>
      </c>
      <c r="X848" s="90">
        <f t="shared" si="121"/>
        <v>9.1095426827855885E-3</v>
      </c>
    </row>
    <row r="849" spans="13:24" x14ac:dyDescent="0.25">
      <c r="M849" s="91">
        <v>8.4600000000000009</v>
      </c>
      <c r="N849" s="89">
        <f t="shared" si="117"/>
        <v>5.5399999999999991</v>
      </c>
      <c r="O849" s="89">
        <f t="shared" si="118"/>
        <v>7.0603780900536126</v>
      </c>
      <c r="P849" s="97">
        <f t="shared" si="119"/>
        <v>4.0003780900536121</v>
      </c>
      <c r="Q849" s="135">
        <f t="shared" si="122"/>
        <v>8.702056724995577E-8</v>
      </c>
      <c r="R849" s="89">
        <f t="shared" si="122"/>
        <v>9.9912979432749844E-5</v>
      </c>
      <c r="S849" s="89">
        <f t="shared" si="123"/>
        <v>3.467368504525301E-9</v>
      </c>
      <c r="T849" s="136">
        <f t="shared" si="123"/>
        <v>2.8840315031266101E-6</v>
      </c>
      <c r="U849" s="137">
        <f t="shared" si="124"/>
        <v>8.7020567249955938E-4</v>
      </c>
      <c r="V849" s="88">
        <f t="shared" si="120"/>
        <v>4.4596219099463887</v>
      </c>
      <c r="W849" s="86">
        <f t="shared" si="125"/>
        <v>1.5203780900536135</v>
      </c>
      <c r="X849" s="90">
        <f t="shared" si="121"/>
        <v>9.1297943275004401E-3</v>
      </c>
    </row>
    <row r="850" spans="13:24" x14ac:dyDescent="0.25">
      <c r="M850" s="91">
        <v>8.4700000000000006</v>
      </c>
      <c r="N850" s="89">
        <f t="shared" si="117"/>
        <v>5.5299999999999994</v>
      </c>
      <c r="O850" s="89">
        <f t="shared" si="118"/>
        <v>7.0703694873332648</v>
      </c>
      <c r="P850" s="97">
        <f t="shared" si="119"/>
        <v>4.0003694873332636</v>
      </c>
      <c r="Q850" s="135">
        <f t="shared" si="122"/>
        <v>8.5041421831293982E-8</v>
      </c>
      <c r="R850" s="89">
        <f t="shared" si="122"/>
        <v>9.9914958578168684E-5</v>
      </c>
      <c r="S850" s="89">
        <f t="shared" si="123"/>
        <v>3.3884415613920108E-9</v>
      </c>
      <c r="T850" s="136">
        <f t="shared" si="123"/>
        <v>2.9512092266663841E-6</v>
      </c>
      <c r="U850" s="137">
        <f t="shared" si="124"/>
        <v>8.5041421831293996E-4</v>
      </c>
      <c r="V850" s="88">
        <f t="shared" si="120"/>
        <v>4.4696305126667371</v>
      </c>
      <c r="W850" s="86">
        <f t="shared" si="125"/>
        <v>1.5403694873332654</v>
      </c>
      <c r="X850" s="90">
        <f t="shared" si="121"/>
        <v>9.1495857816870606E-3</v>
      </c>
    </row>
    <row r="851" spans="13:24" x14ac:dyDescent="0.25">
      <c r="M851" s="91">
        <v>8.48</v>
      </c>
      <c r="N851" s="89">
        <f t="shared" si="117"/>
        <v>5.52</v>
      </c>
      <c r="O851" s="89">
        <f t="shared" si="118"/>
        <v>7.0803610802701025</v>
      </c>
      <c r="P851" s="97">
        <f t="shared" si="119"/>
        <v>4.0003610802701015</v>
      </c>
      <c r="Q851" s="135">
        <f t="shared" si="122"/>
        <v>8.3107251509345622E-8</v>
      </c>
      <c r="R851" s="89">
        <f t="shared" si="122"/>
        <v>9.9916892748490622E-5</v>
      </c>
      <c r="S851" s="89">
        <f t="shared" si="123"/>
        <v>3.3113112148258966E-9</v>
      </c>
      <c r="T851" s="136">
        <f t="shared" si="123"/>
        <v>3.0199517204020146E-6</v>
      </c>
      <c r="U851" s="137">
        <f t="shared" si="124"/>
        <v>8.3107251509345647E-4</v>
      </c>
      <c r="V851" s="88">
        <f t="shared" si="120"/>
        <v>4.4796389197298989</v>
      </c>
      <c r="W851" s="86">
        <f t="shared" si="125"/>
        <v>1.5603610802701029</v>
      </c>
      <c r="X851" s="90">
        <f t="shared" si="121"/>
        <v>9.1689274849065441E-3</v>
      </c>
    </row>
    <row r="852" spans="13:24" x14ac:dyDescent="0.25">
      <c r="M852" s="91">
        <v>8.49</v>
      </c>
      <c r="N852" s="89">
        <f t="shared" si="117"/>
        <v>5.51</v>
      </c>
      <c r="O852" s="89">
        <f t="shared" si="118"/>
        <v>7.0903528644178291</v>
      </c>
      <c r="P852" s="97">
        <f t="shared" si="119"/>
        <v>4.0003528644178292</v>
      </c>
      <c r="Q852" s="135">
        <f t="shared" si="122"/>
        <v>8.1217035931172647E-8</v>
      </c>
      <c r="R852" s="89">
        <f t="shared" si="122"/>
        <v>9.9918782964068703E-5</v>
      </c>
      <c r="S852" s="89">
        <f t="shared" si="123"/>
        <v>3.2359365692962808E-9</v>
      </c>
      <c r="T852" s="136">
        <f t="shared" si="123"/>
        <v>3.0902954325135885E-6</v>
      </c>
      <c r="U852" s="137">
        <f t="shared" si="124"/>
        <v>8.1217035931172759E-4</v>
      </c>
      <c r="V852" s="88">
        <f t="shared" si="120"/>
        <v>4.489647135582171</v>
      </c>
      <c r="W852" s="86">
        <f t="shared" si="125"/>
        <v>1.5803528644178293</v>
      </c>
      <c r="X852" s="90">
        <f t="shared" si="121"/>
        <v>9.1878296406882731E-3</v>
      </c>
    </row>
    <row r="853" spans="13:24" x14ac:dyDescent="0.25">
      <c r="M853" s="91">
        <v>8.5</v>
      </c>
      <c r="N853" s="89">
        <f t="shared" si="117"/>
        <v>5.5</v>
      </c>
      <c r="O853" s="89">
        <f t="shared" si="118"/>
        <v>7.1003448354310255</v>
      </c>
      <c r="P853" s="97">
        <f t="shared" si="119"/>
        <v>4.0003448354310249</v>
      </c>
      <c r="Q853" s="135">
        <f t="shared" si="122"/>
        <v>7.9369777816924288E-8</v>
      </c>
      <c r="R853" s="89">
        <f t="shared" si="122"/>
        <v>9.9920630222183039E-5</v>
      </c>
      <c r="S853" s="89">
        <f t="shared" si="123"/>
        <v>3.1622776601683779E-9</v>
      </c>
      <c r="T853" s="136">
        <f t="shared" si="123"/>
        <v>3.1622776601683767E-6</v>
      </c>
      <c r="U853" s="137">
        <f t="shared" si="124"/>
        <v>7.9369777816924313E-4</v>
      </c>
      <c r="V853" s="88">
        <f t="shared" si="120"/>
        <v>4.4996551645689751</v>
      </c>
      <c r="W853" s="86">
        <f t="shared" si="125"/>
        <v>1.6003448354310255</v>
      </c>
      <c r="X853" s="90">
        <f t="shared" si="121"/>
        <v>9.2063022218307564E-3</v>
      </c>
    </row>
    <row r="854" spans="13:24" x14ac:dyDescent="0.25">
      <c r="M854" s="91">
        <v>8.51</v>
      </c>
      <c r="N854" s="89">
        <f t="shared" si="117"/>
        <v>5.49</v>
      </c>
      <c r="O854" s="89">
        <f t="shared" si="118"/>
        <v>7.1103369890628656</v>
      </c>
      <c r="P854" s="97">
        <f t="shared" si="119"/>
        <v>4.0003369890628653</v>
      </c>
      <c r="Q854" s="135">
        <f t="shared" si="122"/>
        <v>7.7564502441496191E-8</v>
      </c>
      <c r="R854" s="89">
        <f t="shared" si="122"/>
        <v>9.9922435497558503E-5</v>
      </c>
      <c r="S854" s="89">
        <f t="shared" si="123"/>
        <v>3.0902954325135894E-9</v>
      </c>
      <c r="T854" s="136">
        <f t="shared" si="123"/>
        <v>3.2359365692962801E-6</v>
      </c>
      <c r="U854" s="137">
        <f t="shared" si="124"/>
        <v>7.7564502441496185E-4</v>
      </c>
      <c r="V854" s="88">
        <f t="shared" si="120"/>
        <v>4.5096630109371345</v>
      </c>
      <c r="W854" s="86">
        <f t="shared" si="125"/>
        <v>1.6203369890628654</v>
      </c>
      <c r="X854" s="90">
        <f t="shared" si="121"/>
        <v>9.2243549755850387E-3</v>
      </c>
    </row>
    <row r="855" spans="13:24" x14ac:dyDescent="0.25">
      <c r="M855" s="91">
        <v>8.52</v>
      </c>
      <c r="N855" s="89">
        <f t="shared" si="117"/>
        <v>5.48</v>
      </c>
      <c r="O855" s="89">
        <f t="shared" si="118"/>
        <v>7.1203293211628917</v>
      </c>
      <c r="P855" s="97">
        <f t="shared" si="119"/>
        <v>4.0003293211628925</v>
      </c>
      <c r="Q855" s="135">
        <f t="shared" si="122"/>
        <v>7.5800257127679877E-8</v>
      </c>
      <c r="R855" s="89">
        <f t="shared" si="122"/>
        <v>9.99241997428722E-5</v>
      </c>
      <c r="S855" s="89">
        <f t="shared" si="123"/>
        <v>3.0199517204020151E-9</v>
      </c>
      <c r="T855" s="136">
        <f t="shared" si="123"/>
        <v>3.3113112148259022E-6</v>
      </c>
      <c r="U855" s="137">
        <f t="shared" si="124"/>
        <v>7.5800257127679965E-4</v>
      </c>
      <c r="V855" s="88">
        <f t="shared" si="120"/>
        <v>4.519670678837107</v>
      </c>
      <c r="W855" s="86">
        <f t="shared" si="125"/>
        <v>1.6403293211628913</v>
      </c>
      <c r="X855" s="90">
        <f t="shared" si="121"/>
        <v>9.2419974287232011E-3</v>
      </c>
    </row>
    <row r="856" spans="13:24" x14ac:dyDescent="0.25">
      <c r="M856" s="91">
        <v>8.5299999999999994</v>
      </c>
      <c r="N856" s="89">
        <f t="shared" si="117"/>
        <v>5.4700000000000006</v>
      </c>
      <c r="O856" s="89">
        <f t="shared" si="118"/>
        <v>7.1303218276748321</v>
      </c>
      <c r="P856" s="97">
        <f t="shared" si="119"/>
        <v>4.0003218276748322</v>
      </c>
      <c r="Q856" s="135">
        <f t="shared" si="122"/>
        <v>7.4076110750556526E-8</v>
      </c>
      <c r="R856" s="89">
        <f t="shared" si="122"/>
        <v>9.9925923889249328E-5</v>
      </c>
      <c r="S856" s="89">
        <f t="shared" si="123"/>
        <v>2.9512092266663855E-9</v>
      </c>
      <c r="T856" s="136">
        <f t="shared" si="123"/>
        <v>3.3884415613920161E-6</v>
      </c>
      <c r="U856" s="137">
        <f t="shared" si="124"/>
        <v>7.4076110750556613E-4</v>
      </c>
      <c r="V856" s="88">
        <f t="shared" si="120"/>
        <v>4.5296781723251671</v>
      </c>
      <c r="W856" s="86">
        <f t="shared" si="125"/>
        <v>1.6603218276748315</v>
      </c>
      <c r="X856" s="90">
        <f t="shared" si="121"/>
        <v>9.2592388924944338E-3</v>
      </c>
    </row>
    <row r="857" spans="13:24" x14ac:dyDescent="0.25">
      <c r="M857" s="91">
        <v>8.5399999999999991</v>
      </c>
      <c r="N857" s="89">
        <f t="shared" si="117"/>
        <v>5.4600000000000009</v>
      </c>
      <c r="O857" s="89">
        <f t="shared" si="118"/>
        <v>7.1403145046344676</v>
      </c>
      <c r="P857" s="97">
        <f t="shared" si="119"/>
        <v>4.0003145046344688</v>
      </c>
      <c r="Q857" s="135">
        <f t="shared" si="122"/>
        <v>7.2391153252891495E-8</v>
      </c>
      <c r="R857" s="89">
        <f t="shared" si="122"/>
        <v>9.9927608846747033E-5</v>
      </c>
      <c r="S857" s="89">
        <f t="shared" si="123"/>
        <v>2.8840315031266055E-9</v>
      </c>
      <c r="T857" s="136">
        <f t="shared" si="123"/>
        <v>3.4673685045253063E-6</v>
      </c>
      <c r="U857" s="137">
        <f t="shared" si="124"/>
        <v>7.2391153252891554E-4</v>
      </c>
      <c r="V857" s="88">
        <f t="shared" si="120"/>
        <v>4.5396854953655303</v>
      </c>
      <c r="W857" s="86">
        <f t="shared" si="125"/>
        <v>1.6803145046344667</v>
      </c>
      <c r="X857" s="90">
        <f t="shared" si="121"/>
        <v>9.2760884674710845E-3</v>
      </c>
    </row>
    <row r="858" spans="13:24" x14ac:dyDescent="0.25">
      <c r="M858" s="91">
        <v>8.5500000000000007</v>
      </c>
      <c r="N858" s="89">
        <f t="shared" si="117"/>
        <v>5.4499999999999993</v>
      </c>
      <c r="O858" s="89">
        <f t="shared" si="118"/>
        <v>7.1503073481675576</v>
      </c>
      <c r="P858" s="97">
        <f t="shared" si="119"/>
        <v>4.0003073481675573</v>
      </c>
      <c r="Q858" s="135">
        <f t="shared" si="122"/>
        <v>7.0744495171288747E-8</v>
      </c>
      <c r="R858" s="89">
        <f t="shared" si="122"/>
        <v>9.9929255504828502E-5</v>
      </c>
      <c r="S858" s="89">
        <f t="shared" si="123"/>
        <v>2.818382931264444E-9</v>
      </c>
      <c r="T858" s="136">
        <f t="shared" si="123"/>
        <v>3.5481338923357567E-6</v>
      </c>
      <c r="U858" s="137">
        <f t="shared" si="124"/>
        <v>7.0744495171288894E-4</v>
      </c>
      <c r="V858" s="88">
        <f t="shared" si="120"/>
        <v>4.5496926518324434</v>
      </c>
      <c r="W858" s="86">
        <f t="shared" si="125"/>
        <v>1.7003073481675584</v>
      </c>
      <c r="X858" s="90">
        <f t="shared" si="121"/>
        <v>9.2925550482871114E-3</v>
      </c>
    </row>
    <row r="859" spans="13:24" x14ac:dyDescent="0.25">
      <c r="M859" s="91">
        <v>8.56</v>
      </c>
      <c r="N859" s="89">
        <f t="shared" si="117"/>
        <v>5.4399999999999995</v>
      </c>
      <c r="O859" s="89">
        <f t="shared" si="118"/>
        <v>7.1603003544877879</v>
      </c>
      <c r="P859" s="97">
        <f t="shared" si="119"/>
        <v>4.0003003544877869</v>
      </c>
      <c r="Q859" s="135">
        <f t="shared" si="122"/>
        <v>6.9135267172880343E-8</v>
      </c>
      <c r="R859" s="89">
        <f t="shared" si="122"/>
        <v>9.9930864732827147E-5</v>
      </c>
      <c r="S859" s="89">
        <f t="shared" si="123"/>
        <v>2.7542287033381568E-9</v>
      </c>
      <c r="T859" s="136">
        <f t="shared" si="123"/>
        <v>3.6307805477010154E-6</v>
      </c>
      <c r="U859" s="137">
        <f t="shared" si="124"/>
        <v>6.9135267172880323E-4</v>
      </c>
      <c r="V859" s="88">
        <f t="shared" si="120"/>
        <v>4.5596996455122136</v>
      </c>
      <c r="W859" s="86">
        <f t="shared" si="125"/>
        <v>1.7203003544877884</v>
      </c>
      <c r="X859" s="90">
        <f t="shared" si="121"/>
        <v>9.3086473282711964E-3</v>
      </c>
    </row>
    <row r="860" spans="13:24" x14ac:dyDescent="0.25">
      <c r="M860" s="91">
        <v>8.57</v>
      </c>
      <c r="N860" s="89">
        <f t="shared" si="117"/>
        <v>5.43</v>
      </c>
      <c r="O860" s="89">
        <f t="shared" si="118"/>
        <v>7.1702935198947966</v>
      </c>
      <c r="P860" s="97">
        <f t="shared" si="119"/>
        <v>4.0002935198947958</v>
      </c>
      <c r="Q860" s="135">
        <f t="shared" si="122"/>
        <v>6.7562619602312041E-8</v>
      </c>
      <c r="R860" s="89">
        <f t="shared" si="122"/>
        <v>9.9932437380397665E-5</v>
      </c>
      <c r="S860" s="89">
        <f t="shared" si="123"/>
        <v>2.6915348039269064E-9</v>
      </c>
      <c r="T860" s="136">
        <f t="shared" si="123"/>
        <v>3.7153522909717272E-6</v>
      </c>
      <c r="U860" s="137">
        <f t="shared" si="124"/>
        <v>6.7562619602312061E-4</v>
      </c>
      <c r="V860" s="88">
        <f t="shared" si="120"/>
        <v>4.5697064801052045</v>
      </c>
      <c r="W860" s="86">
        <f t="shared" si="125"/>
        <v>1.7402935198947969</v>
      </c>
      <c r="X860" s="90">
        <f t="shared" si="121"/>
        <v>9.3243738039768802E-3</v>
      </c>
    </row>
    <row r="861" spans="13:24" x14ac:dyDescent="0.25">
      <c r="M861" s="91">
        <v>8.58</v>
      </c>
      <c r="N861" s="89">
        <f t="shared" si="117"/>
        <v>5.42</v>
      </c>
      <c r="O861" s="89">
        <f t="shared" si="118"/>
        <v>7.1802868407722205</v>
      </c>
      <c r="P861" s="97">
        <f t="shared" si="119"/>
        <v>4.0002868407722207</v>
      </c>
      <c r="Q861" s="135">
        <f t="shared" si="122"/>
        <v>6.6025722038808425E-8</v>
      </c>
      <c r="R861" s="89">
        <f t="shared" si="122"/>
        <v>9.9933974277961103E-5</v>
      </c>
      <c r="S861" s="89">
        <f t="shared" si="123"/>
        <v>2.6302679918953733E-9</v>
      </c>
      <c r="T861" s="136">
        <f t="shared" si="123"/>
        <v>3.8018939632056064E-6</v>
      </c>
      <c r="U861" s="137">
        <f t="shared" si="124"/>
        <v>6.6025722038808487E-4</v>
      </c>
      <c r="V861" s="88">
        <f t="shared" si="120"/>
        <v>4.5797131592277793</v>
      </c>
      <c r="W861" s="86">
        <f t="shared" si="125"/>
        <v>1.7602868407722205</v>
      </c>
      <c r="X861" s="90">
        <f t="shared" si="121"/>
        <v>9.3397427796119148E-3</v>
      </c>
    </row>
    <row r="862" spans="13:24" x14ac:dyDescent="0.25">
      <c r="M862" s="91">
        <v>8.59</v>
      </c>
      <c r="N862" s="89">
        <f t="shared" si="117"/>
        <v>5.41</v>
      </c>
      <c r="O862" s="89">
        <f t="shared" si="118"/>
        <v>7.190280313585796</v>
      </c>
      <c r="P862" s="97">
        <f t="shared" si="119"/>
        <v>4.0002803135857956</v>
      </c>
      <c r="Q862" s="135">
        <f t="shared" si="122"/>
        <v>6.4523762863099547E-8</v>
      </c>
      <c r="R862" s="89">
        <f t="shared" si="122"/>
        <v>9.9935476237136909E-5</v>
      </c>
      <c r="S862" s="89">
        <f t="shared" si="123"/>
        <v>2.5703957827688555E-9</v>
      </c>
      <c r="T862" s="136">
        <f t="shared" si="123"/>
        <v>3.8904514499428E-6</v>
      </c>
      <c r="U862" s="137">
        <f t="shared" si="124"/>
        <v>6.4523762863099546E-4</v>
      </c>
      <c r="V862" s="88">
        <f t="shared" si="120"/>
        <v>4.5897196864142042</v>
      </c>
      <c r="W862" s="86">
        <f t="shared" si="125"/>
        <v>1.7802803135857959</v>
      </c>
      <c r="X862" s="90">
        <f t="shared" si="121"/>
        <v>9.3547623713690041E-3</v>
      </c>
    </row>
    <row r="863" spans="13:24" x14ac:dyDescent="0.25">
      <c r="M863" s="91">
        <v>8.6</v>
      </c>
      <c r="N863" s="89">
        <f t="shared" si="117"/>
        <v>5.4</v>
      </c>
      <c r="O863" s="89">
        <f t="shared" si="118"/>
        <v>7.2002739348814959</v>
      </c>
      <c r="P863" s="97">
        <f t="shared" si="119"/>
        <v>4.0002739348814966</v>
      </c>
      <c r="Q863" s="135">
        <f t="shared" si="122"/>
        <v>6.3055948833989277E-8</v>
      </c>
      <c r="R863" s="89">
        <f t="shared" si="122"/>
        <v>9.9936944051165868E-5</v>
      </c>
      <c r="S863" s="89">
        <f t="shared" si="123"/>
        <v>2.5118864315095812E-9</v>
      </c>
      <c r="T863" s="136">
        <f t="shared" si="123"/>
        <v>3.9810717055349657E-6</v>
      </c>
      <c r="U863" s="137">
        <f t="shared" si="124"/>
        <v>6.3055948833989363E-4</v>
      </c>
      <c r="V863" s="88">
        <f t="shared" si="120"/>
        <v>4.599726065118503</v>
      </c>
      <c r="W863" s="86">
        <f t="shared" si="125"/>
        <v>1.8002739348814956</v>
      </c>
      <c r="X863" s="90">
        <f t="shared" si="121"/>
        <v>9.3694405116601064E-3</v>
      </c>
    </row>
    <row r="864" spans="13:24" x14ac:dyDescent="0.25">
      <c r="M864" s="91">
        <v>8.61</v>
      </c>
      <c r="N864" s="89">
        <f t="shared" si="117"/>
        <v>5.3900000000000006</v>
      </c>
      <c r="O864" s="89">
        <f t="shared" si="118"/>
        <v>7.2102677012837191</v>
      </c>
      <c r="P864" s="97">
        <f t="shared" si="119"/>
        <v>4.00026770128372</v>
      </c>
      <c r="Q864" s="135">
        <f t="shared" si="122"/>
        <v>6.1621504674358844E-8</v>
      </c>
      <c r="R864" s="89">
        <f t="shared" si="122"/>
        <v>9.9938378495325445E-5</v>
      </c>
      <c r="S864" s="89">
        <f t="shared" si="123"/>
        <v>2.4547089156850316E-9</v>
      </c>
      <c r="T864" s="136">
        <f t="shared" si="123"/>
        <v>4.0738027780411196E-6</v>
      </c>
      <c r="U864" s="137">
        <f t="shared" si="124"/>
        <v>6.1621504674358961E-4</v>
      </c>
      <c r="V864" s="88">
        <f t="shared" si="120"/>
        <v>4.6097322987162794</v>
      </c>
      <c r="W864" s="86">
        <f t="shared" si="125"/>
        <v>1.8202677012837185</v>
      </c>
      <c r="X864" s="90">
        <f t="shared" si="121"/>
        <v>9.3837849532564105E-3</v>
      </c>
    </row>
    <row r="865" spans="13:24" x14ac:dyDescent="0.25">
      <c r="M865" s="91">
        <v>8.6199999999999992</v>
      </c>
      <c r="N865" s="89">
        <f t="shared" si="117"/>
        <v>5.3800000000000008</v>
      </c>
      <c r="O865" s="89">
        <f t="shared" si="118"/>
        <v>7.2202616094935079</v>
      </c>
      <c r="P865" s="97">
        <f t="shared" si="119"/>
        <v>4.0002616094935091</v>
      </c>
      <c r="Q865" s="135">
        <f t="shared" si="122"/>
        <v>6.0219672666400452E-8</v>
      </c>
      <c r="R865" s="89">
        <f t="shared" si="122"/>
        <v>9.9939780327333491E-5</v>
      </c>
      <c r="S865" s="89">
        <f t="shared" si="123"/>
        <v>2.3988329190194922E-9</v>
      </c>
      <c r="T865" s="136">
        <f t="shared" si="123"/>
        <v>4.1686938347033388E-6</v>
      </c>
      <c r="U865" s="137">
        <f t="shared" si="124"/>
        <v>6.0219672666400516E-4</v>
      </c>
      <c r="V865" s="88">
        <f t="shared" si="120"/>
        <v>4.6197383905064902</v>
      </c>
      <c r="W865" s="86">
        <f t="shared" si="125"/>
        <v>1.8402616094935071</v>
      </c>
      <c r="X865" s="90">
        <f t="shared" si="121"/>
        <v>9.3978032733359959E-3</v>
      </c>
    </row>
    <row r="866" spans="13:24" x14ac:dyDescent="0.25">
      <c r="M866" s="91">
        <v>8.6300000000000008</v>
      </c>
      <c r="N866" s="89">
        <f t="shared" si="117"/>
        <v>5.3699999999999992</v>
      </c>
      <c r="O866" s="89">
        <f t="shared" si="118"/>
        <v>7.2302556562868192</v>
      </c>
      <c r="P866" s="97">
        <f t="shared" si="119"/>
        <v>4.0002556562868188</v>
      </c>
      <c r="Q866" s="135">
        <f t="shared" si="122"/>
        <v>5.884971225587722E-8</v>
      </c>
      <c r="R866" s="89">
        <f t="shared" si="122"/>
        <v>9.9941150287743903E-5</v>
      </c>
      <c r="S866" s="89">
        <f t="shared" si="123"/>
        <v>2.3442288153199155E-9</v>
      </c>
      <c r="T866" s="136">
        <f t="shared" si="123"/>
        <v>4.2657951880159257E-6</v>
      </c>
      <c r="U866" s="137">
        <f t="shared" si="124"/>
        <v>5.8849712255877357E-4</v>
      </c>
      <c r="V866" s="88">
        <f t="shared" si="120"/>
        <v>4.629744343713182</v>
      </c>
      <c r="W866" s="86">
        <f t="shared" si="125"/>
        <v>1.86025565628682</v>
      </c>
      <c r="X866" s="90">
        <f t="shared" si="121"/>
        <v>9.411502877441226E-3</v>
      </c>
    </row>
    <row r="867" spans="13:24" x14ac:dyDescent="0.25">
      <c r="M867" s="91">
        <v>8.64</v>
      </c>
      <c r="N867" s="89">
        <f t="shared" si="117"/>
        <v>5.3599999999999994</v>
      </c>
      <c r="O867" s="89">
        <f t="shared" si="118"/>
        <v>7.240249838512816</v>
      </c>
      <c r="P867" s="97">
        <f t="shared" si="119"/>
        <v>4.0002498385128158</v>
      </c>
      <c r="Q867" s="135">
        <f t="shared" si="122"/>
        <v>5.7510899665215878E-8</v>
      </c>
      <c r="R867" s="89">
        <f t="shared" si="122"/>
        <v>9.9942489100334614E-5</v>
      </c>
      <c r="S867" s="89">
        <f t="shared" si="123"/>
        <v>2.2908676527677671E-9</v>
      </c>
      <c r="T867" s="136">
        <f t="shared" si="123"/>
        <v>4.3651583224016583E-6</v>
      </c>
      <c r="U867" s="137">
        <f t="shared" si="124"/>
        <v>5.7510899665215974E-4</v>
      </c>
      <c r="V867" s="88">
        <f t="shared" si="120"/>
        <v>4.6397501614871848</v>
      </c>
      <c r="W867" s="86">
        <f t="shared" si="125"/>
        <v>1.8802498385128166</v>
      </c>
      <c r="X867" s="90">
        <f t="shared" si="121"/>
        <v>9.4248910033478406E-3</v>
      </c>
    </row>
    <row r="868" spans="13:24" x14ac:dyDescent="0.25">
      <c r="M868" s="91">
        <v>8.65</v>
      </c>
      <c r="N868" s="89">
        <f t="shared" si="117"/>
        <v>5.35</v>
      </c>
      <c r="O868" s="89">
        <f t="shared" si="118"/>
        <v>7.2502441530922219</v>
      </c>
      <c r="P868" s="97">
        <f t="shared" si="119"/>
        <v>4.0002441530922219</v>
      </c>
      <c r="Q868" s="135">
        <f t="shared" si="122"/>
        <v>5.6202527515232746E-8</v>
      </c>
      <c r="R868" s="89">
        <f t="shared" si="122"/>
        <v>9.9943797472484684E-5</v>
      </c>
      <c r="S868" s="89">
        <f t="shared" si="123"/>
        <v>2.2387211385683336E-9</v>
      </c>
      <c r="T868" s="136">
        <f t="shared" si="123"/>
        <v>4.4668359215096296E-6</v>
      </c>
      <c r="U868" s="137">
        <f t="shared" si="124"/>
        <v>5.6202527515232796E-4</v>
      </c>
      <c r="V868" s="88">
        <f t="shared" si="120"/>
        <v>4.6497558469077784</v>
      </c>
      <c r="W868" s="86">
        <f t="shared" si="125"/>
        <v>1.9002441530922223</v>
      </c>
      <c r="X868" s="90">
        <f t="shared" si="121"/>
        <v>9.4379747248476715E-3</v>
      </c>
    </row>
    <row r="869" spans="13:24" x14ac:dyDescent="0.25">
      <c r="M869" s="91">
        <v>8.66</v>
      </c>
      <c r="N869" s="89">
        <f t="shared" si="117"/>
        <v>5.34</v>
      </c>
      <c r="O869" s="89">
        <f t="shared" si="118"/>
        <v>7.2602385970156931</v>
      </c>
      <c r="P869" s="97">
        <f t="shared" si="119"/>
        <v>4.0002385970156933</v>
      </c>
      <c r="Q869" s="135">
        <f t="shared" si="122"/>
        <v>5.4923904455312368E-8</v>
      </c>
      <c r="R869" s="89">
        <f t="shared" si="122"/>
        <v>9.9945076095544694E-5</v>
      </c>
      <c r="S869" s="89">
        <f t="shared" si="123"/>
        <v>2.1877616239495468E-9</v>
      </c>
      <c r="T869" s="136">
        <f t="shared" si="123"/>
        <v>4.5708818961487476E-6</v>
      </c>
      <c r="U869" s="137">
        <f t="shared" si="124"/>
        <v>5.4923904455312365E-4</v>
      </c>
      <c r="V869" s="88">
        <f t="shared" si="120"/>
        <v>4.6597614029843069</v>
      </c>
      <c r="W869" s="86">
        <f t="shared" si="125"/>
        <v>1.9202385970156932</v>
      </c>
      <c r="X869" s="90">
        <f t="shared" si="121"/>
        <v>9.4507609554468769E-3</v>
      </c>
    </row>
    <row r="870" spans="13:24" x14ac:dyDescent="0.25">
      <c r="M870" s="91">
        <v>8.67</v>
      </c>
      <c r="N870" s="89">
        <f t="shared" si="117"/>
        <v>5.33</v>
      </c>
      <c r="O870" s="89">
        <f t="shared" si="118"/>
        <v>7.2702331673422345</v>
      </c>
      <c r="P870" s="97">
        <f t="shared" si="119"/>
        <v>4.000233167342234</v>
      </c>
      <c r="Q870" s="135">
        <f t="shared" si="122"/>
        <v>5.3674354801846964E-8</v>
      </c>
      <c r="R870" s="89">
        <f t="shared" si="122"/>
        <v>9.9946325645198112E-5</v>
      </c>
      <c r="S870" s="89">
        <f t="shared" si="123"/>
        <v>2.137962089502227E-9</v>
      </c>
      <c r="T870" s="136">
        <f t="shared" si="123"/>
        <v>4.6773514128719787E-6</v>
      </c>
      <c r="U870" s="137">
        <f t="shared" si="124"/>
        <v>5.367435480184698E-4</v>
      </c>
      <c r="V870" s="88">
        <f t="shared" si="120"/>
        <v>4.6697668326577659</v>
      </c>
      <c r="W870" s="86">
        <f t="shared" si="125"/>
        <v>1.9402331673422344</v>
      </c>
      <c r="X870" s="90">
        <f t="shared" si="121"/>
        <v>9.4632564519815301E-3</v>
      </c>
    </row>
    <row r="871" spans="13:24" x14ac:dyDescent="0.25">
      <c r="M871" s="91">
        <v>8.68</v>
      </c>
      <c r="N871" s="89">
        <f t="shared" si="117"/>
        <v>5.32</v>
      </c>
      <c r="O871" s="89">
        <f t="shared" si="118"/>
        <v>7.2802278611976483</v>
      </c>
      <c r="P871" s="97">
        <f t="shared" si="119"/>
        <v>4.0002278611976481</v>
      </c>
      <c r="Q871" s="135">
        <f t="shared" si="122"/>
        <v>5.2453218184759694E-8</v>
      </c>
      <c r="R871" s="89">
        <f t="shared" si="122"/>
        <v>9.9947546781815297E-5</v>
      </c>
      <c r="S871" s="89">
        <f t="shared" si="123"/>
        <v>2.0892961308540348E-9</v>
      </c>
      <c r="T871" s="136">
        <f t="shared" si="123"/>
        <v>4.7863009232263716E-6</v>
      </c>
      <c r="U871" s="137">
        <f t="shared" si="124"/>
        <v>5.2453218184759663E-4</v>
      </c>
      <c r="V871" s="88">
        <f t="shared" si="120"/>
        <v>4.6797721388023517</v>
      </c>
      <c r="W871" s="86">
        <f t="shared" si="125"/>
        <v>1.960227861197648</v>
      </c>
      <c r="X871" s="90">
        <f t="shared" si="121"/>
        <v>9.475467818152403E-3</v>
      </c>
    </row>
    <row r="872" spans="13:24" x14ac:dyDescent="0.25">
      <c r="M872" s="91">
        <v>8.69</v>
      </c>
      <c r="N872" s="89">
        <f t="shared" si="117"/>
        <v>5.3100000000000005</v>
      </c>
      <c r="O872" s="89">
        <f t="shared" si="118"/>
        <v>7.2902226757730251</v>
      </c>
      <c r="P872" s="97">
        <f t="shared" si="119"/>
        <v>4.0002226757730259</v>
      </c>
      <c r="Q872" s="135">
        <f t="shared" si="122"/>
        <v>5.1259849201931601E-8</v>
      </c>
      <c r="R872" s="89">
        <f t="shared" si="122"/>
        <v>9.9948740150797964E-5</v>
      </c>
      <c r="S872" s="89">
        <f t="shared" si="123"/>
        <v>2.0417379446695247E-9</v>
      </c>
      <c r="T872" s="136">
        <f t="shared" si="123"/>
        <v>4.897788193684449E-6</v>
      </c>
      <c r="U872" s="137">
        <f t="shared" si="124"/>
        <v>5.1259849201931653E-4</v>
      </c>
      <c r="V872" s="88">
        <f t="shared" si="120"/>
        <v>4.6897773242269736</v>
      </c>
      <c r="W872" s="86">
        <f t="shared" si="125"/>
        <v>1.9802226757730246</v>
      </c>
      <c r="X872" s="90">
        <f t="shared" si="121"/>
        <v>9.487401507980683E-3</v>
      </c>
    </row>
    <row r="873" spans="13:24" x14ac:dyDescent="0.25">
      <c r="M873" s="91">
        <v>8.6999999999999993</v>
      </c>
      <c r="N873" s="89">
        <f t="shared" si="117"/>
        <v>5.3000000000000007</v>
      </c>
      <c r="O873" s="89">
        <f t="shared" si="118"/>
        <v>7.3002176083232611</v>
      </c>
      <c r="P873" s="97">
        <f t="shared" si="119"/>
        <v>4.0002176083232621</v>
      </c>
      <c r="Q873" s="135">
        <f t="shared" si="122"/>
        <v>5.0093617081359876E-8</v>
      </c>
      <c r="R873" s="89">
        <f t="shared" si="122"/>
        <v>9.9949906382918415E-5</v>
      </c>
      <c r="S873" s="89">
        <f t="shared" si="123"/>
        <v>1.9952623149688824E-9</v>
      </c>
      <c r="T873" s="136">
        <f t="shared" si="123"/>
        <v>5.0118723362727089E-6</v>
      </c>
      <c r="U873" s="137">
        <f t="shared" si="124"/>
        <v>5.0093617081359992E-4</v>
      </c>
      <c r="V873" s="88">
        <f t="shared" si="120"/>
        <v>4.6997823916767372</v>
      </c>
      <c r="W873" s="86">
        <f t="shared" si="125"/>
        <v>2.0002176083232603</v>
      </c>
      <c r="X873" s="90">
        <f t="shared" si="121"/>
        <v>9.4990638291864004E-3</v>
      </c>
    </row>
    <row r="874" spans="13:24" x14ac:dyDescent="0.25">
      <c r="M874" s="91">
        <v>8.7100000000000009</v>
      </c>
      <c r="N874" s="89">
        <f t="shared" si="117"/>
        <v>5.2899999999999991</v>
      </c>
      <c r="O874" s="89">
        <f t="shared" si="118"/>
        <v>7.3102126561656124</v>
      </c>
      <c r="P874" s="97">
        <f t="shared" si="119"/>
        <v>4.0002126561656119</v>
      </c>
      <c r="Q874" s="135">
        <f t="shared" si="122"/>
        <v>4.8953905350878246E-8</v>
      </c>
      <c r="R874" s="89">
        <f t="shared" si="122"/>
        <v>9.9951046094649045E-5</v>
      </c>
      <c r="S874" s="89">
        <f t="shared" si="123"/>
        <v>1.9498445997580341E-9</v>
      </c>
      <c r="T874" s="136">
        <f t="shared" si="123"/>
        <v>5.1286138399136523E-6</v>
      </c>
      <c r="U874" s="137">
        <f t="shared" si="124"/>
        <v>4.8953905350878279E-4</v>
      </c>
      <c r="V874" s="88">
        <f t="shared" si="120"/>
        <v>4.7097873438343889</v>
      </c>
      <c r="W874" s="86">
        <f t="shared" si="125"/>
        <v>2.0202126561656133</v>
      </c>
      <c r="X874" s="90">
        <f t="shared" si="121"/>
        <v>9.5104609464912171E-3</v>
      </c>
    </row>
    <row r="875" spans="13:24" x14ac:dyDescent="0.25">
      <c r="M875" s="91">
        <v>8.7200000000000006</v>
      </c>
      <c r="N875" s="89">
        <f t="shared" si="117"/>
        <v>5.2799999999999994</v>
      </c>
      <c r="O875" s="89">
        <f t="shared" si="118"/>
        <v>7.3202078166782778</v>
      </c>
      <c r="P875" s="97">
        <f t="shared" si="119"/>
        <v>4.0002078166782766</v>
      </c>
      <c r="Q875" s="135">
        <f t="shared" si="122"/>
        <v>4.7840111515272432E-8</v>
      </c>
      <c r="R875" s="89">
        <f t="shared" si="122"/>
        <v>9.9952159888484676E-5</v>
      </c>
      <c r="S875" s="89">
        <f t="shared" si="123"/>
        <v>1.9054607179632436E-9</v>
      </c>
      <c r="T875" s="136">
        <f t="shared" si="123"/>
        <v>5.248074602497729E-6</v>
      </c>
      <c r="U875" s="137">
        <f t="shared" si="124"/>
        <v>4.7840111515272453E-4</v>
      </c>
      <c r="V875" s="88">
        <f t="shared" si="120"/>
        <v>4.719792183321724</v>
      </c>
      <c r="W875" s="86">
        <f t="shared" si="125"/>
        <v>2.0402078166782784</v>
      </c>
      <c r="X875" s="90">
        <f t="shared" si="121"/>
        <v>9.5215988848472762E-3</v>
      </c>
    </row>
    <row r="876" spans="13:24" x14ac:dyDescent="0.25">
      <c r="M876" s="91">
        <v>8.73</v>
      </c>
      <c r="N876" s="89">
        <f t="shared" si="117"/>
        <v>5.27</v>
      </c>
      <c r="O876" s="89">
        <f t="shared" si="118"/>
        <v>7.3302030872990223</v>
      </c>
      <c r="P876" s="97">
        <f t="shared" si="119"/>
        <v>4.0002030872990213</v>
      </c>
      <c r="Q876" s="135">
        <f t="shared" si="122"/>
        <v>4.6751646740626075E-8</v>
      </c>
      <c r="R876" s="89">
        <f t="shared" si="122"/>
        <v>9.9953248353259328E-5</v>
      </c>
      <c r="S876" s="89">
        <f t="shared" si="123"/>
        <v>1.8620871366628641E-9</v>
      </c>
      <c r="T876" s="136">
        <f t="shared" si="123"/>
        <v>5.3703179637025301E-6</v>
      </c>
      <c r="U876" s="137">
        <f t="shared" si="124"/>
        <v>4.6751646740626095E-4</v>
      </c>
      <c r="V876" s="88">
        <f t="shared" si="120"/>
        <v>4.7297969127009791</v>
      </c>
      <c r="W876" s="86">
        <f t="shared" si="125"/>
        <v>2.0602030872990227</v>
      </c>
      <c r="X876" s="90">
        <f t="shared" si="121"/>
        <v>9.5324835325937395E-3</v>
      </c>
    </row>
    <row r="877" spans="13:24" x14ac:dyDescent="0.25">
      <c r="M877" s="91">
        <v>8.74</v>
      </c>
      <c r="N877" s="89">
        <f t="shared" si="117"/>
        <v>5.26</v>
      </c>
      <c r="O877" s="89">
        <f t="shared" si="118"/>
        <v>7.3401984655238239</v>
      </c>
      <c r="P877" s="97">
        <f t="shared" si="119"/>
        <v>4.0001984655238241</v>
      </c>
      <c r="Q877" s="135">
        <f t="shared" si="122"/>
        <v>4.5687935545741569E-8</v>
      </c>
      <c r="R877" s="89">
        <f t="shared" si="122"/>
        <v>9.9954312064454246E-5</v>
      </c>
      <c r="S877" s="89">
        <f t="shared" si="123"/>
        <v>1.8197008586099804E-9</v>
      </c>
      <c r="T877" s="136">
        <f t="shared" si="123"/>
        <v>5.4954087385762383E-6</v>
      </c>
      <c r="U877" s="137">
        <f t="shared" si="124"/>
        <v>4.5687935545741571E-4</v>
      </c>
      <c r="V877" s="88">
        <f t="shared" si="120"/>
        <v>4.7398015344761761</v>
      </c>
      <c r="W877" s="86">
        <f t="shared" si="125"/>
        <v>2.0801984655238241</v>
      </c>
      <c r="X877" s="90">
        <f t="shared" si="121"/>
        <v>9.5431206445425847E-3</v>
      </c>
    </row>
    <row r="878" spans="13:24" x14ac:dyDescent="0.25">
      <c r="M878" s="91">
        <v>8.75</v>
      </c>
      <c r="N878" s="89">
        <f t="shared" si="117"/>
        <v>5.25</v>
      </c>
      <c r="O878" s="89">
        <f t="shared" si="118"/>
        <v>7.350193948905555</v>
      </c>
      <c r="P878" s="97">
        <f t="shared" si="119"/>
        <v>4.0001939489055554</v>
      </c>
      <c r="Q878" s="135">
        <f t="shared" si="122"/>
        <v>4.4648415500476577E-8</v>
      </c>
      <c r="R878" s="89">
        <f t="shared" si="122"/>
        <v>9.9955351584499403E-5</v>
      </c>
      <c r="S878" s="89">
        <f t="shared" si="123"/>
        <v>1.7782794100389197E-9</v>
      </c>
      <c r="T878" s="136">
        <f t="shared" si="123"/>
        <v>5.6234132519034836E-6</v>
      </c>
      <c r="U878" s="137">
        <f t="shared" si="124"/>
        <v>4.4648415500476632E-4</v>
      </c>
      <c r="V878" s="88">
        <f t="shared" si="120"/>
        <v>4.7498060510944446</v>
      </c>
      <c r="W878" s="86">
        <f t="shared" si="125"/>
        <v>2.100193948905555</v>
      </c>
      <c r="X878" s="90">
        <f t="shared" si="121"/>
        <v>9.5535158449952338E-3</v>
      </c>
    </row>
    <row r="879" spans="13:24" x14ac:dyDescent="0.25">
      <c r="M879" s="91">
        <v>8.76</v>
      </c>
      <c r="N879" s="89">
        <f t="shared" si="117"/>
        <v>5.24</v>
      </c>
      <c r="O879" s="89">
        <f t="shared" si="118"/>
        <v>7.3601895350526885</v>
      </c>
      <c r="P879" s="97">
        <f t="shared" si="119"/>
        <v>4.000189535052689</v>
      </c>
      <c r="Q879" s="135">
        <f t="shared" si="122"/>
        <v>4.3632536930845377E-8</v>
      </c>
      <c r="R879" s="89">
        <f t="shared" si="122"/>
        <v>9.9956367463068901E-5</v>
      </c>
      <c r="S879" s="89">
        <f t="shared" si="123"/>
        <v>1.7378008287493727E-9</v>
      </c>
      <c r="T879" s="136">
        <f t="shared" si="123"/>
        <v>5.7543993733715608E-6</v>
      </c>
      <c r="U879" s="137">
        <f t="shared" si="124"/>
        <v>4.3632536930845485E-4</v>
      </c>
      <c r="V879" s="88">
        <f t="shared" si="120"/>
        <v>4.7598104649473107</v>
      </c>
      <c r="W879" s="86">
        <f t="shared" si="125"/>
        <v>2.1201895350526883</v>
      </c>
      <c r="X879" s="90">
        <f t="shared" si="121"/>
        <v>9.5636746306915453E-3</v>
      </c>
    </row>
    <row r="880" spans="13:24" x14ac:dyDescent="0.25">
      <c r="M880" s="91">
        <v>8.77</v>
      </c>
      <c r="N880" s="89">
        <f t="shared" si="117"/>
        <v>5.23</v>
      </c>
      <c r="O880" s="89">
        <f t="shared" si="118"/>
        <v>7.3701852216280397</v>
      </c>
      <c r="P880" s="97">
        <f t="shared" si="119"/>
        <v>4.0001852216280405</v>
      </c>
      <c r="Q880" s="135">
        <f t="shared" si="122"/>
        <v>4.2639762630734389E-8</v>
      </c>
      <c r="R880" s="89">
        <f t="shared" si="122"/>
        <v>9.9957360237369142E-5</v>
      </c>
      <c r="S880" s="89">
        <f t="shared" si="123"/>
        <v>1.6982436524617417E-9</v>
      </c>
      <c r="T880" s="136">
        <f t="shared" si="123"/>
        <v>5.8884365535558799E-6</v>
      </c>
      <c r="U880" s="137">
        <f t="shared" si="124"/>
        <v>4.2639762630734438E-4</v>
      </c>
      <c r="V880" s="88">
        <f t="shared" si="120"/>
        <v>4.7698147783719591</v>
      </c>
      <c r="W880" s="86">
        <f t="shared" si="125"/>
        <v>2.1401852216280393</v>
      </c>
      <c r="X880" s="90">
        <f t="shared" si="121"/>
        <v>9.5736023736926554E-3</v>
      </c>
    </row>
    <row r="881" spans="13:24" x14ac:dyDescent="0.25">
      <c r="M881" s="91">
        <v>8.7799999999999994</v>
      </c>
      <c r="N881" s="89">
        <f t="shared" si="117"/>
        <v>5.2200000000000006</v>
      </c>
      <c r="O881" s="89">
        <f t="shared" si="118"/>
        <v>7.3801810063475335</v>
      </c>
      <c r="P881" s="97">
        <f t="shared" si="119"/>
        <v>4.0001810063475336</v>
      </c>
      <c r="Q881" s="135">
        <f t="shared" si="122"/>
        <v>4.166956758008696E-8</v>
      </c>
      <c r="R881" s="89">
        <f t="shared" si="122"/>
        <v>9.9958330432419905E-5</v>
      </c>
      <c r="S881" s="89">
        <f t="shared" si="123"/>
        <v>1.6595869074375584E-9</v>
      </c>
      <c r="T881" s="136">
        <f t="shared" si="123"/>
        <v>6.025595860743557E-6</v>
      </c>
      <c r="U881" s="137">
        <f t="shared" si="124"/>
        <v>4.1669567580086966E-4</v>
      </c>
      <c r="V881" s="88">
        <f t="shared" si="120"/>
        <v>4.7798189936524658</v>
      </c>
      <c r="W881" s="86">
        <f t="shared" si="125"/>
        <v>2.1601810063475329</v>
      </c>
      <c r="X881" s="90">
        <f t="shared" si="121"/>
        <v>9.5833043241991302E-3</v>
      </c>
    </row>
    <row r="882" spans="13:24" x14ac:dyDescent="0.25">
      <c r="M882" s="91">
        <v>8.7899999999999991</v>
      </c>
      <c r="N882" s="89">
        <f t="shared" si="117"/>
        <v>5.2100000000000009</v>
      </c>
      <c r="O882" s="89">
        <f t="shared" si="118"/>
        <v>7.3901768869789981</v>
      </c>
      <c r="P882" s="97">
        <f t="shared" si="119"/>
        <v>4.0001768869789993</v>
      </c>
      <c r="Q882" s="135">
        <f t="shared" si="122"/>
        <v>4.0721438669413584E-8</v>
      </c>
      <c r="R882" s="89">
        <f t="shared" si="122"/>
        <v>9.9959278561330466E-5</v>
      </c>
      <c r="S882" s="89">
        <f t="shared" si="123"/>
        <v>1.6218100973589279E-9</v>
      </c>
      <c r="T882" s="136">
        <f t="shared" si="123"/>
        <v>6.1659500186147999E-6</v>
      </c>
      <c r="U882" s="137">
        <f t="shared" si="124"/>
        <v>4.0721438669413633E-4</v>
      </c>
      <c r="V882" s="88">
        <f t="shared" si="120"/>
        <v>4.7898231130209998</v>
      </c>
      <c r="W882" s="86">
        <f t="shared" si="125"/>
        <v>2.1801768869789973</v>
      </c>
      <c r="X882" s="90">
        <f t="shared" si="121"/>
        <v>9.5927856133058639E-3</v>
      </c>
    </row>
    <row r="883" spans="13:24" x14ac:dyDescent="0.25">
      <c r="M883" s="91">
        <v>8.8000000000000007</v>
      </c>
      <c r="N883" s="89">
        <f t="shared" si="117"/>
        <v>5.1999999999999993</v>
      </c>
      <c r="O883" s="89">
        <f t="shared" si="118"/>
        <v>7.4001728613409909</v>
      </c>
      <c r="P883" s="97">
        <f t="shared" si="119"/>
        <v>4.0001728613409906</v>
      </c>
      <c r="Q883" s="135">
        <f t="shared" si="122"/>
        <v>3.9794874430487568E-8</v>
      </c>
      <c r="R883" s="89">
        <f t="shared" si="122"/>
        <v>9.9960205125569388E-5</v>
      </c>
      <c r="S883" s="89">
        <f t="shared" si="123"/>
        <v>1.584893192461106E-9</v>
      </c>
      <c r="T883" s="136">
        <f t="shared" si="123"/>
        <v>6.3095734448019322E-6</v>
      </c>
      <c r="U883" s="137">
        <f t="shared" si="124"/>
        <v>3.9794874430487622E-4</v>
      </c>
      <c r="V883" s="88">
        <f t="shared" si="120"/>
        <v>4.7998271386590101</v>
      </c>
      <c r="W883" s="86">
        <f t="shared" si="125"/>
        <v>2.2001728613409917</v>
      </c>
      <c r="X883" s="90">
        <f t="shared" si="121"/>
        <v>9.6020512556951234E-3</v>
      </c>
    </row>
    <row r="884" spans="13:24" x14ac:dyDescent="0.25">
      <c r="M884" s="91">
        <v>8.81</v>
      </c>
      <c r="N884" s="89">
        <f t="shared" si="117"/>
        <v>5.1899999999999995</v>
      </c>
      <c r="O884" s="89">
        <f t="shared" si="118"/>
        <v>7.4101689273016396</v>
      </c>
      <c r="P884" s="97">
        <f t="shared" si="119"/>
        <v>4.0001689273016394</v>
      </c>
      <c r="Q884" s="135">
        <f t="shared" si="122"/>
        <v>3.8889384773090129E-8</v>
      </c>
      <c r="R884" s="89">
        <f t="shared" si="122"/>
        <v>9.9961110615226818E-5</v>
      </c>
      <c r="S884" s="89">
        <f t="shared" si="123"/>
        <v>1.5488166189124741E-9</v>
      </c>
      <c r="T884" s="136">
        <f t="shared" si="123"/>
        <v>6.456542290346554E-6</v>
      </c>
      <c r="U884" s="137">
        <f t="shared" si="124"/>
        <v>3.8889384773090166E-4</v>
      </c>
      <c r="V884" s="88">
        <f t="shared" si="120"/>
        <v>4.8098310726983611</v>
      </c>
      <c r="W884" s="86">
        <f t="shared" si="125"/>
        <v>2.2201689273016401</v>
      </c>
      <c r="X884" s="90">
        <f t="shared" si="121"/>
        <v>9.6111061522690978E-3</v>
      </c>
    </row>
    <row r="885" spans="13:24" x14ac:dyDescent="0.25">
      <c r="M885" s="91">
        <v>8.82</v>
      </c>
      <c r="N885" s="89">
        <f t="shared" si="117"/>
        <v>5.18</v>
      </c>
      <c r="O885" s="89">
        <f t="shared" si="118"/>
        <v>7.4201650827775278</v>
      </c>
      <c r="P885" s="97">
        <f t="shared" si="119"/>
        <v>4.000165082777527</v>
      </c>
      <c r="Q885" s="135">
        <f t="shared" si="122"/>
        <v>3.8004490727668791E-8</v>
      </c>
      <c r="R885" s="89">
        <f t="shared" si="122"/>
        <v>9.9961995509272348E-5</v>
      </c>
      <c r="S885" s="89">
        <f t="shared" si="123"/>
        <v>1.5135612484362064E-9</v>
      </c>
      <c r="T885" s="136">
        <f t="shared" si="123"/>
        <v>6.6069344800759593E-6</v>
      </c>
      <c r="U885" s="137">
        <f t="shared" si="124"/>
        <v>3.8004490727668781E-4</v>
      </c>
      <c r="V885" s="88">
        <f t="shared" si="120"/>
        <v>4.8198349172224733</v>
      </c>
      <c r="W885" s="86">
        <f t="shared" si="125"/>
        <v>2.2401650827775281</v>
      </c>
      <c r="X885" s="90">
        <f t="shared" si="121"/>
        <v>9.6199550927233129E-3</v>
      </c>
    </row>
    <row r="886" spans="13:24" x14ac:dyDescent="0.25">
      <c r="M886" s="91">
        <v>8.83</v>
      </c>
      <c r="N886" s="89">
        <f t="shared" si="117"/>
        <v>5.17</v>
      </c>
      <c r="O886" s="89">
        <f t="shared" si="118"/>
        <v>7.4301613257325885</v>
      </c>
      <c r="P886" s="97">
        <f t="shared" si="119"/>
        <v>4.0001613257325888</v>
      </c>
      <c r="Q886" s="135">
        <f t="shared" si="122"/>
        <v>3.7139724193780232E-8</v>
      </c>
      <c r="R886" s="89">
        <f t="shared" si="122"/>
        <v>9.996286027580612E-5</v>
      </c>
      <c r="S886" s="89">
        <f t="shared" si="123"/>
        <v>1.479108388168206E-9</v>
      </c>
      <c r="T886" s="136">
        <f t="shared" si="123"/>
        <v>6.7608297539198155E-6</v>
      </c>
      <c r="U886" s="137">
        <f t="shared" si="124"/>
        <v>3.7139724193780273E-4</v>
      </c>
      <c r="V886" s="88">
        <f t="shared" si="120"/>
        <v>4.8298386742674113</v>
      </c>
      <c r="W886" s="86">
        <f t="shared" si="125"/>
        <v>2.2601613257325885</v>
      </c>
      <c r="X886" s="90">
        <f t="shared" si="121"/>
        <v>9.6286027580621981E-3</v>
      </c>
    </row>
    <row r="887" spans="13:24" x14ac:dyDescent="0.25">
      <c r="M887" s="91">
        <v>8.84</v>
      </c>
      <c r="N887" s="89">
        <f t="shared" si="117"/>
        <v>5.16</v>
      </c>
      <c r="O887" s="89">
        <f t="shared" si="118"/>
        <v>7.4401576541770327</v>
      </c>
      <c r="P887" s="97">
        <f t="shared" si="119"/>
        <v>4.0001576541770323</v>
      </c>
      <c r="Q887" s="135">
        <f t="shared" si="122"/>
        <v>3.6294627694188306E-8</v>
      </c>
      <c r="R887" s="89">
        <f t="shared" si="122"/>
        <v>9.9963705372305844E-5</v>
      </c>
      <c r="S887" s="89">
        <f t="shared" si="123"/>
        <v>1.4454397707459262E-9</v>
      </c>
      <c r="T887" s="136">
        <f t="shared" si="123"/>
        <v>6.9183097091893498E-6</v>
      </c>
      <c r="U887" s="137">
        <f t="shared" si="124"/>
        <v>3.6294627694188295E-4</v>
      </c>
      <c r="V887" s="88">
        <f t="shared" si="120"/>
        <v>4.8398423458229676</v>
      </c>
      <c r="W887" s="86">
        <f t="shared" si="125"/>
        <v>2.2801576541770325</v>
      </c>
      <c r="X887" s="90">
        <f t="shared" si="121"/>
        <v>9.6370537230581164E-3</v>
      </c>
    </row>
    <row r="888" spans="13:24" x14ac:dyDescent="0.25">
      <c r="M888" s="91">
        <v>8.85</v>
      </c>
      <c r="N888" s="89">
        <f t="shared" si="117"/>
        <v>5.15</v>
      </c>
      <c r="O888" s="89">
        <f t="shared" si="118"/>
        <v>7.4501540661662959</v>
      </c>
      <c r="P888" s="97">
        <f t="shared" si="119"/>
        <v>4.0001540661662967</v>
      </c>
      <c r="Q888" s="135">
        <f t="shared" si="122"/>
        <v>3.5468754134491202E-8</v>
      </c>
      <c r="R888" s="89">
        <f t="shared" si="122"/>
        <v>9.9964531245865245E-5</v>
      </c>
      <c r="S888" s="89">
        <f t="shared" si="123"/>
        <v>1.4125375446227532E-9</v>
      </c>
      <c r="T888" s="136">
        <f t="shared" si="123"/>
        <v>7.0794578438413623E-6</v>
      </c>
      <c r="U888" s="137">
        <f t="shared" si="124"/>
        <v>3.5468754134491298E-4</v>
      </c>
      <c r="V888" s="88">
        <f t="shared" si="120"/>
        <v>4.849845933833703</v>
      </c>
      <c r="W888" s="86">
        <f t="shared" si="125"/>
        <v>2.3001540661662956</v>
      </c>
      <c r="X888" s="90">
        <f t="shared" si="121"/>
        <v>9.6453124586550875E-3</v>
      </c>
    </row>
    <row r="889" spans="13:24" x14ac:dyDescent="0.25">
      <c r="M889" s="91">
        <v>8.86</v>
      </c>
      <c r="N889" s="89">
        <f t="shared" si="117"/>
        <v>5.1400000000000006</v>
      </c>
      <c r="O889" s="89">
        <f t="shared" si="118"/>
        <v>7.4601505598000166</v>
      </c>
      <c r="P889" s="97">
        <f t="shared" si="119"/>
        <v>4.0001505598000167</v>
      </c>
      <c r="Q889" s="135">
        <f t="shared" si="122"/>
        <v>3.4661666568155822E-8</v>
      </c>
      <c r="R889" s="89">
        <f t="shared" si="122"/>
        <v>9.9965338333431728E-5</v>
      </c>
      <c r="S889" s="89">
        <f t="shared" si="123"/>
        <v>1.380384264602884E-9</v>
      </c>
      <c r="T889" s="136">
        <f t="shared" si="123"/>
        <v>7.244359600749883E-6</v>
      </c>
      <c r="U889" s="137">
        <f t="shared" si="124"/>
        <v>3.4661666568155865E-4</v>
      </c>
      <c r="V889" s="88">
        <f t="shared" si="120"/>
        <v>4.8598494401999828</v>
      </c>
      <c r="W889" s="86">
        <f t="shared" si="125"/>
        <v>2.3201505598000161</v>
      </c>
      <c r="X889" s="90">
        <f t="shared" si="121"/>
        <v>9.6533833343184407E-3</v>
      </c>
    </row>
    <row r="890" spans="13:24" x14ac:dyDescent="0.25">
      <c r="M890" s="91">
        <v>8.8699999999999992</v>
      </c>
      <c r="N890" s="89">
        <f t="shared" si="117"/>
        <v>5.1300000000000008</v>
      </c>
      <c r="O890" s="89">
        <f t="shared" si="118"/>
        <v>7.470147133221027</v>
      </c>
      <c r="P890" s="97">
        <f t="shared" si="119"/>
        <v>4.0001471332210281</v>
      </c>
      <c r="Q890" s="135">
        <f t="shared" si="122"/>
        <v>3.3872937966838986E-8</v>
      </c>
      <c r="R890" s="89">
        <f t="shared" si="122"/>
        <v>9.9966127062033053E-5</v>
      </c>
      <c r="S890" s="89">
        <f t="shared" si="123"/>
        <v>1.3489628825916529E-9</v>
      </c>
      <c r="T890" s="136">
        <f t="shared" si="123"/>
        <v>7.413102413009156E-6</v>
      </c>
      <c r="U890" s="137">
        <f t="shared" si="124"/>
        <v>3.3872937966839022E-4</v>
      </c>
      <c r="V890" s="88">
        <f t="shared" si="120"/>
        <v>4.8698528667789711</v>
      </c>
      <c r="W890" s="86">
        <f t="shared" si="125"/>
        <v>2.3401471332210262</v>
      </c>
      <c r="X890" s="90">
        <f t="shared" si="121"/>
        <v>9.6612706203316103E-3</v>
      </c>
    </row>
    <row r="891" spans="13:24" x14ac:dyDescent="0.25">
      <c r="M891" s="91">
        <v>8.8800000000000008</v>
      </c>
      <c r="N891" s="89">
        <f t="shared" si="117"/>
        <v>5.1199999999999992</v>
      </c>
      <c r="O891" s="89">
        <f t="shared" si="118"/>
        <v>7.4801437846143806</v>
      </c>
      <c r="P891" s="97">
        <f t="shared" si="119"/>
        <v>4.0001437846143792</v>
      </c>
      <c r="Q891" s="135">
        <f t="shared" si="122"/>
        <v>3.3102150995876193E-8</v>
      </c>
      <c r="R891" s="89">
        <f t="shared" si="122"/>
        <v>9.9966897849004032E-5</v>
      </c>
      <c r="S891" s="89">
        <f t="shared" si="123"/>
        <v>1.3182567385564018E-9</v>
      </c>
      <c r="T891" s="136">
        <f t="shared" si="123"/>
        <v>7.585775750291845E-6</v>
      </c>
      <c r="U891" s="137">
        <f t="shared" si="124"/>
        <v>3.310215099587622E-4</v>
      </c>
      <c r="V891" s="88">
        <f t="shared" si="120"/>
        <v>4.8798562153856215</v>
      </c>
      <c r="W891" s="86">
        <f t="shared" si="125"/>
        <v>2.3601437846143813</v>
      </c>
      <c r="X891" s="90">
        <f t="shared" si="121"/>
        <v>9.6689784900412384E-3</v>
      </c>
    </row>
    <row r="892" spans="13:24" x14ac:dyDescent="0.25">
      <c r="M892" s="91">
        <v>8.89</v>
      </c>
      <c r="N892" s="89">
        <f t="shared" si="117"/>
        <v>5.1099999999999994</v>
      </c>
      <c r="O892" s="89">
        <f t="shared" si="118"/>
        <v>7.4901405122063798</v>
      </c>
      <c r="P892" s="97">
        <f t="shared" si="119"/>
        <v>4.0001405122063804</v>
      </c>
      <c r="Q892" s="135">
        <f t="shared" si="122"/>
        <v>3.2348897794827684E-8</v>
      </c>
      <c r="R892" s="89">
        <f t="shared" si="122"/>
        <v>9.9967651102205002E-5</v>
      </c>
      <c r="S892" s="89">
        <f t="shared" si="123"/>
        <v>1.2882495516931289E-9</v>
      </c>
      <c r="T892" s="136">
        <f t="shared" si="123"/>
        <v>7.7624711662869244E-6</v>
      </c>
      <c r="U892" s="137">
        <f t="shared" si="124"/>
        <v>3.234889779482774E-4</v>
      </c>
      <c r="V892" s="88">
        <f t="shared" si="120"/>
        <v>4.8898594877936201</v>
      </c>
      <c r="W892" s="86">
        <f t="shared" si="125"/>
        <v>2.3801405122063803</v>
      </c>
      <c r="X892" s="90">
        <f t="shared" si="121"/>
        <v>9.676511022051722E-3</v>
      </c>
    </row>
    <row r="893" spans="13:24" x14ac:dyDescent="0.25">
      <c r="M893" s="91">
        <v>8.9</v>
      </c>
      <c r="N893" s="89">
        <f t="shared" si="117"/>
        <v>5.0999999999999996</v>
      </c>
      <c r="O893" s="89">
        <f t="shared" si="118"/>
        <v>7.5001373142636583</v>
      </c>
      <c r="P893" s="97">
        <f t="shared" si="119"/>
        <v>4.0001373142636583</v>
      </c>
      <c r="Q893" s="135">
        <f t="shared" si="122"/>
        <v>3.161277976296171E-8</v>
      </c>
      <c r="R893" s="89">
        <f t="shared" si="122"/>
        <v>9.9968387220237065E-5</v>
      </c>
      <c r="S893" s="89">
        <f t="shared" si="123"/>
        <v>1.2589254117941623E-9</v>
      </c>
      <c r="T893" s="136">
        <f t="shared" si="123"/>
        <v>7.9432823472428065E-6</v>
      </c>
      <c r="U893" s="137">
        <f t="shared" si="124"/>
        <v>3.1612779762961701E-4</v>
      </c>
      <c r="V893" s="88">
        <f t="shared" si="120"/>
        <v>4.8998626857363421</v>
      </c>
      <c r="W893" s="86">
        <f t="shared" si="125"/>
        <v>2.4001373142636586</v>
      </c>
      <c r="X893" s="90">
        <f t="shared" si="121"/>
        <v>9.683872202370384E-3</v>
      </c>
    </row>
    <row r="894" spans="13:24" x14ac:dyDescent="0.25">
      <c r="M894" s="91">
        <v>8.91</v>
      </c>
      <c r="N894" s="89">
        <f t="shared" si="117"/>
        <v>5.09</v>
      </c>
      <c r="O894" s="89">
        <f t="shared" si="118"/>
        <v>7.5101341890922502</v>
      </c>
      <c r="P894" s="97">
        <f t="shared" si="119"/>
        <v>4.0001341890922495</v>
      </c>
      <c r="Q894" s="135">
        <f t="shared" si="122"/>
        <v>3.0893407349573109E-8</v>
      </c>
      <c r="R894" s="89">
        <f t="shared" si="122"/>
        <v>9.9969106592650387E-5</v>
      </c>
      <c r="S894" s="89">
        <f t="shared" si="123"/>
        <v>1.230268770812377E-9</v>
      </c>
      <c r="T894" s="136">
        <f t="shared" si="123"/>
        <v>8.128305161640983E-6</v>
      </c>
      <c r="U894" s="137">
        <f t="shared" si="124"/>
        <v>3.0893407349573122E-4</v>
      </c>
      <c r="V894" s="88">
        <f t="shared" si="120"/>
        <v>4.9098658109077506</v>
      </c>
      <c r="W894" s="86">
        <f t="shared" si="125"/>
        <v>2.4201341890922503</v>
      </c>
      <c r="X894" s="90">
        <f t="shared" si="121"/>
        <v>9.6910659265042696E-3</v>
      </c>
    </row>
    <row r="895" spans="13:24" x14ac:dyDescent="0.25">
      <c r="M895" s="91">
        <v>8.92</v>
      </c>
      <c r="N895" s="89">
        <f t="shared" si="117"/>
        <v>5.08</v>
      </c>
      <c r="O895" s="89">
        <f t="shared" si="118"/>
        <v>7.5201311350367011</v>
      </c>
      <c r="P895" s="97">
        <f t="shared" si="119"/>
        <v>4.0001311350367006</v>
      </c>
      <c r="Q895" s="135">
        <f t="shared" si="122"/>
        <v>3.0190399849023692E-8</v>
      </c>
      <c r="R895" s="89">
        <f t="shared" si="122"/>
        <v>9.9969809600151016E-5</v>
      </c>
      <c r="S895" s="89">
        <f t="shared" si="123"/>
        <v>1.2022644346174128E-9</v>
      </c>
      <c r="T895" s="136">
        <f t="shared" si="123"/>
        <v>8.3176377110266992E-6</v>
      </c>
      <c r="U895" s="137">
        <f t="shared" si="124"/>
        <v>3.0190399849023679E-4</v>
      </c>
      <c r="V895" s="88">
        <f t="shared" si="120"/>
        <v>4.9198688649632993</v>
      </c>
      <c r="W895" s="86">
        <f t="shared" si="125"/>
        <v>2.440131135036701</v>
      </c>
      <c r="X895" s="90">
        <f t="shared" si="121"/>
        <v>9.6980960015097626E-3</v>
      </c>
    </row>
    <row r="896" spans="13:24" x14ac:dyDescent="0.25">
      <c r="M896" s="91">
        <v>8.93</v>
      </c>
      <c r="N896" s="89">
        <f t="shared" si="117"/>
        <v>5.07</v>
      </c>
      <c r="O896" s="89">
        <f t="shared" si="118"/>
        <v>7.5301281504791948</v>
      </c>
      <c r="P896" s="97">
        <f t="shared" si="119"/>
        <v>4.0001281504791946</v>
      </c>
      <c r="Q896" s="135">
        <f t="shared" si="122"/>
        <v>2.9503385200401619E-8</v>
      </c>
      <c r="R896" s="89">
        <f t="shared" si="122"/>
        <v>9.9970496614799434E-5</v>
      </c>
      <c r="S896" s="89">
        <f t="shared" si="123"/>
        <v>1.1748975549395295E-9</v>
      </c>
      <c r="T896" s="136">
        <f t="shared" si="123"/>
        <v>8.5113803820237531E-6</v>
      </c>
      <c r="U896" s="137">
        <f t="shared" si="124"/>
        <v>2.9503385200401665E-4</v>
      </c>
      <c r="V896" s="88">
        <f t="shared" si="120"/>
        <v>4.9298718495208051</v>
      </c>
      <c r="W896" s="86">
        <f t="shared" si="125"/>
        <v>2.4601281504791945</v>
      </c>
      <c r="X896" s="90">
        <f t="shared" si="121"/>
        <v>9.7049661479959842E-3</v>
      </c>
    </row>
    <row r="897" spans="13:24" x14ac:dyDescent="0.25">
      <c r="M897" s="91">
        <v>8.94</v>
      </c>
      <c r="N897" s="89">
        <f t="shared" si="117"/>
        <v>5.0600000000000005</v>
      </c>
      <c r="O897" s="89">
        <f t="shared" si="118"/>
        <v>7.5401252338386948</v>
      </c>
      <c r="P897" s="97">
        <f t="shared" si="119"/>
        <v>4.0001252338386957</v>
      </c>
      <c r="Q897" s="135">
        <f t="shared" si="122"/>
        <v>2.8831999791696281E-8</v>
      </c>
      <c r="R897" s="89">
        <f t="shared" si="122"/>
        <v>9.9971168000208155E-5</v>
      </c>
      <c r="S897" s="89">
        <f t="shared" si="123"/>
        <v>1.1481536214968828E-9</v>
      </c>
      <c r="T897" s="136">
        <f t="shared" si="123"/>
        <v>8.7096358995607954E-6</v>
      </c>
      <c r="U897" s="137">
        <f t="shared" si="124"/>
        <v>2.8831999791696324E-4</v>
      </c>
      <c r="V897" s="88">
        <f t="shared" si="120"/>
        <v>4.9398747661613038</v>
      </c>
      <c r="W897" s="86">
        <f t="shared" si="125"/>
        <v>2.4801252338386943</v>
      </c>
      <c r="X897" s="90">
        <f t="shared" si="121"/>
        <v>9.7116800020830372E-3</v>
      </c>
    </row>
    <row r="898" spans="13:24" x14ac:dyDescent="0.25">
      <c r="M898" s="91">
        <v>8.9499999999999993</v>
      </c>
      <c r="N898" s="89">
        <f t="shared" si="117"/>
        <v>5.0500000000000007</v>
      </c>
      <c r="O898" s="89">
        <f t="shared" si="118"/>
        <v>7.5501223835701143</v>
      </c>
      <c r="P898" s="97">
        <f t="shared" si="119"/>
        <v>4.0001223835701154</v>
      </c>
      <c r="Q898" s="135">
        <f t="shared" si="122"/>
        <v>2.8175888268387678E-8</v>
      </c>
      <c r="R898" s="89">
        <f t="shared" si="122"/>
        <v>9.9971824111731489E-5</v>
      </c>
      <c r="S898" s="89">
        <f t="shared" si="123"/>
        <v>1.1220184543019636E-9</v>
      </c>
      <c r="T898" s="136">
        <f t="shared" si="123"/>
        <v>8.9125093813374256E-6</v>
      </c>
      <c r="U898" s="137">
        <f t="shared" si="124"/>
        <v>2.8175888268387712E-4</v>
      </c>
      <c r="V898" s="88">
        <f t="shared" si="120"/>
        <v>4.9498776164298839</v>
      </c>
      <c r="W898" s="86">
        <f t="shared" si="125"/>
        <v>2.5001223835701136</v>
      </c>
      <c r="X898" s="90">
        <f t="shared" si="121"/>
        <v>9.7182411173161228E-3</v>
      </c>
    </row>
    <row r="899" spans="13:24" x14ac:dyDescent="0.25">
      <c r="M899" s="91">
        <v>8.9600000000000009</v>
      </c>
      <c r="N899" s="89">
        <f t="shared" ref="N899:N962" si="126">14-M899</f>
        <v>5.0399999999999991</v>
      </c>
      <c r="O899" s="89">
        <f t="shared" ref="O899:O962" si="127">-LOG(10^-$B$3/(1+10^(M899-$A$3)))</f>
        <v>7.5601195981634977</v>
      </c>
      <c r="P899" s="97">
        <f t="shared" ref="P899:P962" si="128">-LOG(10^-$B$3/(1+10^($A$3-M899)))</f>
        <v>4.0001195981634972</v>
      </c>
      <c r="Q899" s="135">
        <f t="shared" si="122"/>
        <v>2.7534703346352099E-8</v>
      </c>
      <c r="R899" s="89">
        <f t="shared" si="122"/>
        <v>9.9972465296653526E-5</v>
      </c>
      <c r="S899" s="89">
        <f t="shared" si="123"/>
        <v>1.0964781961431814E-9</v>
      </c>
      <c r="T899" s="136">
        <f t="shared" si="123"/>
        <v>9.1201083935590998E-6</v>
      </c>
      <c r="U899" s="137">
        <f t="shared" si="124"/>
        <v>2.7534703346352129E-4</v>
      </c>
      <c r="V899" s="88">
        <f t="shared" ref="V899:V962" si="129">ABS(P899-M899)</f>
        <v>4.9598804018365037</v>
      </c>
      <c r="W899" s="86">
        <f t="shared" si="125"/>
        <v>2.5201195981634985</v>
      </c>
      <c r="X899" s="90">
        <f t="shared" ref="X899:X962" si="130">ABS($J$2-U899)</f>
        <v>9.7246529665364796E-3</v>
      </c>
    </row>
    <row r="900" spans="13:24" x14ac:dyDescent="0.25">
      <c r="M900" s="91">
        <v>8.9700000000000006</v>
      </c>
      <c r="N900" s="89">
        <f t="shared" si="126"/>
        <v>5.0299999999999994</v>
      </c>
      <c r="O900" s="89">
        <f t="shared" si="127"/>
        <v>7.5701168761432154</v>
      </c>
      <c r="P900" s="97">
        <f t="shared" si="128"/>
        <v>4.0001168761432151</v>
      </c>
      <c r="Q900" s="135">
        <f t="shared" ref="Q900:R963" si="131">10^-O900</f>
        <v>2.6908105628988226E-8</v>
      </c>
      <c r="R900" s="89">
        <f t="shared" si="131"/>
        <v>9.9973091894370897E-5</v>
      </c>
      <c r="S900" s="89">
        <f t="shared" ref="S900:T963" si="132">10^-M900</f>
        <v>1.071519305237603E-9</v>
      </c>
      <c r="T900" s="136">
        <f t="shared" si="132"/>
        <v>9.332543007969911E-6</v>
      </c>
      <c r="U900" s="137">
        <f t="shared" ref="U900:U963" si="133">Q900/(Q900+R900)</f>
        <v>2.6908105628988259E-4</v>
      </c>
      <c r="V900" s="88">
        <f t="shared" si="129"/>
        <v>4.9698831238567855</v>
      </c>
      <c r="W900" s="86">
        <f t="shared" ref="W900:W963" si="134">ABS(O900-N900)</f>
        <v>2.540116876143216</v>
      </c>
      <c r="X900" s="90">
        <f t="shared" si="130"/>
        <v>9.7309189437101169E-3</v>
      </c>
    </row>
    <row r="901" spans="13:24" x14ac:dyDescent="0.25">
      <c r="M901" s="91">
        <v>8.98</v>
      </c>
      <c r="N901" s="89">
        <f t="shared" si="126"/>
        <v>5.0199999999999996</v>
      </c>
      <c r="O901" s="89">
        <f t="shared" si="127"/>
        <v>7.5801142160671962</v>
      </c>
      <c r="P901" s="97">
        <f t="shared" si="128"/>
        <v>4.0001142160671961</v>
      </c>
      <c r="Q901" s="135">
        <f t="shared" si="131"/>
        <v>2.6295763428466908E-8</v>
      </c>
      <c r="R901" s="89">
        <f t="shared" si="131"/>
        <v>9.9973704236571388E-5</v>
      </c>
      <c r="S901" s="89">
        <f t="shared" si="132"/>
        <v>1.0471285480508964E-9</v>
      </c>
      <c r="T901" s="136">
        <f t="shared" si="132"/>
        <v>9.5499258602143587E-6</v>
      </c>
      <c r="U901" s="137">
        <f t="shared" si="133"/>
        <v>2.6295763428466946E-4</v>
      </c>
      <c r="V901" s="88">
        <f t="shared" si="129"/>
        <v>4.9798857839328043</v>
      </c>
      <c r="W901" s="86">
        <f t="shared" si="134"/>
        <v>2.5601142160671966</v>
      </c>
      <c r="X901" s="90">
        <f t="shared" si="130"/>
        <v>9.7370423657153309E-3</v>
      </c>
    </row>
    <row r="902" spans="13:24" x14ac:dyDescent="0.25">
      <c r="M902" s="91">
        <v>8.99</v>
      </c>
      <c r="N902" s="89">
        <f t="shared" si="126"/>
        <v>5.01</v>
      </c>
      <c r="O902" s="89">
        <f t="shared" si="127"/>
        <v>7.5901116165261593</v>
      </c>
      <c r="P902" s="97">
        <f t="shared" si="128"/>
        <v>4.0001116165261585</v>
      </c>
      <c r="Q902" s="135">
        <f t="shared" si="131"/>
        <v>2.5697352591015725E-8</v>
      </c>
      <c r="R902" s="89">
        <f t="shared" si="131"/>
        <v>9.997430264740894E-5</v>
      </c>
      <c r="S902" s="89">
        <f t="shared" si="132"/>
        <v>1.0232929922807512E-9</v>
      </c>
      <c r="T902" s="136">
        <f t="shared" si="132"/>
        <v>9.7723722095581059E-6</v>
      </c>
      <c r="U902" s="137">
        <f t="shared" si="133"/>
        <v>2.569735259101574E-4</v>
      </c>
      <c r="V902" s="88">
        <f t="shared" si="129"/>
        <v>4.9898883834738417</v>
      </c>
      <c r="W902" s="86">
        <f t="shared" si="134"/>
        <v>2.5801116165261595</v>
      </c>
      <c r="X902" s="90">
        <f t="shared" si="130"/>
        <v>9.7430264740898422E-3</v>
      </c>
    </row>
    <row r="903" spans="13:24" x14ac:dyDescent="0.25">
      <c r="M903" s="91">
        <v>9</v>
      </c>
      <c r="N903" s="89">
        <f t="shared" si="126"/>
        <v>5</v>
      </c>
      <c r="O903" s="89">
        <f t="shared" si="127"/>
        <v>7.600109076142866</v>
      </c>
      <c r="P903" s="97">
        <f t="shared" si="128"/>
        <v>4.0001090761428664</v>
      </c>
      <c r="Q903" s="135">
        <f t="shared" si="131"/>
        <v>2.511255632614617E-8</v>
      </c>
      <c r="R903" s="89">
        <f t="shared" si="131"/>
        <v>9.9974887443673739E-5</v>
      </c>
      <c r="S903" s="89">
        <f t="shared" si="132"/>
        <v>1.0000000000000001E-9</v>
      </c>
      <c r="T903" s="136">
        <f t="shared" si="132"/>
        <v>1.0000000000000001E-5</v>
      </c>
      <c r="U903" s="137">
        <f t="shared" si="133"/>
        <v>2.5112556326146199E-4</v>
      </c>
      <c r="V903" s="88">
        <f t="shared" si="129"/>
        <v>4.9998909238571336</v>
      </c>
      <c r="W903" s="86">
        <f t="shared" si="134"/>
        <v>2.600109076142866</v>
      </c>
      <c r="X903" s="90">
        <f t="shared" si="130"/>
        <v>9.7488744367385388E-3</v>
      </c>
    </row>
    <row r="904" spans="13:24" x14ac:dyDescent="0.25">
      <c r="M904" s="91">
        <v>9.01</v>
      </c>
      <c r="N904" s="89">
        <f t="shared" si="126"/>
        <v>4.99</v>
      </c>
      <c r="O904" s="89">
        <f t="shared" si="127"/>
        <v>7.610106593571401</v>
      </c>
      <c r="P904" s="97">
        <f t="shared" si="128"/>
        <v>4.0001065935714015</v>
      </c>
      <c r="Q904" s="135">
        <f t="shared" si="131"/>
        <v>2.4541065039734969E-8</v>
      </c>
      <c r="R904" s="89">
        <f t="shared" si="131"/>
        <v>9.9975458934960216E-5</v>
      </c>
      <c r="S904" s="89">
        <f t="shared" si="132"/>
        <v>9.7723722095580808E-10</v>
      </c>
      <c r="T904" s="136">
        <f t="shared" si="132"/>
        <v>1.0232929922807521E-5</v>
      </c>
      <c r="U904" s="137">
        <f t="shared" si="133"/>
        <v>2.454106503973498E-4</v>
      </c>
      <c r="V904" s="88">
        <f t="shared" si="129"/>
        <v>5.0098934064285983</v>
      </c>
      <c r="W904" s="86">
        <f t="shared" si="134"/>
        <v>2.6201065935714007</v>
      </c>
      <c r="X904" s="90">
        <f t="shared" si="130"/>
        <v>9.7545893496026499E-3</v>
      </c>
    </row>
    <row r="905" spans="13:24" x14ac:dyDescent="0.25">
      <c r="M905" s="91">
        <v>9.02</v>
      </c>
      <c r="N905" s="89">
        <f t="shared" si="126"/>
        <v>4.9800000000000004</v>
      </c>
      <c r="O905" s="89">
        <f t="shared" si="127"/>
        <v>7.6201041674964518</v>
      </c>
      <c r="P905" s="97">
        <f t="shared" si="128"/>
        <v>4.0001041674964526</v>
      </c>
      <c r="Q905" s="135">
        <f t="shared" si="131"/>
        <v>2.3982576170874714E-8</v>
      </c>
      <c r="R905" s="89">
        <f t="shared" si="131"/>
        <v>9.9976017423828906E-5</v>
      </c>
      <c r="S905" s="89">
        <f t="shared" si="132"/>
        <v>9.5499258602143329E-10</v>
      </c>
      <c r="T905" s="136">
        <f t="shared" si="132"/>
        <v>1.0471285480508972E-5</v>
      </c>
      <c r="U905" s="137">
        <f t="shared" si="133"/>
        <v>2.3982576170874769E-4</v>
      </c>
      <c r="V905" s="88">
        <f t="shared" si="129"/>
        <v>5.019895832503547</v>
      </c>
      <c r="W905" s="86">
        <f t="shared" si="134"/>
        <v>2.6401041674964514</v>
      </c>
      <c r="X905" s="90">
        <f t="shared" si="130"/>
        <v>9.760174238291253E-3</v>
      </c>
    </row>
    <row r="906" spans="13:24" x14ac:dyDescent="0.25">
      <c r="M906" s="91">
        <v>9.0299999999999994</v>
      </c>
      <c r="N906" s="89">
        <f t="shared" si="126"/>
        <v>4.9700000000000006</v>
      </c>
      <c r="O906" s="89">
        <f t="shared" si="127"/>
        <v>7.6301017966326166</v>
      </c>
      <c r="P906" s="97">
        <f t="shared" si="128"/>
        <v>4.0001017966326176</v>
      </c>
      <c r="Q906" s="135">
        <f t="shared" si="131"/>
        <v>2.3436794032408308E-8</v>
      </c>
      <c r="R906" s="89">
        <f t="shared" si="131"/>
        <v>9.9976563205967479E-5</v>
      </c>
      <c r="S906" s="89">
        <f t="shared" si="132"/>
        <v>9.3325430079699202E-10</v>
      </c>
      <c r="T906" s="136">
        <f t="shared" si="132"/>
        <v>1.071519305237604E-5</v>
      </c>
      <c r="U906" s="137">
        <f t="shared" si="133"/>
        <v>2.3436794032408336E-4</v>
      </c>
      <c r="V906" s="88">
        <f t="shared" si="129"/>
        <v>5.0298982033673818</v>
      </c>
      <c r="W906" s="86">
        <f t="shared" si="134"/>
        <v>2.6601017966326159</v>
      </c>
      <c r="X906" s="90">
        <f t="shared" si="130"/>
        <v>9.7656320596759168E-3</v>
      </c>
    </row>
    <row r="907" spans="13:24" x14ac:dyDescent="0.25">
      <c r="M907" s="91">
        <v>9.0399999999999991</v>
      </c>
      <c r="N907" s="89">
        <f t="shared" si="126"/>
        <v>4.9600000000000009</v>
      </c>
      <c r="O907" s="89">
        <f t="shared" si="127"/>
        <v>7.6400994797237267</v>
      </c>
      <c r="P907" s="97">
        <f t="shared" si="128"/>
        <v>4.0000994797237279</v>
      </c>
      <c r="Q907" s="135">
        <f t="shared" si="131"/>
        <v>2.2903429655064306E-8</v>
      </c>
      <c r="R907" s="89">
        <f t="shared" si="131"/>
        <v>9.9977096570344828E-5</v>
      </c>
      <c r="S907" s="89">
        <f t="shared" si="132"/>
        <v>9.1201083935591081E-10</v>
      </c>
      <c r="T907" s="136">
        <f t="shared" si="132"/>
        <v>1.0964781961431825E-5</v>
      </c>
      <c r="U907" s="137">
        <f t="shared" si="133"/>
        <v>2.2903429655064331E-4</v>
      </c>
      <c r="V907" s="88">
        <f t="shared" si="129"/>
        <v>5.0399005202762712</v>
      </c>
      <c r="W907" s="86">
        <f t="shared" si="134"/>
        <v>2.6800994797237259</v>
      </c>
      <c r="X907" s="90">
        <f t="shared" si="130"/>
        <v>9.7709657034493573E-3</v>
      </c>
    </row>
    <row r="908" spans="13:24" x14ac:dyDescent="0.25">
      <c r="M908" s="91">
        <v>9.0500000000000007</v>
      </c>
      <c r="N908" s="89">
        <f t="shared" si="126"/>
        <v>4.9499999999999993</v>
      </c>
      <c r="O908" s="89">
        <f t="shared" si="127"/>
        <v>7.6500972155421829</v>
      </c>
      <c r="P908" s="97">
        <f t="shared" si="128"/>
        <v>4.0000972155421817</v>
      </c>
      <c r="Q908" s="135">
        <f t="shared" si="131"/>
        <v>2.2382200635114356E-8</v>
      </c>
      <c r="R908" s="89">
        <f t="shared" si="131"/>
        <v>9.9977617799364735E-5</v>
      </c>
      <c r="S908" s="89">
        <f t="shared" si="132"/>
        <v>8.9125093813374338E-10</v>
      </c>
      <c r="T908" s="136">
        <f t="shared" si="132"/>
        <v>1.1220184543019647E-5</v>
      </c>
      <c r="U908" s="137">
        <f t="shared" si="133"/>
        <v>2.2382200635114391E-4</v>
      </c>
      <c r="V908" s="88">
        <f t="shared" si="129"/>
        <v>5.049902784457819</v>
      </c>
      <c r="W908" s="86">
        <f t="shared" si="134"/>
        <v>2.7000972155421836</v>
      </c>
      <c r="X908" s="90">
        <f t="shared" si="130"/>
        <v>9.7761779936488564E-3</v>
      </c>
    </row>
    <row r="909" spans="13:24" x14ac:dyDescent="0.25">
      <c r="M909" s="91">
        <v>9.06</v>
      </c>
      <c r="N909" s="89">
        <f t="shared" si="126"/>
        <v>4.9399999999999995</v>
      </c>
      <c r="O909" s="89">
        <f t="shared" si="127"/>
        <v>7.6600950028882959</v>
      </c>
      <c r="P909" s="97">
        <f t="shared" si="128"/>
        <v>4.0000950028882949</v>
      </c>
      <c r="Q909" s="135">
        <f t="shared" si="131"/>
        <v>2.1872830985471746E-8</v>
      </c>
      <c r="R909" s="89">
        <f t="shared" si="131"/>
        <v>9.9978127169014465E-5</v>
      </c>
      <c r="S909" s="89">
        <f t="shared" si="132"/>
        <v>8.709635899560787E-10</v>
      </c>
      <c r="T909" s="136">
        <f t="shared" si="132"/>
        <v>1.1481536214968819E-5</v>
      </c>
      <c r="U909" s="137">
        <f t="shared" si="133"/>
        <v>2.1872830985471761E-4</v>
      </c>
      <c r="V909" s="88">
        <f t="shared" si="129"/>
        <v>5.0599049971117056</v>
      </c>
      <c r="W909" s="86">
        <f t="shared" si="134"/>
        <v>2.7200950028882964</v>
      </c>
      <c r="X909" s="90">
        <f t="shared" si="130"/>
        <v>9.7812716901452823E-3</v>
      </c>
    </row>
    <row r="910" spans="13:24" x14ac:dyDescent="0.25">
      <c r="M910" s="91">
        <v>9.07</v>
      </c>
      <c r="N910" s="89">
        <f t="shared" si="126"/>
        <v>4.93</v>
      </c>
      <c r="O910" s="89">
        <f t="shared" si="127"/>
        <v>7.6700928405896693</v>
      </c>
      <c r="P910" s="97">
        <f t="shared" si="128"/>
        <v>4.0000928405896694</v>
      </c>
      <c r="Q910" s="135">
        <f t="shared" si="131"/>
        <v>2.1375050990154513E-8</v>
      </c>
      <c r="R910" s="89">
        <f t="shared" si="131"/>
        <v>9.9978624949009735E-5</v>
      </c>
      <c r="S910" s="89">
        <f t="shared" si="132"/>
        <v>8.5113803820237469E-10</v>
      </c>
      <c r="T910" s="136">
        <f t="shared" si="132"/>
        <v>1.1748975549395286E-5</v>
      </c>
      <c r="U910" s="137">
        <f t="shared" si="133"/>
        <v>2.1375050990154538E-4</v>
      </c>
      <c r="V910" s="88">
        <f t="shared" si="129"/>
        <v>5.0699071594103309</v>
      </c>
      <c r="W910" s="86">
        <f t="shared" si="134"/>
        <v>2.7400928405896696</v>
      </c>
      <c r="X910" s="90">
        <f t="shared" si="130"/>
        <v>9.7862494900984552E-3</v>
      </c>
    </row>
    <row r="911" spans="13:24" x14ac:dyDescent="0.25">
      <c r="M911" s="91">
        <v>9.08</v>
      </c>
      <c r="N911" s="89">
        <f t="shared" si="126"/>
        <v>4.92</v>
      </c>
      <c r="O911" s="89">
        <f t="shared" si="127"/>
        <v>7.6800907275005681</v>
      </c>
      <c r="P911" s="97">
        <f t="shared" si="128"/>
        <v>4.0000907275005684</v>
      </c>
      <c r="Q911" s="135">
        <f t="shared" si="131"/>
        <v>2.0888597062038281E-8</v>
      </c>
      <c r="R911" s="89">
        <f t="shared" si="131"/>
        <v>9.9979111402937791E-5</v>
      </c>
      <c r="S911" s="89">
        <f t="shared" si="132"/>
        <v>8.3176377110266926E-10</v>
      </c>
      <c r="T911" s="136">
        <f t="shared" si="132"/>
        <v>1.2022644346174118E-5</v>
      </c>
      <c r="U911" s="137">
        <f t="shared" si="133"/>
        <v>2.0888597062038316E-4</v>
      </c>
      <c r="V911" s="88">
        <f t="shared" si="129"/>
        <v>5.0799092724994317</v>
      </c>
      <c r="W911" s="86">
        <f t="shared" si="134"/>
        <v>2.7600907275005682</v>
      </c>
      <c r="X911" s="90">
        <f t="shared" si="130"/>
        <v>9.7911140293796169E-3</v>
      </c>
    </row>
    <row r="912" spans="13:24" x14ac:dyDescent="0.25">
      <c r="M912" s="91">
        <v>9.09</v>
      </c>
      <c r="N912" s="89">
        <f t="shared" si="126"/>
        <v>4.91</v>
      </c>
      <c r="O912" s="89">
        <f t="shared" si="127"/>
        <v>7.6900886625013145</v>
      </c>
      <c r="P912" s="97">
        <f t="shared" si="128"/>
        <v>4.0000886625013141</v>
      </c>
      <c r="Q912" s="135">
        <f t="shared" si="131"/>
        <v>2.0413211603824857E-8</v>
      </c>
      <c r="R912" s="89">
        <f t="shared" si="131"/>
        <v>9.997958678839626E-5</v>
      </c>
      <c r="S912" s="89">
        <f t="shared" si="132"/>
        <v>8.1283051616409768E-10</v>
      </c>
      <c r="T912" s="136">
        <f t="shared" si="132"/>
        <v>1.2302687708123802E-5</v>
      </c>
      <c r="U912" s="137">
        <f t="shared" si="133"/>
        <v>2.0413211603824839E-4</v>
      </c>
      <c r="V912" s="88">
        <f t="shared" si="129"/>
        <v>5.0899113374986857</v>
      </c>
      <c r="W912" s="86">
        <f t="shared" si="134"/>
        <v>2.7800886625013144</v>
      </c>
      <c r="X912" s="90">
        <f t="shared" si="130"/>
        <v>9.7958678839617525E-3</v>
      </c>
    </row>
    <row r="913" spans="13:24" x14ac:dyDescent="0.25">
      <c r="M913" s="91">
        <v>9.1</v>
      </c>
      <c r="N913" s="89">
        <f t="shared" si="126"/>
        <v>4.9000000000000004</v>
      </c>
      <c r="O913" s="89">
        <f t="shared" si="127"/>
        <v>7.7000866444976959</v>
      </c>
      <c r="P913" s="97">
        <f t="shared" si="128"/>
        <v>4.0000866444976966</v>
      </c>
      <c r="Q913" s="135">
        <f t="shared" si="131"/>
        <v>1.994864287215306E-8</v>
      </c>
      <c r="R913" s="89">
        <f t="shared" si="131"/>
        <v>9.9980051357127794E-5</v>
      </c>
      <c r="S913" s="89">
        <f t="shared" si="132"/>
        <v>7.9432823472428E-10</v>
      </c>
      <c r="T913" s="136">
        <f t="shared" si="132"/>
        <v>1.2589254117941658E-5</v>
      </c>
      <c r="U913" s="137">
        <f t="shared" si="133"/>
        <v>1.9948642872153071E-4</v>
      </c>
      <c r="V913" s="88">
        <f t="shared" si="129"/>
        <v>5.0999133555023031</v>
      </c>
      <c r="W913" s="86">
        <f t="shared" si="134"/>
        <v>2.8000866444976955</v>
      </c>
      <c r="X913" s="90">
        <f t="shared" si="130"/>
        <v>9.8005135712784693E-3</v>
      </c>
    </row>
    <row r="914" spans="13:24" x14ac:dyDescent="0.25">
      <c r="M914" s="91">
        <v>9.11</v>
      </c>
      <c r="N914" s="89">
        <f t="shared" si="126"/>
        <v>4.8900000000000006</v>
      </c>
      <c r="O914" s="89">
        <f t="shared" si="127"/>
        <v>7.7100846724203889</v>
      </c>
      <c r="P914" s="97">
        <f t="shared" si="128"/>
        <v>4.0000846724203898</v>
      </c>
      <c r="Q914" s="135">
        <f t="shared" si="131"/>
        <v>1.9494644844782956E-8</v>
      </c>
      <c r="R914" s="89">
        <f t="shared" si="131"/>
        <v>9.9980505355155131E-5</v>
      </c>
      <c r="S914" s="89">
        <f t="shared" si="132"/>
        <v>7.7624711662869035E-10</v>
      </c>
      <c r="T914" s="136">
        <f t="shared" si="132"/>
        <v>1.2882495516931301E-5</v>
      </c>
      <c r="U914" s="137">
        <f t="shared" si="133"/>
        <v>1.9494644844782972E-4</v>
      </c>
      <c r="V914" s="88">
        <f t="shared" si="129"/>
        <v>5.1099153275796096</v>
      </c>
      <c r="W914" s="86">
        <f t="shared" si="134"/>
        <v>2.8200846724203883</v>
      </c>
      <c r="X914" s="90">
        <f t="shared" si="130"/>
        <v>9.8050535515521713E-3</v>
      </c>
    </row>
    <row r="915" spans="13:24" x14ac:dyDescent="0.25">
      <c r="M915" s="91">
        <v>9.1199999999999992</v>
      </c>
      <c r="N915" s="89">
        <f t="shared" si="126"/>
        <v>4.8800000000000008</v>
      </c>
      <c r="O915" s="89">
        <f t="shared" si="127"/>
        <v>7.7200827452243903</v>
      </c>
      <c r="P915" s="97">
        <f t="shared" si="128"/>
        <v>4.0000827452243914</v>
      </c>
      <c r="Q915" s="135">
        <f t="shared" si="131"/>
        <v>1.9050977090783915E-8</v>
      </c>
      <c r="R915" s="89">
        <f t="shared" si="131"/>
        <v>9.9980949022909074E-5</v>
      </c>
      <c r="S915" s="89">
        <f t="shared" si="132"/>
        <v>7.5857757502918245E-10</v>
      </c>
      <c r="T915" s="136">
        <f t="shared" si="132"/>
        <v>1.318256738556403E-5</v>
      </c>
      <c r="U915" s="137">
        <f t="shared" si="133"/>
        <v>1.9050977090783941E-4</v>
      </c>
      <c r="V915" s="88">
        <f t="shared" si="129"/>
        <v>5.1199172547756078</v>
      </c>
      <c r="W915" s="86">
        <f t="shared" si="134"/>
        <v>2.8400827452243895</v>
      </c>
      <c r="X915" s="90">
        <f t="shared" si="130"/>
        <v>9.8094902290921607E-3</v>
      </c>
    </row>
    <row r="916" spans="13:24" x14ac:dyDescent="0.25">
      <c r="M916" s="91">
        <v>9.1300000000000008</v>
      </c>
      <c r="N916" s="89">
        <f t="shared" si="126"/>
        <v>4.8699999999999992</v>
      </c>
      <c r="O916" s="89">
        <f t="shared" si="127"/>
        <v>7.7300808618884673</v>
      </c>
      <c r="P916" s="97">
        <f t="shared" si="128"/>
        <v>4.0000808618884669</v>
      </c>
      <c r="Q916" s="135">
        <f t="shared" si="131"/>
        <v>1.8617404643658153E-8</v>
      </c>
      <c r="R916" s="89">
        <f t="shared" si="131"/>
        <v>9.9981382595356225E-5</v>
      </c>
      <c r="S916" s="89">
        <f t="shared" si="132"/>
        <v>7.413102413009137E-10</v>
      </c>
      <c r="T916" s="136">
        <f t="shared" si="132"/>
        <v>1.3489628825916542E-5</v>
      </c>
      <c r="U916" s="137">
        <f t="shared" si="133"/>
        <v>1.8617404643658176E-4</v>
      </c>
      <c r="V916" s="88">
        <f t="shared" si="129"/>
        <v>5.1299191381115339</v>
      </c>
      <c r="W916" s="86">
        <f t="shared" si="134"/>
        <v>2.8600808618884681</v>
      </c>
      <c r="X916" s="90">
        <f t="shared" si="130"/>
        <v>9.8138259535634192E-3</v>
      </c>
    </row>
    <row r="917" spans="13:24" x14ac:dyDescent="0.25">
      <c r="M917" s="91">
        <v>9.14</v>
      </c>
      <c r="N917" s="89">
        <f t="shared" si="126"/>
        <v>4.8599999999999994</v>
      </c>
      <c r="O917" s="89">
        <f t="shared" si="127"/>
        <v>7.7400790214146129</v>
      </c>
      <c r="P917" s="97">
        <f t="shared" si="128"/>
        <v>4.0000790214146118</v>
      </c>
      <c r="Q917" s="135">
        <f t="shared" si="131"/>
        <v>1.8193697877334876E-8</v>
      </c>
      <c r="R917" s="89">
        <f t="shared" si="131"/>
        <v>9.9981806302122675E-5</v>
      </c>
      <c r="S917" s="89">
        <f t="shared" si="132"/>
        <v>7.2443596007498633E-10</v>
      </c>
      <c r="T917" s="136">
        <f t="shared" si="132"/>
        <v>1.3803842646028852E-5</v>
      </c>
      <c r="U917" s="137">
        <f t="shared" si="133"/>
        <v>1.8193697877334875E-4</v>
      </c>
      <c r="V917" s="88">
        <f t="shared" si="129"/>
        <v>5.1399209785853888</v>
      </c>
      <c r="W917" s="86">
        <f t="shared" si="134"/>
        <v>2.8800790214146135</v>
      </c>
      <c r="X917" s="90">
        <f t="shared" si="130"/>
        <v>9.8180630212266508E-3</v>
      </c>
    </row>
    <row r="918" spans="13:24" x14ac:dyDescent="0.25">
      <c r="M918" s="91">
        <v>9.15</v>
      </c>
      <c r="N918" s="89">
        <f t="shared" si="126"/>
        <v>4.8499999999999996</v>
      </c>
      <c r="O918" s="89">
        <f t="shared" si="127"/>
        <v>7.7500772228275219</v>
      </c>
      <c r="P918" s="97">
        <f t="shared" si="128"/>
        <v>4.000077222827521</v>
      </c>
      <c r="Q918" s="135">
        <f t="shared" si="131"/>
        <v>1.7779632384970326E-8</v>
      </c>
      <c r="R918" s="89">
        <f t="shared" si="131"/>
        <v>9.9982220367615112E-5</v>
      </c>
      <c r="S918" s="89">
        <f t="shared" si="132"/>
        <v>7.079457843841369E-10</v>
      </c>
      <c r="T918" s="136">
        <f t="shared" si="132"/>
        <v>1.4125375446227545E-5</v>
      </c>
      <c r="U918" s="137">
        <f t="shared" si="133"/>
        <v>1.7779632384970311E-4</v>
      </c>
      <c r="V918" s="88">
        <f t="shared" si="129"/>
        <v>5.1499227771724794</v>
      </c>
      <c r="W918" s="86">
        <f t="shared" si="134"/>
        <v>2.9000772228275222</v>
      </c>
      <c r="X918" s="90">
        <f t="shared" si="130"/>
        <v>9.822203676150297E-3</v>
      </c>
    </row>
    <row r="919" spans="13:24" x14ac:dyDescent="0.25">
      <c r="M919" s="91">
        <v>9.16</v>
      </c>
      <c r="N919" s="89">
        <f t="shared" si="126"/>
        <v>4.84</v>
      </c>
      <c r="O919" s="89">
        <f t="shared" si="127"/>
        <v>7.7600754651740749</v>
      </c>
      <c r="P919" s="97">
        <f t="shared" si="128"/>
        <v>4.0000754651740751</v>
      </c>
      <c r="Q919" s="135">
        <f t="shared" si="131"/>
        <v>1.7374988860489629E-8</v>
      </c>
      <c r="R919" s="89">
        <f t="shared" si="131"/>
        <v>9.9982625011139461E-5</v>
      </c>
      <c r="S919" s="89">
        <f t="shared" si="132"/>
        <v>6.9183097091893558E-10</v>
      </c>
      <c r="T919" s="136">
        <f t="shared" si="132"/>
        <v>1.4454397707459275E-5</v>
      </c>
      <c r="U919" s="137">
        <f t="shared" si="133"/>
        <v>1.7374988860489638E-4</v>
      </c>
      <c r="V919" s="88">
        <f t="shared" si="129"/>
        <v>5.1599245348259251</v>
      </c>
      <c r="W919" s="86">
        <f t="shared" si="134"/>
        <v>2.920075465174075</v>
      </c>
      <c r="X919" s="90">
        <f t="shared" si="130"/>
        <v>9.8262501113951031E-3</v>
      </c>
    </row>
    <row r="920" spans="13:24" x14ac:dyDescent="0.25">
      <c r="M920" s="91">
        <v>9.17</v>
      </c>
      <c r="N920" s="89">
        <f t="shared" si="126"/>
        <v>4.83</v>
      </c>
      <c r="O920" s="89">
        <f t="shared" si="127"/>
        <v>7.770073747522833</v>
      </c>
      <c r="P920" s="97">
        <f t="shared" si="128"/>
        <v>4.0000737475228334</v>
      </c>
      <c r="Q920" s="135">
        <f t="shared" si="131"/>
        <v>1.697955298280994E-8</v>
      </c>
      <c r="R920" s="89">
        <f t="shared" si="131"/>
        <v>9.9983020447017121E-5</v>
      </c>
      <c r="S920" s="89">
        <f t="shared" si="132"/>
        <v>6.7608297539198086E-10</v>
      </c>
      <c r="T920" s="136">
        <f t="shared" si="132"/>
        <v>1.4791083881682046E-5</v>
      </c>
      <c r="U920" s="137">
        <f t="shared" si="133"/>
        <v>1.6979552982809951E-4</v>
      </c>
      <c r="V920" s="88">
        <f t="shared" si="129"/>
        <v>5.1699262524771665</v>
      </c>
      <c r="W920" s="86">
        <f t="shared" si="134"/>
        <v>2.9400737475228329</v>
      </c>
      <c r="X920" s="90">
        <f t="shared" si="130"/>
        <v>9.8302044701719E-3</v>
      </c>
    </row>
    <row r="921" spans="13:24" x14ac:dyDescent="0.25">
      <c r="M921" s="91">
        <v>9.18</v>
      </c>
      <c r="N921" s="89">
        <f t="shared" si="126"/>
        <v>4.82</v>
      </c>
      <c r="O921" s="89">
        <f t="shared" si="127"/>
        <v>7.7800720689635439</v>
      </c>
      <c r="P921" s="97">
        <f t="shared" si="128"/>
        <v>4.0000720689635436</v>
      </c>
      <c r="Q921" s="135">
        <f t="shared" si="131"/>
        <v>1.6593115302684582E-8</v>
      </c>
      <c r="R921" s="89">
        <f t="shared" si="131"/>
        <v>9.9983406884697248E-5</v>
      </c>
      <c r="S921" s="89">
        <f t="shared" si="132"/>
        <v>6.6069344800759527E-10</v>
      </c>
      <c r="T921" s="136">
        <f t="shared" si="132"/>
        <v>1.5135612484362051E-5</v>
      </c>
      <c r="U921" s="137">
        <f t="shared" si="133"/>
        <v>1.6593115302684594E-4</v>
      </c>
      <c r="V921" s="88">
        <f t="shared" si="129"/>
        <v>5.1799279310364561</v>
      </c>
      <c r="W921" s="86">
        <f t="shared" si="134"/>
        <v>2.9600720689635436</v>
      </c>
      <c r="X921" s="90">
        <f t="shared" si="130"/>
        <v>9.8340688469731544E-3</v>
      </c>
    </row>
    <row r="922" spans="13:24" x14ac:dyDescent="0.25">
      <c r="M922" s="91">
        <v>9.19</v>
      </c>
      <c r="N922" s="89">
        <f t="shared" si="126"/>
        <v>4.8100000000000005</v>
      </c>
      <c r="O922" s="89">
        <f t="shared" si="127"/>
        <v>7.7900704286066604</v>
      </c>
      <c r="P922" s="97">
        <f t="shared" si="128"/>
        <v>4.0000704286066604</v>
      </c>
      <c r="Q922" s="135">
        <f t="shared" si="131"/>
        <v>1.6215471132107713E-8</v>
      </c>
      <c r="R922" s="89">
        <f t="shared" si="131"/>
        <v>9.9983784528867958E-5</v>
      </c>
      <c r="S922" s="89">
        <f t="shared" si="132"/>
        <v>6.4565422903465485E-10</v>
      </c>
      <c r="T922" s="136">
        <f t="shared" si="132"/>
        <v>1.5488166189124783E-5</v>
      </c>
      <c r="U922" s="137">
        <f t="shared" si="133"/>
        <v>1.6215471132107704E-4</v>
      </c>
      <c r="V922" s="88">
        <f t="shared" si="129"/>
        <v>5.1899295713933391</v>
      </c>
      <c r="W922" s="86">
        <f t="shared" si="134"/>
        <v>2.9800704286066599</v>
      </c>
      <c r="X922" s="90">
        <f t="shared" si="130"/>
        <v>9.8378452886789224E-3</v>
      </c>
    </row>
    <row r="923" spans="13:24" x14ac:dyDescent="0.25">
      <c r="M923" s="91">
        <v>9.1999999999999993</v>
      </c>
      <c r="N923" s="89">
        <f t="shared" si="126"/>
        <v>4.8000000000000007</v>
      </c>
      <c r="O923" s="89">
        <f t="shared" si="127"/>
        <v>7.8000688255828727</v>
      </c>
      <c r="P923" s="97">
        <f t="shared" si="128"/>
        <v>4.0000688255828738</v>
      </c>
      <c r="Q923" s="135">
        <f t="shared" si="131"/>
        <v>1.5846420436223725E-8</v>
      </c>
      <c r="R923" s="89">
        <f t="shared" si="131"/>
        <v>9.9984153579563614E-5</v>
      </c>
      <c r="S923" s="89">
        <f t="shared" si="132"/>
        <v>6.309573444801927E-10</v>
      </c>
      <c r="T923" s="136">
        <f t="shared" si="132"/>
        <v>1.5848931924611101E-5</v>
      </c>
      <c r="U923" s="137">
        <f t="shared" si="133"/>
        <v>1.5846420436223751E-4</v>
      </c>
      <c r="V923" s="88">
        <f t="shared" si="129"/>
        <v>5.1999311744171255</v>
      </c>
      <c r="W923" s="86">
        <f t="shared" si="134"/>
        <v>3.000068825582872</v>
      </c>
      <c r="X923" s="90">
        <f t="shared" si="130"/>
        <v>9.8415357956377625E-3</v>
      </c>
    </row>
    <row r="924" spans="13:24" x14ac:dyDescent="0.25">
      <c r="M924" s="91">
        <v>9.2100000000000009</v>
      </c>
      <c r="N924" s="89">
        <f t="shared" si="126"/>
        <v>4.7899999999999991</v>
      </c>
      <c r="O924" s="89">
        <f t="shared" si="127"/>
        <v>7.810067259042647</v>
      </c>
      <c r="P924" s="97">
        <f t="shared" si="128"/>
        <v>4.0000672590426456</v>
      </c>
      <c r="Q924" s="135">
        <f t="shared" si="131"/>
        <v>1.548576772768344E-8</v>
      </c>
      <c r="R924" s="89">
        <f t="shared" si="131"/>
        <v>9.9984514232272266E-5</v>
      </c>
      <c r="S924" s="89">
        <f t="shared" si="132"/>
        <v>6.1659500186147947E-10</v>
      </c>
      <c r="T924" s="136">
        <f t="shared" si="132"/>
        <v>1.6218100973589322E-5</v>
      </c>
      <c r="U924" s="137">
        <f t="shared" si="133"/>
        <v>1.5485767727683447E-4</v>
      </c>
      <c r="V924" s="88">
        <f t="shared" si="129"/>
        <v>5.2099327409573553</v>
      </c>
      <c r="W924" s="86">
        <f t="shared" si="134"/>
        <v>3.0200672590426478</v>
      </c>
      <c r="X924" s="90">
        <f t="shared" si="130"/>
        <v>9.8451423227231653E-3</v>
      </c>
    </row>
    <row r="925" spans="13:24" x14ac:dyDescent="0.25">
      <c r="M925" s="91">
        <v>9.2200000000000006</v>
      </c>
      <c r="N925" s="89">
        <f t="shared" si="126"/>
        <v>4.7799999999999994</v>
      </c>
      <c r="O925" s="89">
        <f t="shared" si="127"/>
        <v>7.8200657281557682</v>
      </c>
      <c r="P925" s="97">
        <f t="shared" si="128"/>
        <v>4.0000657281557679</v>
      </c>
      <c r="Q925" s="135">
        <f t="shared" si="131"/>
        <v>1.5133321963393642E-8</v>
      </c>
      <c r="R925" s="89">
        <f t="shared" si="131"/>
        <v>9.9984866678036544E-5</v>
      </c>
      <c r="S925" s="89">
        <f t="shared" si="132"/>
        <v>6.0255958607435515E-10</v>
      </c>
      <c r="T925" s="136">
        <f t="shared" si="132"/>
        <v>1.6595869074375629E-5</v>
      </c>
      <c r="U925" s="137">
        <f t="shared" si="133"/>
        <v>1.5133321963393652E-4</v>
      </c>
      <c r="V925" s="88">
        <f t="shared" si="129"/>
        <v>5.2199342718442328</v>
      </c>
      <c r="W925" s="86">
        <f t="shared" si="134"/>
        <v>3.0400657281557688</v>
      </c>
      <c r="X925" s="90">
        <f t="shared" si="130"/>
        <v>9.8486667803660641E-3</v>
      </c>
    </row>
    <row r="926" spans="13:24" x14ac:dyDescent="0.25">
      <c r="M926" s="91">
        <v>9.23</v>
      </c>
      <c r="N926" s="89">
        <f t="shared" si="126"/>
        <v>4.7699999999999996</v>
      </c>
      <c r="O926" s="89">
        <f t="shared" si="127"/>
        <v>7.8300642321109164</v>
      </c>
      <c r="P926" s="97">
        <f t="shared" si="128"/>
        <v>4.0000642321109163</v>
      </c>
      <c r="Q926" s="135">
        <f t="shared" si="131"/>
        <v>1.4788896443603877E-8</v>
      </c>
      <c r="R926" s="89">
        <f t="shared" si="131"/>
        <v>9.998521110355632E-5</v>
      </c>
      <c r="S926" s="89">
        <f t="shared" si="132"/>
        <v>5.8884365535558649E-10</v>
      </c>
      <c r="T926" s="136">
        <f t="shared" si="132"/>
        <v>1.6982436524617432E-5</v>
      </c>
      <c r="U926" s="137">
        <f t="shared" si="133"/>
        <v>1.4788896443603889E-4</v>
      </c>
      <c r="V926" s="88">
        <f t="shared" si="129"/>
        <v>5.2299357678890841</v>
      </c>
      <c r="W926" s="86">
        <f t="shared" si="134"/>
        <v>3.0600642321109168</v>
      </c>
      <c r="X926" s="90">
        <f t="shared" si="130"/>
        <v>9.8521110355639617E-3</v>
      </c>
    </row>
    <row r="927" spans="13:24" x14ac:dyDescent="0.25">
      <c r="M927" s="91">
        <v>9.24</v>
      </c>
      <c r="N927" s="89">
        <f t="shared" si="126"/>
        <v>4.76</v>
      </c>
      <c r="O927" s="89">
        <f t="shared" si="127"/>
        <v>7.8400627701152246</v>
      </c>
      <c r="P927" s="97">
        <f t="shared" si="128"/>
        <v>4.0000627701152238</v>
      </c>
      <c r="Q927" s="135">
        <f t="shared" si="131"/>
        <v>1.4452308713279908E-8</v>
      </c>
      <c r="R927" s="89">
        <f t="shared" si="131"/>
        <v>9.9985547691286691E-5</v>
      </c>
      <c r="S927" s="89">
        <f t="shared" si="132"/>
        <v>5.7543993733715462E-10</v>
      </c>
      <c r="T927" s="136">
        <f t="shared" si="132"/>
        <v>1.7378008287493744E-5</v>
      </c>
      <c r="U927" s="137">
        <f t="shared" si="133"/>
        <v>1.4452308713279913E-4</v>
      </c>
      <c r="V927" s="88">
        <f t="shared" si="129"/>
        <v>5.2399372298847764</v>
      </c>
      <c r="W927" s="86">
        <f t="shared" si="134"/>
        <v>3.0800627701152248</v>
      </c>
      <c r="X927" s="90">
        <f t="shared" si="130"/>
        <v>9.8554769128672004E-3</v>
      </c>
    </row>
    <row r="928" spans="13:24" x14ac:dyDescent="0.25">
      <c r="M928" s="91">
        <v>9.25</v>
      </c>
      <c r="N928" s="89">
        <f t="shared" si="126"/>
        <v>4.75</v>
      </c>
      <c r="O928" s="89">
        <f t="shared" si="127"/>
        <v>7.8500613413938618</v>
      </c>
      <c r="P928" s="97">
        <f t="shared" si="128"/>
        <v>4.0000613413938622</v>
      </c>
      <c r="Q928" s="135">
        <f t="shared" si="131"/>
        <v>1.4123380465711063E-8</v>
      </c>
      <c r="R928" s="89">
        <f t="shared" si="131"/>
        <v>9.9985876619534164E-5</v>
      </c>
      <c r="S928" s="89">
        <f t="shared" si="132"/>
        <v>5.6234132519034889E-10</v>
      </c>
      <c r="T928" s="136">
        <f t="shared" si="132"/>
        <v>1.7782794100389215E-5</v>
      </c>
      <c r="U928" s="137">
        <f t="shared" si="133"/>
        <v>1.4123380465711082E-4</v>
      </c>
      <c r="V928" s="88">
        <f t="shared" si="129"/>
        <v>5.2499386586061378</v>
      </c>
      <c r="W928" s="86">
        <f t="shared" si="134"/>
        <v>3.1000613413938618</v>
      </c>
      <c r="X928" s="90">
        <f t="shared" si="130"/>
        <v>9.8587661953428891E-3</v>
      </c>
    </row>
    <row r="929" spans="13:24" x14ac:dyDescent="0.25">
      <c r="M929" s="91">
        <v>9.26</v>
      </c>
      <c r="N929" s="89">
        <f t="shared" si="126"/>
        <v>4.74</v>
      </c>
      <c r="O929" s="89">
        <f t="shared" si="127"/>
        <v>7.8600599451896267</v>
      </c>
      <c r="P929" s="97">
        <f t="shared" si="128"/>
        <v>4.0000599451896273</v>
      </c>
      <c r="Q929" s="135">
        <f t="shared" si="131"/>
        <v>1.3801937448301404E-8</v>
      </c>
      <c r="R929" s="89">
        <f t="shared" si="131"/>
        <v>9.9986198062551712E-5</v>
      </c>
      <c r="S929" s="89">
        <f t="shared" si="132"/>
        <v>5.495408738576243E-10</v>
      </c>
      <c r="T929" s="136">
        <f t="shared" si="132"/>
        <v>1.8197008586099817E-5</v>
      </c>
      <c r="U929" s="137">
        <f t="shared" si="133"/>
        <v>1.3801937448301401E-4</v>
      </c>
      <c r="V929" s="88">
        <f t="shared" si="129"/>
        <v>5.2599400548103725</v>
      </c>
      <c r="W929" s="86">
        <f t="shared" si="134"/>
        <v>3.1200599451896265</v>
      </c>
      <c r="X929" s="90">
        <f t="shared" si="130"/>
        <v>9.8619806255169865E-3</v>
      </c>
    </row>
    <row r="930" spans="13:24" x14ac:dyDescent="0.25">
      <c r="M930" s="91">
        <v>9.27</v>
      </c>
      <c r="N930" s="89">
        <f t="shared" si="126"/>
        <v>4.7300000000000004</v>
      </c>
      <c r="O930" s="89">
        <f t="shared" si="127"/>
        <v>7.8700585807625449</v>
      </c>
      <c r="P930" s="97">
        <f t="shared" si="128"/>
        <v>4.0000585807625457</v>
      </c>
      <c r="Q930" s="135">
        <f t="shared" si="131"/>
        <v>1.3487809370495672E-8</v>
      </c>
      <c r="R930" s="89">
        <f t="shared" si="131"/>
        <v>9.998651219062928E-5</v>
      </c>
      <c r="S930" s="89">
        <f t="shared" si="132"/>
        <v>5.3703179637025259E-10</v>
      </c>
      <c r="T930" s="136">
        <f t="shared" si="132"/>
        <v>1.8620871366628623E-5</v>
      </c>
      <c r="U930" s="137">
        <f t="shared" si="133"/>
        <v>1.3487809370495702E-4</v>
      </c>
      <c r="V930" s="88">
        <f t="shared" si="129"/>
        <v>5.2699414192374539</v>
      </c>
      <c r="W930" s="86">
        <f t="shared" si="134"/>
        <v>3.1400585807625445</v>
      </c>
      <c r="X930" s="90">
        <f t="shared" si="130"/>
        <v>9.8651219062950435E-3</v>
      </c>
    </row>
    <row r="931" spans="13:24" x14ac:dyDescent="0.25">
      <c r="M931" s="91">
        <v>9.2799999999999994</v>
      </c>
      <c r="N931" s="89">
        <f t="shared" si="126"/>
        <v>4.7200000000000006</v>
      </c>
      <c r="O931" s="89">
        <f t="shared" si="127"/>
        <v>7.8800572473894732</v>
      </c>
      <c r="P931" s="97">
        <f t="shared" si="128"/>
        <v>4.0000572473894733</v>
      </c>
      <c r="Q931" s="135">
        <f t="shared" si="131"/>
        <v>1.3180829813791904E-8</v>
      </c>
      <c r="R931" s="89">
        <f t="shared" si="131"/>
        <v>9.9986819170186139E-5</v>
      </c>
      <c r="S931" s="89">
        <f t="shared" si="132"/>
        <v>5.2480746024977249E-10</v>
      </c>
      <c r="T931" s="136">
        <f t="shared" si="132"/>
        <v>1.9054607179632416E-5</v>
      </c>
      <c r="U931" s="137">
        <f t="shared" si="133"/>
        <v>1.3180829813791913E-4</v>
      </c>
      <c r="V931" s="88">
        <f t="shared" si="129"/>
        <v>5.279942752610526</v>
      </c>
      <c r="W931" s="86">
        <f t="shared" si="134"/>
        <v>3.1600572473894726</v>
      </c>
      <c r="X931" s="90">
        <f t="shared" si="130"/>
        <v>9.8681917018620807E-3</v>
      </c>
    </row>
    <row r="932" spans="13:24" x14ac:dyDescent="0.25">
      <c r="M932" s="91">
        <v>9.2899999999999991</v>
      </c>
      <c r="N932" s="89">
        <f t="shared" si="126"/>
        <v>4.7100000000000009</v>
      </c>
      <c r="O932" s="89">
        <f t="shared" si="127"/>
        <v>7.8900559443637235</v>
      </c>
      <c r="P932" s="97">
        <f t="shared" si="128"/>
        <v>4.0000559443637238</v>
      </c>
      <c r="Q932" s="135">
        <f t="shared" si="131"/>
        <v>1.2880836143792568E-8</v>
      </c>
      <c r="R932" s="89">
        <f t="shared" si="131"/>
        <v>9.9987119163856181E-5</v>
      </c>
      <c r="S932" s="89">
        <f t="shared" si="132"/>
        <v>5.128613839913648E-10</v>
      </c>
      <c r="T932" s="136">
        <f t="shared" si="132"/>
        <v>1.9498445997580395E-5</v>
      </c>
      <c r="U932" s="137">
        <f t="shared" si="133"/>
        <v>1.2880836143792571E-4</v>
      </c>
      <c r="V932" s="88">
        <f t="shared" si="129"/>
        <v>5.2899440556362753</v>
      </c>
      <c r="W932" s="86">
        <f t="shared" si="134"/>
        <v>3.1800559443637226</v>
      </c>
      <c r="X932" s="90">
        <f t="shared" si="130"/>
        <v>9.8711916385620744E-3</v>
      </c>
    </row>
    <row r="933" spans="13:24" x14ac:dyDescent="0.25">
      <c r="M933" s="91">
        <v>9.3000000000000007</v>
      </c>
      <c r="N933" s="89">
        <f t="shared" si="126"/>
        <v>4.6999999999999993</v>
      </c>
      <c r="O933" s="89">
        <f t="shared" si="127"/>
        <v>7.9000546709946846</v>
      </c>
      <c r="P933" s="97">
        <f t="shared" si="128"/>
        <v>4.0000546709946843</v>
      </c>
      <c r="Q933" s="135">
        <f t="shared" si="131"/>
        <v>1.2587669424250286E-8</v>
      </c>
      <c r="R933" s="89">
        <f t="shared" si="131"/>
        <v>9.9987412330575611E-5</v>
      </c>
      <c r="S933" s="89">
        <f t="shared" si="132"/>
        <v>5.011872336272705E-10</v>
      </c>
      <c r="T933" s="136">
        <f t="shared" si="132"/>
        <v>1.9952623149688803E-5</v>
      </c>
      <c r="U933" s="137">
        <f t="shared" si="133"/>
        <v>1.2587669424250303E-4</v>
      </c>
      <c r="V933" s="88">
        <f t="shared" si="129"/>
        <v>5.2999453290053165</v>
      </c>
      <c r="W933" s="86">
        <f t="shared" si="134"/>
        <v>3.2000546709946853</v>
      </c>
      <c r="X933" s="90">
        <f t="shared" si="130"/>
        <v>9.8741233057574977E-3</v>
      </c>
    </row>
    <row r="934" spans="13:24" x14ac:dyDescent="0.25">
      <c r="M934" s="91">
        <v>9.31</v>
      </c>
      <c r="N934" s="89">
        <f t="shared" si="126"/>
        <v>4.6899999999999995</v>
      </c>
      <c r="O934" s="89">
        <f t="shared" si="127"/>
        <v>7.9100534266074556</v>
      </c>
      <c r="P934" s="97">
        <f t="shared" si="128"/>
        <v>4.0000534266074554</v>
      </c>
      <c r="Q934" s="135">
        <f t="shared" si="131"/>
        <v>1.2301174333061148E-8</v>
      </c>
      <c r="R934" s="89">
        <f t="shared" si="131"/>
        <v>9.9987698825666798E-5</v>
      </c>
      <c r="S934" s="89">
        <f t="shared" si="132"/>
        <v>4.8977881936844456E-10</v>
      </c>
      <c r="T934" s="136">
        <f t="shared" si="132"/>
        <v>2.0417379446695301E-5</v>
      </c>
      <c r="U934" s="137">
        <f t="shared" si="133"/>
        <v>1.2301174333061165E-4</v>
      </c>
      <c r="V934" s="88">
        <f t="shared" si="129"/>
        <v>5.3099465733925451</v>
      </c>
      <c r="W934" s="86">
        <f t="shared" si="134"/>
        <v>3.2200534266074561</v>
      </c>
      <c r="X934" s="90">
        <f t="shared" si="130"/>
        <v>9.8769882566693886E-3</v>
      </c>
    </row>
    <row r="935" spans="13:24" x14ac:dyDescent="0.25">
      <c r="M935" s="91">
        <v>9.32</v>
      </c>
      <c r="N935" s="89">
        <f t="shared" si="126"/>
        <v>4.68</v>
      </c>
      <c r="O935" s="89">
        <f t="shared" si="127"/>
        <v>7.9200522105424929</v>
      </c>
      <c r="P935" s="97">
        <f t="shared" si="128"/>
        <v>4.0000522105424929</v>
      </c>
      <c r="Q935" s="135">
        <f t="shared" si="131"/>
        <v>1.2021199080162579E-8</v>
      </c>
      <c r="R935" s="89">
        <f t="shared" si="131"/>
        <v>9.9987978800919849E-5</v>
      </c>
      <c r="S935" s="89">
        <f t="shared" si="132"/>
        <v>4.7863009232263674E-10</v>
      </c>
      <c r="T935" s="136">
        <f t="shared" si="132"/>
        <v>2.0892961308540399E-5</v>
      </c>
      <c r="U935" s="137">
        <f t="shared" si="133"/>
        <v>1.2021199080162578E-4</v>
      </c>
      <c r="V935" s="88">
        <f t="shared" si="129"/>
        <v>5.3199477894575073</v>
      </c>
      <c r="W935" s="86">
        <f t="shared" si="134"/>
        <v>3.2400522105424931</v>
      </c>
      <c r="X935" s="90">
        <f t="shared" si="130"/>
        <v>9.8797880091983752E-3</v>
      </c>
    </row>
    <row r="936" spans="13:24" x14ac:dyDescent="0.25">
      <c r="M936" s="91">
        <v>9.33</v>
      </c>
      <c r="N936" s="89">
        <f t="shared" si="126"/>
        <v>4.67</v>
      </c>
      <c r="O936" s="89">
        <f t="shared" si="127"/>
        <v>7.9300510221552596</v>
      </c>
      <c r="P936" s="97">
        <f t="shared" si="128"/>
        <v>4.0000510221552599</v>
      </c>
      <c r="Q936" s="135">
        <f t="shared" si="131"/>
        <v>1.1747595327292639E-8</v>
      </c>
      <c r="R936" s="89">
        <f t="shared" si="131"/>
        <v>9.9988252404672594E-5</v>
      </c>
      <c r="S936" s="89">
        <f t="shared" si="132"/>
        <v>4.6773514128719668E-10</v>
      </c>
      <c r="T936" s="136">
        <f t="shared" si="132"/>
        <v>2.1379620895022286E-5</v>
      </c>
      <c r="U936" s="137">
        <f t="shared" si="133"/>
        <v>1.1747595327292653E-4</v>
      </c>
      <c r="V936" s="88">
        <f t="shared" si="129"/>
        <v>5.3299489778447402</v>
      </c>
      <c r="W936" s="86">
        <f t="shared" si="134"/>
        <v>3.2600510221552597</v>
      </c>
      <c r="X936" s="90">
        <f t="shared" si="130"/>
        <v>9.8825240467270738E-3</v>
      </c>
    </row>
    <row r="937" spans="13:24" x14ac:dyDescent="0.25">
      <c r="M937" s="91">
        <v>9.34</v>
      </c>
      <c r="N937" s="89">
        <f t="shared" si="126"/>
        <v>4.66</v>
      </c>
      <c r="O937" s="89">
        <f t="shared" si="127"/>
        <v>7.94004986081588</v>
      </c>
      <c r="P937" s="97">
        <f t="shared" si="128"/>
        <v>4.0000498608158805</v>
      </c>
      <c r="Q937" s="135">
        <f t="shared" si="131"/>
        <v>1.1480218109569021E-8</v>
      </c>
      <c r="R937" s="89">
        <f t="shared" si="131"/>
        <v>9.9988519781890237E-5</v>
      </c>
      <c r="S937" s="89">
        <f t="shared" si="132"/>
        <v>4.5708818961487362E-10</v>
      </c>
      <c r="T937" s="136">
        <f t="shared" si="132"/>
        <v>2.1877616239495489E-5</v>
      </c>
      <c r="U937" s="137">
        <f t="shared" si="133"/>
        <v>1.1480218109569045E-4</v>
      </c>
      <c r="V937" s="88">
        <f t="shared" si="129"/>
        <v>5.3399501391841193</v>
      </c>
      <c r="W937" s="86">
        <f t="shared" si="134"/>
        <v>3.2800498608158799</v>
      </c>
      <c r="X937" s="90">
        <f t="shared" si="130"/>
        <v>9.885197818904309E-3</v>
      </c>
    </row>
    <row r="938" spans="13:24" x14ac:dyDescent="0.25">
      <c r="M938" s="91">
        <v>9.35</v>
      </c>
      <c r="N938" s="89">
        <f t="shared" si="126"/>
        <v>4.6500000000000004</v>
      </c>
      <c r="O938" s="89">
        <f t="shared" si="127"/>
        <v>7.950048725908812</v>
      </c>
      <c r="P938" s="97">
        <f t="shared" si="128"/>
        <v>4.0000487259088127</v>
      </c>
      <c r="Q938" s="135">
        <f t="shared" si="131"/>
        <v>1.1218925758845757E-8</v>
      </c>
      <c r="R938" s="89">
        <f t="shared" si="131"/>
        <v>9.998878107424103E-5</v>
      </c>
      <c r="S938" s="89">
        <f t="shared" si="132"/>
        <v>4.4668359215096336E-10</v>
      </c>
      <c r="T938" s="136">
        <f t="shared" si="132"/>
        <v>2.2387211385683359E-5</v>
      </c>
      <c r="U938" s="137">
        <f t="shared" si="133"/>
        <v>1.121892575884577E-4</v>
      </c>
      <c r="V938" s="88">
        <f t="shared" si="129"/>
        <v>5.349951274091187</v>
      </c>
      <c r="W938" s="86">
        <f t="shared" si="134"/>
        <v>3.3000487259088116</v>
      </c>
      <c r="X938" s="90">
        <f t="shared" si="130"/>
        <v>9.8878107424115423E-3</v>
      </c>
    </row>
    <row r="939" spans="13:24" x14ac:dyDescent="0.25">
      <c r="M939" s="91">
        <v>9.36</v>
      </c>
      <c r="N939" s="89">
        <f t="shared" si="126"/>
        <v>4.6400000000000006</v>
      </c>
      <c r="O939" s="89">
        <f t="shared" si="127"/>
        <v>7.9600476168325178</v>
      </c>
      <c r="P939" s="97">
        <f t="shared" si="128"/>
        <v>4.0000476168325179</v>
      </c>
      <c r="Q939" s="135">
        <f t="shared" si="131"/>
        <v>1.0963579828808439E-8</v>
      </c>
      <c r="R939" s="89">
        <f t="shared" si="131"/>
        <v>9.9989036420171181E-5</v>
      </c>
      <c r="S939" s="89">
        <f t="shared" si="132"/>
        <v>4.3651583224016624E-10</v>
      </c>
      <c r="T939" s="136">
        <f t="shared" si="132"/>
        <v>2.2908676527677688E-5</v>
      </c>
      <c r="U939" s="137">
        <f t="shared" si="133"/>
        <v>1.096357982880844E-4</v>
      </c>
      <c r="V939" s="88">
        <f t="shared" si="129"/>
        <v>5.3599523831674816</v>
      </c>
      <c r="W939" s="86">
        <f t="shared" si="134"/>
        <v>3.3200476168325173</v>
      </c>
      <c r="X939" s="90">
        <f t="shared" si="130"/>
        <v>9.890364201711915E-3</v>
      </c>
    </row>
    <row r="940" spans="13:24" x14ac:dyDescent="0.25">
      <c r="M940" s="91">
        <v>9.3699999999999992</v>
      </c>
      <c r="N940" s="89">
        <f t="shared" si="126"/>
        <v>4.6300000000000008</v>
      </c>
      <c r="O940" s="89">
        <f t="shared" si="127"/>
        <v>7.9700465329991452</v>
      </c>
      <c r="P940" s="97">
        <f t="shared" si="128"/>
        <v>4.0000465329991455</v>
      </c>
      <c r="Q940" s="135">
        <f t="shared" si="131"/>
        <v>1.0714045021768262E-8</v>
      </c>
      <c r="R940" s="89">
        <f t="shared" si="131"/>
        <v>9.9989285954978332E-5</v>
      </c>
      <c r="S940" s="89">
        <f t="shared" si="132"/>
        <v>4.2657951880159295E-10</v>
      </c>
      <c r="T940" s="136">
        <f t="shared" si="132"/>
        <v>2.3442288153199174E-5</v>
      </c>
      <c r="U940" s="137">
        <f t="shared" si="133"/>
        <v>1.0714045021768252E-4</v>
      </c>
      <c r="V940" s="88">
        <f t="shared" si="129"/>
        <v>5.3699534670008537</v>
      </c>
      <c r="W940" s="86">
        <f t="shared" si="134"/>
        <v>3.3400465329991444</v>
      </c>
      <c r="X940" s="90">
        <f t="shared" si="130"/>
        <v>9.8928595497823173E-3</v>
      </c>
    </row>
    <row r="941" spans="13:24" x14ac:dyDescent="0.25">
      <c r="M941" s="91">
        <v>9.3800000000000008</v>
      </c>
      <c r="N941" s="89">
        <f t="shared" si="126"/>
        <v>4.6199999999999992</v>
      </c>
      <c r="O941" s="89">
        <f t="shared" si="127"/>
        <v>7.9800454738342204</v>
      </c>
      <c r="P941" s="97">
        <f t="shared" si="128"/>
        <v>4.0000454738342199</v>
      </c>
      <c r="Q941" s="135">
        <f t="shared" si="131"/>
        <v>1.0470189117116188E-8</v>
      </c>
      <c r="R941" s="89">
        <f t="shared" si="131"/>
        <v>9.9989529810882945E-5</v>
      </c>
      <c r="S941" s="89">
        <f t="shared" si="132"/>
        <v>4.1686938347033427E-10</v>
      </c>
      <c r="T941" s="136">
        <f t="shared" si="132"/>
        <v>2.3988329190194941E-5</v>
      </c>
      <c r="U941" s="137">
        <f t="shared" si="133"/>
        <v>1.0470189117116182E-4</v>
      </c>
      <c r="V941" s="88">
        <f t="shared" si="129"/>
        <v>5.3799545261657808</v>
      </c>
      <c r="W941" s="86">
        <f t="shared" si="134"/>
        <v>3.3600454738342211</v>
      </c>
      <c r="X941" s="90">
        <f t="shared" si="130"/>
        <v>9.8952981088288386E-3</v>
      </c>
    </row>
    <row r="942" spans="13:24" x14ac:dyDescent="0.25">
      <c r="M942" s="91">
        <v>9.39</v>
      </c>
      <c r="N942" s="89">
        <f t="shared" si="126"/>
        <v>4.6099999999999994</v>
      </c>
      <c r="O942" s="89">
        <f t="shared" si="127"/>
        <v>7.9900444387763363</v>
      </c>
      <c r="P942" s="97">
        <f t="shared" si="128"/>
        <v>4.0000444387763361</v>
      </c>
      <c r="Q942" s="135">
        <f t="shared" si="131"/>
        <v>1.0231882901400444E-8</v>
      </c>
      <c r="R942" s="89">
        <f t="shared" si="131"/>
        <v>9.9989768117098566E-5</v>
      </c>
      <c r="S942" s="89">
        <f t="shared" si="132"/>
        <v>4.073802778041116E-10</v>
      </c>
      <c r="T942" s="136">
        <f t="shared" si="132"/>
        <v>2.4547089156850296E-5</v>
      </c>
      <c r="U942" s="137">
        <f t="shared" si="133"/>
        <v>1.0231882901400448E-4</v>
      </c>
      <c r="V942" s="88">
        <f t="shared" si="129"/>
        <v>5.3899555612236645</v>
      </c>
      <c r="W942" s="86">
        <f t="shared" si="134"/>
        <v>3.3800444387763369</v>
      </c>
      <c r="X942" s="90">
        <f t="shared" si="130"/>
        <v>9.8976811709859964E-3</v>
      </c>
    </row>
    <row r="943" spans="13:24" x14ac:dyDescent="0.25">
      <c r="M943" s="91">
        <v>9.4</v>
      </c>
      <c r="N943" s="89">
        <f t="shared" si="126"/>
        <v>4.5999999999999996</v>
      </c>
      <c r="O943" s="89">
        <f t="shared" si="127"/>
        <v>8.0000434272768626</v>
      </c>
      <c r="P943" s="97">
        <f t="shared" si="128"/>
        <v>4.0000434272768626</v>
      </c>
      <c r="Q943" s="135">
        <f t="shared" si="131"/>
        <v>9.9990000999899836E-9</v>
      </c>
      <c r="R943" s="89">
        <f t="shared" si="131"/>
        <v>9.9990000999899921E-5</v>
      </c>
      <c r="S943" s="89">
        <f t="shared" si="132"/>
        <v>3.9810717055349621E-10</v>
      </c>
      <c r="T943" s="136">
        <f t="shared" si="132"/>
        <v>2.5118864315095791E-5</v>
      </c>
      <c r="U943" s="137">
        <f t="shared" si="133"/>
        <v>9.9990000999899921E-5</v>
      </c>
      <c r="V943" s="88">
        <f t="shared" si="129"/>
        <v>5.3999565727231378</v>
      </c>
      <c r="W943" s="86">
        <f t="shared" si="134"/>
        <v>3.4000434272768629</v>
      </c>
      <c r="X943" s="90">
        <f t="shared" si="130"/>
        <v>9.9000099990001009E-3</v>
      </c>
    </row>
    <row r="944" spans="13:24" x14ac:dyDescent="0.25">
      <c r="M944" s="91">
        <v>9.41</v>
      </c>
      <c r="N944" s="89">
        <f t="shared" si="126"/>
        <v>4.59</v>
      </c>
      <c r="O944" s="89">
        <f t="shared" si="127"/>
        <v>8.0100424387996529</v>
      </c>
      <c r="P944" s="97">
        <f t="shared" si="128"/>
        <v>4.0000424387996523</v>
      </c>
      <c r="Q944" s="135">
        <f t="shared" si="131"/>
        <v>9.7714173102883775E-9</v>
      </c>
      <c r="R944" s="89">
        <f t="shared" si="131"/>
        <v>9.9990228582689584E-5</v>
      </c>
      <c r="S944" s="89">
        <f t="shared" si="132"/>
        <v>3.8904514499427963E-10</v>
      </c>
      <c r="T944" s="136">
        <f t="shared" si="132"/>
        <v>2.5703957827688621E-5</v>
      </c>
      <c r="U944" s="137">
        <f t="shared" si="133"/>
        <v>9.7714173102883908E-5</v>
      </c>
      <c r="V944" s="88">
        <f t="shared" si="129"/>
        <v>5.4099575612003479</v>
      </c>
      <c r="W944" s="86">
        <f t="shared" si="134"/>
        <v>3.4200424387996531</v>
      </c>
      <c r="X944" s="90">
        <f t="shared" si="130"/>
        <v>9.902285826897117E-3</v>
      </c>
    </row>
    <row r="945" spans="13:24" x14ac:dyDescent="0.25">
      <c r="M945" s="91">
        <v>9.42</v>
      </c>
      <c r="N945" s="89">
        <f t="shared" si="126"/>
        <v>4.58</v>
      </c>
      <c r="O945" s="89">
        <f t="shared" si="127"/>
        <v>8.0200414728207576</v>
      </c>
      <c r="P945" s="97">
        <f t="shared" si="128"/>
        <v>4.0000414728207563</v>
      </c>
      <c r="Q945" s="135">
        <f t="shared" si="131"/>
        <v>9.5490139364630126E-9</v>
      </c>
      <c r="R945" s="89">
        <f t="shared" si="131"/>
        <v>9.9990450986063445E-5</v>
      </c>
      <c r="S945" s="89">
        <f t="shared" si="132"/>
        <v>3.801893963205603E-10</v>
      </c>
      <c r="T945" s="136">
        <f t="shared" si="132"/>
        <v>2.6302679918953804E-5</v>
      </c>
      <c r="U945" s="137">
        <f t="shared" si="133"/>
        <v>9.549013936463021E-5</v>
      </c>
      <c r="V945" s="88">
        <f t="shared" si="129"/>
        <v>5.4199585271792436</v>
      </c>
      <c r="W945" s="86">
        <f t="shared" si="134"/>
        <v>3.4400414728207576</v>
      </c>
      <c r="X945" s="90">
        <f t="shared" si="130"/>
        <v>9.9045098606353708E-3</v>
      </c>
    </row>
    <row r="946" spans="13:24" x14ac:dyDescent="0.25">
      <c r="M946" s="91">
        <v>9.43</v>
      </c>
      <c r="N946" s="89">
        <f t="shared" si="126"/>
        <v>4.57</v>
      </c>
      <c r="O946" s="89">
        <f t="shared" si="127"/>
        <v>8.0300405288281489</v>
      </c>
      <c r="P946" s="97">
        <f t="shared" si="128"/>
        <v>4.0000405288281495</v>
      </c>
      <c r="Q946" s="135">
        <f t="shared" si="131"/>
        <v>9.3316721256554122E-9</v>
      </c>
      <c r="R946" s="89">
        <f t="shared" si="131"/>
        <v>9.9990668327874145E-5</v>
      </c>
      <c r="S946" s="89">
        <f t="shared" si="132"/>
        <v>3.7153522909717169E-10</v>
      </c>
      <c r="T946" s="136">
        <f t="shared" si="132"/>
        <v>2.6915348039269089E-5</v>
      </c>
      <c r="U946" s="137">
        <f t="shared" si="133"/>
        <v>9.3316721256554304E-5</v>
      </c>
      <c r="V946" s="88">
        <f t="shared" si="129"/>
        <v>5.4299594711718502</v>
      </c>
      <c r="W946" s="86">
        <f t="shared" si="134"/>
        <v>3.4600405288281486</v>
      </c>
      <c r="X946" s="90">
        <f t="shared" si="130"/>
        <v>9.9066832787434462E-3</v>
      </c>
    </row>
    <row r="947" spans="13:24" x14ac:dyDescent="0.25">
      <c r="M947" s="91">
        <v>9.44</v>
      </c>
      <c r="N947" s="89">
        <f t="shared" si="126"/>
        <v>4.5600000000000005</v>
      </c>
      <c r="O947" s="89">
        <f t="shared" si="127"/>
        <v>8.0400396063214536</v>
      </c>
      <c r="P947" s="97">
        <f t="shared" si="128"/>
        <v>4.0000396063214545</v>
      </c>
      <c r="Q947" s="135">
        <f t="shared" si="131"/>
        <v>9.1192767056388383E-9</v>
      </c>
      <c r="R947" s="89">
        <f t="shared" si="131"/>
        <v>9.9990880723294272E-5</v>
      </c>
      <c r="S947" s="89">
        <f t="shared" si="132"/>
        <v>3.6307805477010058E-10</v>
      </c>
      <c r="T947" s="136">
        <f t="shared" si="132"/>
        <v>2.7542287033381592E-5</v>
      </c>
      <c r="U947" s="137">
        <f t="shared" si="133"/>
        <v>9.1192767056388462E-5</v>
      </c>
      <c r="V947" s="88">
        <f t="shared" si="129"/>
        <v>5.439960393678545</v>
      </c>
      <c r="W947" s="86">
        <f t="shared" si="134"/>
        <v>3.4800396063214531</v>
      </c>
      <c r="X947" s="90">
        <f t="shared" si="130"/>
        <v>9.908807232943611E-3</v>
      </c>
    </row>
    <row r="948" spans="13:24" x14ac:dyDescent="0.25">
      <c r="M948" s="91">
        <v>9.4499999999999993</v>
      </c>
      <c r="N948" s="89">
        <f t="shared" si="126"/>
        <v>4.5500000000000007</v>
      </c>
      <c r="O948" s="89">
        <f t="shared" si="127"/>
        <v>8.0500387048116817</v>
      </c>
      <c r="P948" s="97">
        <f t="shared" si="128"/>
        <v>4.0000387048116828</v>
      </c>
      <c r="Q948" s="135">
        <f t="shared" si="131"/>
        <v>8.9117151238909985E-9</v>
      </c>
      <c r="R948" s="89">
        <f t="shared" si="131"/>
        <v>9.9991088284876112E-5</v>
      </c>
      <c r="S948" s="89">
        <f t="shared" si="132"/>
        <v>3.5481338923357471E-10</v>
      </c>
      <c r="T948" s="136">
        <f t="shared" si="132"/>
        <v>2.8183829312644461E-5</v>
      </c>
      <c r="U948" s="137">
        <f t="shared" si="133"/>
        <v>8.911715123890998E-5</v>
      </c>
      <c r="V948" s="88">
        <f t="shared" si="129"/>
        <v>5.4499612951883165</v>
      </c>
      <c r="W948" s="86">
        <f t="shared" si="134"/>
        <v>3.500038704811681</v>
      </c>
      <c r="X948" s="90">
        <f t="shared" si="130"/>
        <v>9.9108828487610903E-3</v>
      </c>
    </row>
    <row r="949" spans="13:24" x14ac:dyDescent="0.25">
      <c r="M949" s="91">
        <v>9.4600000000000009</v>
      </c>
      <c r="N949" s="89">
        <f t="shared" si="126"/>
        <v>4.5399999999999991</v>
      </c>
      <c r="O949" s="89">
        <f t="shared" si="127"/>
        <v>8.0600378238209718</v>
      </c>
      <c r="P949" s="97">
        <f t="shared" si="128"/>
        <v>4.0000378238209713</v>
      </c>
      <c r="Q949" s="135">
        <f t="shared" si="131"/>
        <v>8.7088773880493522E-9</v>
      </c>
      <c r="R949" s="89">
        <f t="shared" si="131"/>
        <v>9.9991291122611802E-5</v>
      </c>
      <c r="S949" s="89">
        <f t="shared" si="132"/>
        <v>3.4673685045252974E-10</v>
      </c>
      <c r="T949" s="136">
        <f t="shared" si="132"/>
        <v>2.8840315031266083E-5</v>
      </c>
      <c r="U949" s="137">
        <f t="shared" si="133"/>
        <v>8.7088773880493654E-5</v>
      </c>
      <c r="V949" s="88">
        <f t="shared" si="129"/>
        <v>5.4599621761790296</v>
      </c>
      <c r="W949" s="86">
        <f t="shared" si="134"/>
        <v>3.5200378238209726</v>
      </c>
      <c r="X949" s="90">
        <f t="shared" si="130"/>
        <v>9.9129112261195067E-3</v>
      </c>
    </row>
    <row r="950" spans="13:24" x14ac:dyDescent="0.25">
      <c r="M950" s="91">
        <v>9.4700000000000006</v>
      </c>
      <c r="N950" s="89">
        <f t="shared" si="126"/>
        <v>4.5299999999999994</v>
      </c>
      <c r="O950" s="89">
        <f t="shared" si="127"/>
        <v>8.0700369628823303</v>
      </c>
      <c r="P950" s="97">
        <f t="shared" si="128"/>
        <v>4.0000369628823291</v>
      </c>
      <c r="Q950" s="135">
        <f t="shared" si="131"/>
        <v>8.5106560077179016E-9</v>
      </c>
      <c r="R950" s="89">
        <f t="shared" si="131"/>
        <v>9.9991489343992355E-5</v>
      </c>
      <c r="S950" s="89">
        <f t="shared" si="132"/>
        <v>3.3884415613920192E-10</v>
      </c>
      <c r="T950" s="136">
        <f t="shared" si="132"/>
        <v>2.9512092266663878E-5</v>
      </c>
      <c r="U950" s="137">
        <f t="shared" si="133"/>
        <v>8.5106560077178952E-5</v>
      </c>
      <c r="V950" s="88">
        <f t="shared" si="129"/>
        <v>5.4699630371176715</v>
      </c>
      <c r="W950" s="86">
        <f t="shared" si="134"/>
        <v>3.5400369628823309</v>
      </c>
      <c r="X950" s="90">
        <f t="shared" si="130"/>
        <v>9.9148934399228214E-3</v>
      </c>
    </row>
    <row r="951" spans="13:24" x14ac:dyDescent="0.25">
      <c r="M951" s="91">
        <v>9.48</v>
      </c>
      <c r="N951" s="89">
        <f t="shared" si="126"/>
        <v>4.5199999999999996</v>
      </c>
      <c r="O951" s="89">
        <f t="shared" si="127"/>
        <v>8.0800361215393952</v>
      </c>
      <c r="P951" s="97">
        <f t="shared" si="128"/>
        <v>4.0000361215393951</v>
      </c>
      <c r="Q951" s="135">
        <f t="shared" si="131"/>
        <v>8.3169459375949753E-9</v>
      </c>
      <c r="R951" s="89">
        <f t="shared" si="131"/>
        <v>9.9991683054062298E-5</v>
      </c>
      <c r="S951" s="89">
        <f t="shared" si="132"/>
        <v>3.3113112148259045E-10</v>
      </c>
      <c r="T951" s="136">
        <f t="shared" si="132"/>
        <v>3.0199517204020178E-5</v>
      </c>
      <c r="U951" s="137">
        <f t="shared" si="133"/>
        <v>8.3169459375949839E-5</v>
      </c>
      <c r="V951" s="88">
        <f t="shared" si="129"/>
        <v>5.4799638784606053</v>
      </c>
      <c r="W951" s="86">
        <f t="shared" si="134"/>
        <v>3.5600361215393956</v>
      </c>
      <c r="X951" s="90">
        <f t="shared" si="130"/>
        <v>9.9168305406240505E-3</v>
      </c>
    </row>
    <row r="952" spans="13:24" x14ac:dyDescent="0.25">
      <c r="M952" s="91">
        <v>9.49</v>
      </c>
      <c r="N952" s="89">
        <f t="shared" si="126"/>
        <v>4.51</v>
      </c>
      <c r="O952" s="89">
        <f t="shared" si="127"/>
        <v>8.090035299346189</v>
      </c>
      <c r="P952" s="97">
        <f t="shared" si="128"/>
        <v>4.0000352993461892</v>
      </c>
      <c r="Q952" s="135">
        <f t="shared" si="131"/>
        <v>8.1276445218917841E-9</v>
      </c>
      <c r="R952" s="89">
        <f t="shared" si="131"/>
        <v>9.9991872355478109E-5</v>
      </c>
      <c r="S952" s="89">
        <f t="shared" si="132"/>
        <v>3.2359365692962771E-10</v>
      </c>
      <c r="T952" s="136">
        <f t="shared" si="132"/>
        <v>3.090295432513586E-5</v>
      </c>
      <c r="U952" s="137">
        <f t="shared" si="133"/>
        <v>8.1276445218917843E-5</v>
      </c>
      <c r="V952" s="88">
        <f t="shared" si="129"/>
        <v>5.489964700653811</v>
      </c>
      <c r="W952" s="86">
        <f t="shared" si="134"/>
        <v>3.5800352993461892</v>
      </c>
      <c r="X952" s="90">
        <f t="shared" si="130"/>
        <v>9.918723554781083E-3</v>
      </c>
    </row>
    <row r="953" spans="13:24" x14ac:dyDescent="0.25">
      <c r="M953" s="91">
        <v>9.5</v>
      </c>
      <c r="N953" s="89">
        <f t="shared" si="126"/>
        <v>4.5</v>
      </c>
      <c r="O953" s="89">
        <f t="shared" si="127"/>
        <v>8.1000344958668826</v>
      </c>
      <c r="P953" s="97">
        <f t="shared" si="128"/>
        <v>4.0000344958668821</v>
      </c>
      <c r="Q953" s="135">
        <f t="shared" si="131"/>
        <v>7.9426514400130557E-9</v>
      </c>
      <c r="R953" s="89">
        <f t="shared" si="131"/>
        <v>9.9992057348559875E-5</v>
      </c>
      <c r="S953" s="89">
        <f t="shared" si="132"/>
        <v>3.1622776601683744E-10</v>
      </c>
      <c r="T953" s="136">
        <f t="shared" si="132"/>
        <v>3.1622776601683748E-5</v>
      </c>
      <c r="U953" s="137">
        <f t="shared" si="133"/>
        <v>7.9426514400130654E-5</v>
      </c>
      <c r="V953" s="88">
        <f t="shared" si="129"/>
        <v>5.4999655041331179</v>
      </c>
      <c r="W953" s="86">
        <f t="shared" si="134"/>
        <v>3.6000344958668826</v>
      </c>
      <c r="X953" s="90">
        <f t="shared" si="130"/>
        <v>9.9205734855998696E-3</v>
      </c>
    </row>
    <row r="954" spans="13:24" x14ac:dyDescent="0.25">
      <c r="M954" s="91">
        <v>9.51</v>
      </c>
      <c r="N954" s="89">
        <f t="shared" si="126"/>
        <v>4.49</v>
      </c>
      <c r="O954" s="89">
        <f t="shared" si="127"/>
        <v>8.1100337106755607</v>
      </c>
      <c r="P954" s="97">
        <f t="shared" si="128"/>
        <v>4.0000337106755604</v>
      </c>
      <c r="Q954" s="135">
        <f t="shared" si="131"/>
        <v>7.7618686534707247E-9</v>
      </c>
      <c r="R954" s="89">
        <f t="shared" si="131"/>
        <v>9.9992238131346484E-5</v>
      </c>
      <c r="S954" s="89">
        <f t="shared" si="132"/>
        <v>3.090295432513586E-10</v>
      </c>
      <c r="T954" s="136">
        <f t="shared" si="132"/>
        <v>3.2359365692962775E-5</v>
      </c>
      <c r="U954" s="137">
        <f t="shared" si="133"/>
        <v>7.7618686534707286E-5</v>
      </c>
      <c r="V954" s="88">
        <f t="shared" si="129"/>
        <v>5.5099662893244394</v>
      </c>
      <c r="W954" s="86">
        <f t="shared" si="134"/>
        <v>3.6200337106755605</v>
      </c>
      <c r="X954" s="90">
        <f t="shared" si="130"/>
        <v>9.9223813134652929E-3</v>
      </c>
    </row>
    <row r="955" spans="13:24" x14ac:dyDescent="0.25">
      <c r="M955" s="91">
        <v>9.52</v>
      </c>
      <c r="N955" s="89">
        <f t="shared" si="126"/>
        <v>4.4800000000000004</v>
      </c>
      <c r="O955" s="89">
        <f t="shared" si="127"/>
        <v>8.120032943356005</v>
      </c>
      <c r="P955" s="97">
        <f t="shared" si="128"/>
        <v>4.000032943356004</v>
      </c>
      <c r="Q955" s="135">
        <f t="shared" si="131"/>
        <v>7.58520035400276E-9</v>
      </c>
      <c r="R955" s="89">
        <f t="shared" si="131"/>
        <v>9.999241479964598E-5</v>
      </c>
      <c r="S955" s="89">
        <f t="shared" si="132"/>
        <v>3.0199517204020115E-10</v>
      </c>
      <c r="T955" s="136">
        <f t="shared" si="132"/>
        <v>3.3113112148259056E-5</v>
      </c>
      <c r="U955" s="137">
        <f t="shared" si="133"/>
        <v>7.585200354002761E-5</v>
      </c>
      <c r="V955" s="88">
        <f t="shared" si="129"/>
        <v>5.5199670566439956</v>
      </c>
      <c r="W955" s="86">
        <f t="shared" si="134"/>
        <v>3.6400329433560046</v>
      </c>
      <c r="X955" s="90">
        <f t="shared" si="130"/>
        <v>9.924147996459973E-3</v>
      </c>
    </row>
    <row r="956" spans="13:24" x14ac:dyDescent="0.25">
      <c r="M956" s="91">
        <v>9.5299999999999994</v>
      </c>
      <c r="N956" s="89">
        <f t="shared" si="126"/>
        <v>4.4700000000000006</v>
      </c>
      <c r="O956" s="89">
        <f t="shared" si="127"/>
        <v>8.1300321935014619</v>
      </c>
      <c r="P956" s="97">
        <f t="shared" si="128"/>
        <v>4.0000321935014638</v>
      </c>
      <c r="Q956" s="135">
        <f t="shared" si="131"/>
        <v>7.4125529128703411E-9</v>
      </c>
      <c r="R956" s="89">
        <f t="shared" si="131"/>
        <v>9.9992587447086947E-5</v>
      </c>
      <c r="S956" s="89">
        <f t="shared" si="132"/>
        <v>2.9512092266663821E-10</v>
      </c>
      <c r="T956" s="136">
        <f t="shared" si="132"/>
        <v>3.3884415613920195E-5</v>
      </c>
      <c r="U956" s="137">
        <f t="shared" si="133"/>
        <v>7.4125529128703552E-5</v>
      </c>
      <c r="V956" s="88">
        <f t="shared" si="129"/>
        <v>5.5299678064985356</v>
      </c>
      <c r="W956" s="86">
        <f t="shared" si="134"/>
        <v>3.6600321935014613</v>
      </c>
      <c r="X956" s="90">
        <f t="shared" si="130"/>
        <v>9.9258744708712963E-3</v>
      </c>
    </row>
    <row r="957" spans="13:24" x14ac:dyDescent="0.25">
      <c r="M957" s="91">
        <v>9.5399999999999991</v>
      </c>
      <c r="N957" s="89">
        <f t="shared" si="126"/>
        <v>4.4600000000000009</v>
      </c>
      <c r="O957" s="89">
        <f t="shared" si="127"/>
        <v>8.1400314607144448</v>
      </c>
      <c r="P957" s="97">
        <f t="shared" si="128"/>
        <v>4.0000314607144452</v>
      </c>
      <c r="Q957" s="135">
        <f t="shared" si="131"/>
        <v>7.2438348313058312E-9</v>
      </c>
      <c r="R957" s="89">
        <f t="shared" si="131"/>
        <v>9.9992756165168744E-5</v>
      </c>
      <c r="S957" s="89">
        <f t="shared" si="132"/>
        <v>2.8840315031266024E-10</v>
      </c>
      <c r="T957" s="136">
        <f t="shared" si="132"/>
        <v>3.4673685045253039E-5</v>
      </c>
      <c r="U957" s="137">
        <f t="shared" si="133"/>
        <v>7.2438348313058273E-5</v>
      </c>
      <c r="V957" s="88">
        <f t="shared" si="129"/>
        <v>5.539968539285554</v>
      </c>
      <c r="W957" s="86">
        <f t="shared" si="134"/>
        <v>3.680031460714444</v>
      </c>
      <c r="X957" s="90">
        <f t="shared" si="130"/>
        <v>9.9275616516869419E-3</v>
      </c>
    </row>
    <row r="958" spans="13:24" x14ac:dyDescent="0.25">
      <c r="M958" s="91">
        <v>9.5500000000000007</v>
      </c>
      <c r="N958" s="89">
        <f t="shared" si="126"/>
        <v>4.4499999999999993</v>
      </c>
      <c r="O958" s="89">
        <f t="shared" si="127"/>
        <v>8.1500307446065019</v>
      </c>
      <c r="P958" s="97">
        <f t="shared" si="128"/>
        <v>4.0000307446065015</v>
      </c>
      <c r="Q958" s="135">
        <f t="shared" si="131"/>
        <v>7.0789566920865561E-9</v>
      </c>
      <c r="R958" s="89">
        <f t="shared" si="131"/>
        <v>9.9992921043307894E-5</v>
      </c>
      <c r="S958" s="89">
        <f t="shared" si="132"/>
        <v>2.8183829312644407E-10</v>
      </c>
      <c r="T958" s="136">
        <f t="shared" si="132"/>
        <v>3.548133892335754E-5</v>
      </c>
      <c r="U958" s="137">
        <f t="shared" si="133"/>
        <v>7.0789566920865575E-5</v>
      </c>
      <c r="V958" s="88">
        <f t="shared" si="129"/>
        <v>5.5499692553934992</v>
      </c>
      <c r="W958" s="86">
        <f t="shared" si="134"/>
        <v>3.7000307446065026</v>
      </c>
      <c r="X958" s="90">
        <f t="shared" si="130"/>
        <v>9.9292104330791341E-3</v>
      </c>
    </row>
    <row r="959" spans="13:24" x14ac:dyDescent="0.25">
      <c r="M959" s="91">
        <v>9.56</v>
      </c>
      <c r="N959" s="89">
        <f t="shared" si="126"/>
        <v>4.4399999999999995</v>
      </c>
      <c r="O959" s="89">
        <f t="shared" si="127"/>
        <v>8.1600300447980239</v>
      </c>
      <c r="P959" s="97">
        <f t="shared" si="128"/>
        <v>4.0000300447980237</v>
      </c>
      <c r="Q959" s="135">
        <f t="shared" si="131"/>
        <v>6.9178311122078568E-9</v>
      </c>
      <c r="R959" s="89">
        <f t="shared" si="131"/>
        <v>9.9993082168887813E-5</v>
      </c>
      <c r="S959" s="89">
        <f t="shared" si="132"/>
        <v>2.7542287033381539E-10</v>
      </c>
      <c r="T959" s="136">
        <f t="shared" si="132"/>
        <v>3.6307805477010126E-5</v>
      </c>
      <c r="U959" s="137">
        <f t="shared" si="133"/>
        <v>6.9178311122078561E-5</v>
      </c>
      <c r="V959" s="88">
        <f t="shared" si="129"/>
        <v>5.5599699552019768</v>
      </c>
      <c r="W959" s="86">
        <f t="shared" si="134"/>
        <v>3.7200300447980243</v>
      </c>
      <c r="X959" s="90">
        <f t="shared" si="130"/>
        <v>9.9308216888779211E-3</v>
      </c>
    </row>
    <row r="960" spans="13:24" x14ac:dyDescent="0.25">
      <c r="M960" s="91">
        <v>9.57</v>
      </c>
      <c r="N960" s="89">
        <f t="shared" si="126"/>
        <v>4.43</v>
      </c>
      <c r="O960" s="89">
        <f t="shared" si="127"/>
        <v>8.1700293609180434</v>
      </c>
      <c r="P960" s="97">
        <f t="shared" si="128"/>
        <v>4.0000293609180426</v>
      </c>
      <c r="Q960" s="135">
        <f t="shared" si="131"/>
        <v>6.7603726966310393E-9</v>
      </c>
      <c r="R960" s="89">
        <f t="shared" si="131"/>
        <v>9.9993239627303233E-5</v>
      </c>
      <c r="S960" s="89">
        <f t="shared" si="132"/>
        <v>2.6915348039269034E-10</v>
      </c>
      <c r="T960" s="136">
        <f t="shared" si="132"/>
        <v>3.7153522909717237E-5</v>
      </c>
      <c r="U960" s="137">
        <f t="shared" si="133"/>
        <v>6.7603726966310483E-5</v>
      </c>
      <c r="V960" s="88">
        <f t="shared" si="129"/>
        <v>5.5699706390819577</v>
      </c>
      <c r="W960" s="86">
        <f t="shared" si="134"/>
        <v>3.7400293609180437</v>
      </c>
      <c r="X960" s="90">
        <f t="shared" si="130"/>
        <v>9.932396273033689E-3</v>
      </c>
    </row>
    <row r="961" spans="13:24" x14ac:dyDescent="0.25">
      <c r="M961" s="91">
        <v>9.58</v>
      </c>
      <c r="N961" s="89">
        <f t="shared" si="126"/>
        <v>4.42</v>
      </c>
      <c r="O961" s="89">
        <f t="shared" si="127"/>
        <v>8.1800286926040293</v>
      </c>
      <c r="P961" s="97">
        <f t="shared" si="128"/>
        <v>4.0000286926040296</v>
      </c>
      <c r="Q961" s="135">
        <f t="shared" si="131"/>
        <v>6.6064979930821236E-9</v>
      </c>
      <c r="R961" s="89">
        <f t="shared" si="131"/>
        <v>9.9993393502006915E-5</v>
      </c>
      <c r="S961" s="89">
        <f t="shared" si="132"/>
        <v>2.6302679918953798E-10</v>
      </c>
      <c r="T961" s="136">
        <f t="shared" si="132"/>
        <v>3.8018939632056103E-5</v>
      </c>
      <c r="U961" s="137">
        <f t="shared" si="133"/>
        <v>6.6064979930821244E-5</v>
      </c>
      <c r="V961" s="88">
        <f t="shared" si="129"/>
        <v>5.5799713073959705</v>
      </c>
      <c r="W961" s="86">
        <f t="shared" si="134"/>
        <v>3.7600286926040294</v>
      </c>
      <c r="X961" s="90">
        <f t="shared" si="130"/>
        <v>9.9339350200691786E-3</v>
      </c>
    </row>
    <row r="962" spans="13:24" x14ac:dyDescent="0.25">
      <c r="M962" s="91">
        <v>9.59</v>
      </c>
      <c r="N962" s="89">
        <f t="shared" si="126"/>
        <v>4.41</v>
      </c>
      <c r="O962" s="89">
        <f t="shared" si="127"/>
        <v>8.1900280395017067</v>
      </c>
      <c r="P962" s="97">
        <f t="shared" si="128"/>
        <v>4.0000280395017072</v>
      </c>
      <c r="Q962" s="135">
        <f t="shared" si="131"/>
        <v>6.4561254478766914E-9</v>
      </c>
      <c r="R962" s="89">
        <f t="shared" si="131"/>
        <v>9.9993543874552141E-5</v>
      </c>
      <c r="S962" s="89">
        <f t="shared" si="132"/>
        <v>2.5703957827688617E-10</v>
      </c>
      <c r="T962" s="136">
        <f t="shared" si="132"/>
        <v>3.8904514499428046E-5</v>
      </c>
      <c r="U962" s="137">
        <f t="shared" si="133"/>
        <v>6.4561254478766897E-5</v>
      </c>
      <c r="V962" s="88">
        <f t="shared" si="129"/>
        <v>5.5899719604982927</v>
      </c>
      <c r="W962" s="86">
        <f t="shared" si="134"/>
        <v>3.7800280395017065</v>
      </c>
      <c r="X962" s="90">
        <f t="shared" si="130"/>
        <v>9.9354387455212329E-3</v>
      </c>
    </row>
    <row r="963" spans="13:24" x14ac:dyDescent="0.25">
      <c r="M963" s="91">
        <v>9.6</v>
      </c>
      <c r="N963" s="89">
        <f t="shared" ref="N963:N1026" si="135">14-M963</f>
        <v>4.4000000000000004</v>
      </c>
      <c r="O963" s="89">
        <f t="shared" ref="O963:O1026" si="136">-LOG(10^-$B$3/(1+10^(M963-$A$3)))</f>
        <v>8.20002740126486</v>
      </c>
      <c r="P963" s="97">
        <f t="shared" ref="P963:P1026" si="137">-LOG(10^-$B$3/(1+10^($A$3-M963)))</f>
        <v>4.0000274012648598</v>
      </c>
      <c r="Q963" s="135">
        <f t="shared" si="131"/>
        <v>6.3091753627486558E-9</v>
      </c>
      <c r="R963" s="89">
        <f t="shared" si="131"/>
        <v>9.9993690824637271E-5</v>
      </c>
      <c r="S963" s="89">
        <f t="shared" si="132"/>
        <v>2.5118864315095784E-10</v>
      </c>
      <c r="T963" s="136">
        <f t="shared" si="132"/>
        <v>3.9810717055349634E-5</v>
      </c>
      <c r="U963" s="137">
        <f t="shared" si="133"/>
        <v>6.3091753627486543E-5</v>
      </c>
      <c r="V963" s="88">
        <f t="shared" ref="V963:V1026" si="138">ABS(P963-M963)</f>
        <v>5.5999725987351399</v>
      </c>
      <c r="W963" s="86">
        <f t="shared" si="134"/>
        <v>3.8000274012648596</v>
      </c>
      <c r="X963" s="90">
        <f t="shared" ref="X963:X1026" si="139">ABS($J$2-U963)</f>
        <v>9.9369082463725139E-3</v>
      </c>
    </row>
    <row r="964" spans="13:24" x14ac:dyDescent="0.25">
      <c r="M964" s="91">
        <v>9.61</v>
      </c>
      <c r="N964" s="89">
        <f t="shared" si="135"/>
        <v>4.3900000000000006</v>
      </c>
      <c r="O964" s="89">
        <f t="shared" si="136"/>
        <v>8.2100267775551501</v>
      </c>
      <c r="P964" s="97">
        <f t="shared" si="137"/>
        <v>4.000026777555151</v>
      </c>
      <c r="Q964" s="135">
        <f t="shared" ref="Q964:R1027" si="140">10^-O964</f>
        <v>6.1655698526593424E-9</v>
      </c>
      <c r="R964" s="89">
        <f t="shared" si="140"/>
        <v>9.9993834430147201E-5</v>
      </c>
      <c r="S964" s="89">
        <f t="shared" ref="S964:T1027" si="141">10^-M964</f>
        <v>2.4547089156850289E-10</v>
      </c>
      <c r="T964" s="136">
        <f t="shared" si="141"/>
        <v>4.0738027780411172E-5</v>
      </c>
      <c r="U964" s="137">
        <f t="shared" ref="U964:U1027" si="142">Q964/(Q964+R964)</f>
        <v>6.165569852659352E-5</v>
      </c>
      <c r="V964" s="88">
        <f t="shared" si="138"/>
        <v>5.6099732224448484</v>
      </c>
      <c r="W964" s="86">
        <f t="shared" ref="W964:W1027" si="143">ABS(O964-N964)</f>
        <v>3.8200267775551495</v>
      </c>
      <c r="X964" s="90">
        <f t="shared" si="139"/>
        <v>9.938344301473407E-3</v>
      </c>
    </row>
    <row r="965" spans="13:24" x14ac:dyDescent="0.25">
      <c r="M965" s="91">
        <v>9.6199999999999992</v>
      </c>
      <c r="N965" s="89">
        <f t="shared" si="135"/>
        <v>4.3800000000000008</v>
      </c>
      <c r="O965" s="89">
        <f t="shared" si="136"/>
        <v>8.220026168041942</v>
      </c>
      <c r="P965" s="97">
        <f t="shared" si="137"/>
        <v>4.0000261680419422</v>
      </c>
      <c r="Q965" s="135">
        <f t="shared" si="140"/>
        <v>6.0252328045651146E-9</v>
      </c>
      <c r="R965" s="89">
        <f t="shared" si="140"/>
        <v>9.9993974767195458E-5</v>
      </c>
      <c r="S965" s="89">
        <f t="shared" si="141"/>
        <v>2.3988329190194892E-10</v>
      </c>
      <c r="T965" s="136">
        <f t="shared" si="141"/>
        <v>4.168693834703343E-5</v>
      </c>
      <c r="U965" s="137">
        <f t="shared" si="142"/>
        <v>6.0252328045651134E-5</v>
      </c>
      <c r="V965" s="88">
        <f t="shared" si="138"/>
        <v>5.619973831958057</v>
      </c>
      <c r="W965" s="86">
        <f t="shared" si="143"/>
        <v>3.8400261680419412</v>
      </c>
      <c r="X965" s="90">
        <f t="shared" si="139"/>
        <v>9.9397476719543486E-3</v>
      </c>
    </row>
    <row r="966" spans="13:24" x14ac:dyDescent="0.25">
      <c r="M966" s="91">
        <v>9.6300000000000008</v>
      </c>
      <c r="N966" s="89">
        <f t="shared" si="135"/>
        <v>4.3699999999999992</v>
      </c>
      <c r="O966" s="89">
        <f t="shared" si="136"/>
        <v>8.2300255724021234</v>
      </c>
      <c r="P966" s="97">
        <f t="shared" si="137"/>
        <v>4.0000255724021221</v>
      </c>
      <c r="Q966" s="135">
        <f t="shared" si="140"/>
        <v>5.8880898371215994E-9</v>
      </c>
      <c r="R966" s="89">
        <f t="shared" si="140"/>
        <v>9.999411191016285E-5</v>
      </c>
      <c r="S966" s="89">
        <f t="shared" si="141"/>
        <v>2.3442288153199129E-10</v>
      </c>
      <c r="T966" s="136">
        <f t="shared" si="141"/>
        <v>4.2657951880159304E-5</v>
      </c>
      <c r="U966" s="137">
        <f t="shared" si="142"/>
        <v>5.8880898371216006E-5</v>
      </c>
      <c r="V966" s="88">
        <f t="shared" si="138"/>
        <v>5.6299744275978787</v>
      </c>
      <c r="W966" s="86">
        <f t="shared" si="143"/>
        <v>3.8600255724021242</v>
      </c>
      <c r="X966" s="90">
        <f t="shared" si="139"/>
        <v>9.9411191016287835E-3</v>
      </c>
    </row>
    <row r="967" spans="13:24" x14ac:dyDescent="0.25">
      <c r="M967" s="91">
        <v>9.64</v>
      </c>
      <c r="N967" s="89">
        <f t="shared" si="135"/>
        <v>4.3599999999999994</v>
      </c>
      <c r="O967" s="89">
        <f t="shared" si="136"/>
        <v>8.240024990319931</v>
      </c>
      <c r="P967" s="97">
        <f t="shared" si="137"/>
        <v>4.0000249903199308</v>
      </c>
      <c r="Q967" s="135">
        <f t="shared" si="140"/>
        <v>5.7540682613035861E-9</v>
      </c>
      <c r="R967" s="89">
        <f t="shared" si="140"/>
        <v>9.9994245931738534E-5</v>
      </c>
      <c r="S967" s="89">
        <f t="shared" si="141"/>
        <v>2.2908676527677644E-10</v>
      </c>
      <c r="T967" s="136">
        <f t="shared" si="141"/>
        <v>4.3651583224016634E-5</v>
      </c>
      <c r="U967" s="137">
        <f t="shared" si="142"/>
        <v>5.7540682613035949E-5</v>
      </c>
      <c r="V967" s="88">
        <f t="shared" si="138"/>
        <v>5.6399750096800698</v>
      </c>
      <c r="W967" s="86">
        <f t="shared" si="143"/>
        <v>3.8800249903199315</v>
      </c>
      <c r="X967" s="90">
        <f t="shared" si="139"/>
        <v>9.9424593173869646E-3</v>
      </c>
    </row>
    <row r="968" spans="13:24" x14ac:dyDescent="0.25">
      <c r="M968" s="91">
        <v>9.65</v>
      </c>
      <c r="N968" s="89">
        <f t="shared" si="135"/>
        <v>4.3499999999999996</v>
      </c>
      <c r="O968" s="89">
        <f t="shared" si="136"/>
        <v>8.2500244214867937</v>
      </c>
      <c r="P968" s="97">
        <f t="shared" si="137"/>
        <v>4.0000244214867937</v>
      </c>
      <c r="Q968" s="135">
        <f t="shared" si="140"/>
        <v>5.6230970419192474E-9</v>
      </c>
      <c r="R968" s="89">
        <f t="shared" si="140"/>
        <v>9.9994376902957932E-5</v>
      </c>
      <c r="S968" s="89">
        <f t="shared" si="141"/>
        <v>2.238721138568331E-10</v>
      </c>
      <c r="T968" s="136">
        <f t="shared" si="141"/>
        <v>4.4668359215096341E-5</v>
      </c>
      <c r="U968" s="137">
        <f t="shared" si="142"/>
        <v>5.6230970419192556E-5</v>
      </c>
      <c r="V968" s="88">
        <f t="shared" si="138"/>
        <v>5.6499755785132066</v>
      </c>
      <c r="W968" s="86">
        <f t="shared" si="143"/>
        <v>3.9000244214867941</v>
      </c>
      <c r="X968" s="90">
        <f t="shared" si="139"/>
        <v>9.9437690295808082E-3</v>
      </c>
    </row>
    <row r="969" spans="13:24" x14ac:dyDescent="0.25">
      <c r="M969" s="91">
        <v>9.66</v>
      </c>
      <c r="N969" s="89">
        <f t="shared" si="135"/>
        <v>4.34</v>
      </c>
      <c r="O969" s="89">
        <f t="shared" si="136"/>
        <v>8.2600238656011591</v>
      </c>
      <c r="P969" s="97">
        <f t="shared" si="137"/>
        <v>4.0000238656011593</v>
      </c>
      <c r="Q969" s="135">
        <f t="shared" si="140"/>
        <v>5.495106759999151E-9</v>
      </c>
      <c r="R969" s="89">
        <f t="shared" si="140"/>
        <v>9.9994504893239988E-5</v>
      </c>
      <c r="S969" s="89">
        <f t="shared" si="141"/>
        <v>2.1877616239495448E-10</v>
      </c>
      <c r="T969" s="136">
        <f t="shared" si="141"/>
        <v>4.5708818961487455E-5</v>
      </c>
      <c r="U969" s="137">
        <f t="shared" si="142"/>
        <v>5.4951067599991512E-5</v>
      </c>
      <c r="V969" s="88">
        <f t="shared" si="138"/>
        <v>5.6599761343988408</v>
      </c>
      <c r="W969" s="86">
        <f t="shared" si="143"/>
        <v>3.9200238656011592</v>
      </c>
      <c r="X969" s="90">
        <f t="shared" si="139"/>
        <v>9.9450489324000094E-3</v>
      </c>
    </row>
    <row r="970" spans="13:24" x14ac:dyDescent="0.25">
      <c r="M970" s="91">
        <v>9.67</v>
      </c>
      <c r="N970" s="89">
        <f t="shared" si="135"/>
        <v>4.33</v>
      </c>
      <c r="O970" s="89">
        <f t="shared" si="136"/>
        <v>8.2700233223683401</v>
      </c>
      <c r="P970" s="97">
        <f t="shared" si="137"/>
        <v>4.0000233223683397</v>
      </c>
      <c r="Q970" s="135">
        <f t="shared" si="140"/>
        <v>5.3700295760395305E-9</v>
      </c>
      <c r="R970" s="89">
        <f t="shared" si="140"/>
        <v>9.999462997042399E-5</v>
      </c>
      <c r="S970" s="89">
        <f t="shared" si="141"/>
        <v>2.1379620895022245E-10</v>
      </c>
      <c r="T970" s="136">
        <f t="shared" si="141"/>
        <v>4.6773514128719762E-5</v>
      </c>
      <c r="U970" s="137">
        <f t="shared" si="142"/>
        <v>5.3700295760395285E-5</v>
      </c>
      <c r="V970" s="88">
        <f t="shared" si="138"/>
        <v>5.6699766776316602</v>
      </c>
      <c r="W970" s="86">
        <f t="shared" si="143"/>
        <v>3.9400233223683401</v>
      </c>
      <c r="X970" s="90">
        <f t="shared" si="139"/>
        <v>9.9462997042396046E-3</v>
      </c>
    </row>
    <row r="971" spans="13:24" x14ac:dyDescent="0.25">
      <c r="M971" s="91">
        <v>9.68</v>
      </c>
      <c r="N971" s="89">
        <f t="shared" si="135"/>
        <v>4.32</v>
      </c>
      <c r="O971" s="89">
        <f t="shared" si="136"/>
        <v>8.2800227915003521</v>
      </c>
      <c r="P971" s="97">
        <f t="shared" si="137"/>
        <v>4.0000227915003528</v>
      </c>
      <c r="Q971" s="135">
        <f t="shared" si="140"/>
        <v>5.2477991940810262E-9</v>
      </c>
      <c r="R971" s="89">
        <f t="shared" si="140"/>
        <v>9.9994752200805825E-5</v>
      </c>
      <c r="S971" s="89">
        <f t="shared" si="141"/>
        <v>2.0892961308540397E-10</v>
      </c>
      <c r="T971" s="136">
        <f t="shared" si="141"/>
        <v>4.786300923226377E-5</v>
      </c>
      <c r="U971" s="137">
        <f t="shared" si="142"/>
        <v>5.2477991940810306E-5</v>
      </c>
      <c r="V971" s="88">
        <f t="shared" si="138"/>
        <v>5.6799772084996469</v>
      </c>
      <c r="W971" s="86">
        <f t="shared" si="143"/>
        <v>3.9600227915003519</v>
      </c>
      <c r="X971" s="90">
        <f t="shared" si="139"/>
        <v>9.947522008059189E-3</v>
      </c>
    </row>
    <row r="972" spans="13:24" x14ac:dyDescent="0.25">
      <c r="M972" s="91">
        <v>9.69</v>
      </c>
      <c r="N972" s="89">
        <f t="shared" si="135"/>
        <v>4.3100000000000005</v>
      </c>
      <c r="O972" s="89">
        <f t="shared" si="136"/>
        <v>8.2900222727157686</v>
      </c>
      <c r="P972" s="97">
        <f t="shared" si="137"/>
        <v>4.0000222727157686</v>
      </c>
      <c r="Q972" s="135">
        <f t="shared" si="140"/>
        <v>5.128350826603398E-9</v>
      </c>
      <c r="R972" s="89">
        <f t="shared" si="140"/>
        <v>9.9994871649173431E-5</v>
      </c>
      <c r="S972" s="89">
        <f t="shared" si="141"/>
        <v>2.0417379446695298E-10</v>
      </c>
      <c r="T972" s="136">
        <f t="shared" si="141"/>
        <v>4.8977881936844547E-5</v>
      </c>
      <c r="U972" s="137">
        <f t="shared" si="142"/>
        <v>5.1283508266033967E-5</v>
      </c>
      <c r="V972" s="88">
        <f t="shared" si="138"/>
        <v>5.6899777272842309</v>
      </c>
      <c r="W972" s="86">
        <f t="shared" si="143"/>
        <v>3.9800222727157681</v>
      </c>
      <c r="X972" s="90">
        <f t="shared" si="139"/>
        <v>9.9487164917339659E-3</v>
      </c>
    </row>
    <row r="973" spans="13:24" x14ac:dyDescent="0.25">
      <c r="M973" s="91">
        <v>9.6999999999999993</v>
      </c>
      <c r="N973" s="89">
        <f t="shared" si="135"/>
        <v>4.3000000000000007</v>
      </c>
      <c r="O973" s="89">
        <f t="shared" si="136"/>
        <v>8.3000217657395652</v>
      </c>
      <c r="P973" s="97">
        <f t="shared" si="137"/>
        <v>4.0000217657395654</v>
      </c>
      <c r="Q973" s="135">
        <f t="shared" si="140"/>
        <v>5.0116211602181924E-9</v>
      </c>
      <c r="R973" s="89">
        <f t="shared" si="140"/>
        <v>9.9994988378839688E-5</v>
      </c>
      <c r="S973" s="89">
        <f t="shared" si="141"/>
        <v>1.9952623149688802E-10</v>
      </c>
      <c r="T973" s="136">
        <f t="shared" si="141"/>
        <v>5.0118723362727062E-5</v>
      </c>
      <c r="U973" s="137">
        <f t="shared" si="142"/>
        <v>5.011621160218197E-5</v>
      </c>
      <c r="V973" s="88">
        <f t="shared" si="138"/>
        <v>5.6999782342604339</v>
      </c>
      <c r="W973" s="86">
        <f t="shared" si="143"/>
        <v>4.0000217657395645</v>
      </c>
      <c r="X973" s="90">
        <f t="shared" si="139"/>
        <v>9.9498837883978189E-3</v>
      </c>
    </row>
    <row r="974" spans="13:24" x14ac:dyDescent="0.25">
      <c r="M974" s="91">
        <v>9.7100000000000009</v>
      </c>
      <c r="N974" s="89">
        <f t="shared" si="135"/>
        <v>4.2899999999999991</v>
      </c>
      <c r="O974" s="89">
        <f t="shared" si="136"/>
        <v>8.310021270302979</v>
      </c>
      <c r="P974" s="97">
        <f t="shared" si="137"/>
        <v>4.0000212703029776</v>
      </c>
      <c r="Q974" s="135">
        <f t="shared" si="140"/>
        <v>4.8975483221409286E-9</v>
      </c>
      <c r="R974" s="89">
        <f t="shared" si="140"/>
        <v>9.999510245167771E-5</v>
      </c>
      <c r="S974" s="89">
        <f t="shared" si="141"/>
        <v>1.949844599758039E-10</v>
      </c>
      <c r="T974" s="136">
        <f t="shared" si="141"/>
        <v>5.1286138399136583E-5</v>
      </c>
      <c r="U974" s="137">
        <f t="shared" si="142"/>
        <v>4.8975483221409356E-5</v>
      </c>
      <c r="V974" s="88">
        <f t="shared" si="138"/>
        <v>5.7099787296970232</v>
      </c>
      <c r="W974" s="86">
        <f t="shared" si="143"/>
        <v>4.0200212703029798</v>
      </c>
      <c r="X974" s="90">
        <f t="shared" si="139"/>
        <v>9.9510245167785914E-3</v>
      </c>
    </row>
    <row r="975" spans="13:24" x14ac:dyDescent="0.25">
      <c r="M975" s="91">
        <v>9.7200000000000006</v>
      </c>
      <c r="N975" s="89">
        <f t="shared" si="135"/>
        <v>4.2799999999999994</v>
      </c>
      <c r="O975" s="89">
        <f t="shared" si="136"/>
        <v>8.3200207861433579</v>
      </c>
      <c r="P975" s="97">
        <f t="shared" si="137"/>
        <v>4.0000207861433568</v>
      </c>
      <c r="Q975" s="135">
        <f t="shared" si="140"/>
        <v>4.7860718474253403E-9</v>
      </c>
      <c r="R975" s="89">
        <f t="shared" si="140"/>
        <v>9.9995213928152598E-5</v>
      </c>
      <c r="S975" s="89">
        <f t="shared" si="141"/>
        <v>1.9054607179632416E-10</v>
      </c>
      <c r="T975" s="136">
        <f t="shared" si="141"/>
        <v>5.248074602497726E-5</v>
      </c>
      <c r="U975" s="137">
        <f t="shared" si="142"/>
        <v>4.7860718474253391E-5</v>
      </c>
      <c r="V975" s="88">
        <f t="shared" si="138"/>
        <v>5.7199792138566439</v>
      </c>
      <c r="W975" s="86">
        <f t="shared" si="143"/>
        <v>4.0400207861433586</v>
      </c>
      <c r="X975" s="90">
        <f t="shared" si="139"/>
        <v>9.9521392815257476E-3</v>
      </c>
    </row>
    <row r="976" spans="13:24" x14ac:dyDescent="0.25">
      <c r="M976" s="91">
        <v>9.73</v>
      </c>
      <c r="N976" s="89">
        <f t="shared" si="135"/>
        <v>4.2699999999999996</v>
      </c>
      <c r="O976" s="89">
        <f t="shared" si="136"/>
        <v>8.3300203130040344</v>
      </c>
      <c r="P976" s="97">
        <f t="shared" si="137"/>
        <v>4.0000203130040335</v>
      </c>
      <c r="Q976" s="135">
        <f t="shared" si="140"/>
        <v>4.6771326469420212E-9</v>
      </c>
      <c r="R976" s="89">
        <f t="shared" si="140"/>
        <v>9.9995322867352991E-5</v>
      </c>
      <c r="S976" s="89">
        <f t="shared" si="141"/>
        <v>1.862087136662862E-10</v>
      </c>
      <c r="T976" s="136">
        <f t="shared" si="141"/>
        <v>5.370317963702527E-5</v>
      </c>
      <c r="U976" s="137">
        <f t="shared" si="142"/>
        <v>4.677132646942024E-5</v>
      </c>
      <c r="V976" s="88">
        <f t="shared" si="138"/>
        <v>5.7299796869959669</v>
      </c>
      <c r="W976" s="86">
        <f t="shared" si="143"/>
        <v>4.0600203130040349</v>
      </c>
      <c r="X976" s="90">
        <f t="shared" si="139"/>
        <v>9.95322867353058E-3</v>
      </c>
    </row>
    <row r="977" spans="13:24" x14ac:dyDescent="0.25">
      <c r="M977" s="91">
        <v>9.74</v>
      </c>
      <c r="N977" s="89">
        <f t="shared" si="135"/>
        <v>4.26</v>
      </c>
      <c r="O977" s="89">
        <f t="shared" si="136"/>
        <v>8.3400198506341781</v>
      </c>
      <c r="P977" s="97">
        <f t="shared" si="137"/>
        <v>4.0000198506341782</v>
      </c>
      <c r="Q977" s="135">
        <f t="shared" si="140"/>
        <v>4.5706729760851497E-9</v>
      </c>
      <c r="R977" s="89">
        <f t="shared" si="140"/>
        <v>9.9995429327023769E-5</v>
      </c>
      <c r="S977" s="89">
        <f t="shared" si="141"/>
        <v>1.8197008586099781E-10</v>
      </c>
      <c r="T977" s="136">
        <f t="shared" si="141"/>
        <v>5.4954087385762447E-5</v>
      </c>
      <c r="U977" s="137">
        <f t="shared" si="142"/>
        <v>4.5706729760851566E-5</v>
      </c>
      <c r="V977" s="88">
        <f t="shared" si="138"/>
        <v>5.739980149365822</v>
      </c>
      <c r="W977" s="86">
        <f t="shared" si="143"/>
        <v>4.0800198506341783</v>
      </c>
      <c r="X977" s="90">
        <f t="shared" si="139"/>
        <v>9.9542932702391482E-3</v>
      </c>
    </row>
    <row r="978" spans="13:24" x14ac:dyDescent="0.25">
      <c r="M978" s="91">
        <v>9.75</v>
      </c>
      <c r="N978" s="89">
        <f t="shared" si="135"/>
        <v>4.25</v>
      </c>
      <c r="O978" s="89">
        <f t="shared" si="136"/>
        <v>8.3500193987886693</v>
      </c>
      <c r="P978" s="97">
        <f t="shared" si="137"/>
        <v>4.0000193987886696</v>
      </c>
      <c r="Q978" s="135">
        <f t="shared" si="140"/>
        <v>4.4666364041902516E-9</v>
      </c>
      <c r="R978" s="89">
        <f t="shared" si="140"/>
        <v>9.9995533363595878E-5</v>
      </c>
      <c r="S978" s="89">
        <f t="shared" si="141"/>
        <v>1.778279410038918E-10</v>
      </c>
      <c r="T978" s="136">
        <f t="shared" si="141"/>
        <v>5.6234132519034887E-5</v>
      </c>
      <c r="U978" s="137">
        <f t="shared" si="142"/>
        <v>4.4666364041902481E-5</v>
      </c>
      <c r="V978" s="88">
        <f t="shared" si="138"/>
        <v>5.7499806012113304</v>
      </c>
      <c r="W978" s="86">
        <f t="shared" si="143"/>
        <v>4.1000193987886693</v>
      </c>
      <c r="X978" s="90">
        <f t="shared" si="139"/>
        <v>9.9553336359580972E-3</v>
      </c>
    </row>
    <row r="979" spans="13:24" x14ac:dyDescent="0.25">
      <c r="M979" s="91">
        <v>9.76</v>
      </c>
      <c r="N979" s="89">
        <f t="shared" si="135"/>
        <v>4.24</v>
      </c>
      <c r="O979" s="89">
        <f t="shared" si="136"/>
        <v>8.3600189572279664</v>
      </c>
      <c r="P979" s="97">
        <f t="shared" si="137"/>
        <v>4.000018957227967</v>
      </c>
      <c r="Q979" s="135">
        <f t="shared" si="140"/>
        <v>4.3649677846471368E-9</v>
      </c>
      <c r="R979" s="89">
        <f t="shared" si="140"/>
        <v>9.9995635032215229E-5</v>
      </c>
      <c r="S979" s="89">
        <f t="shared" si="141"/>
        <v>1.7378008287493709E-10</v>
      </c>
      <c r="T979" s="136">
        <f t="shared" si="141"/>
        <v>5.7543993733715576E-5</v>
      </c>
      <c r="U979" s="137">
        <f t="shared" si="142"/>
        <v>4.3649677846471426E-5</v>
      </c>
      <c r="V979" s="88">
        <f t="shared" si="138"/>
        <v>5.7599810427720328</v>
      </c>
      <c r="W979" s="86">
        <f t="shared" si="143"/>
        <v>4.1200189572279662</v>
      </c>
      <c r="X979" s="90">
        <f t="shared" si="139"/>
        <v>9.9563503221535288E-3</v>
      </c>
    </row>
    <row r="980" spans="13:24" x14ac:dyDescent="0.25">
      <c r="M980" s="91">
        <v>9.77</v>
      </c>
      <c r="N980" s="89">
        <f t="shared" si="135"/>
        <v>4.2300000000000004</v>
      </c>
      <c r="O980" s="89">
        <f t="shared" si="136"/>
        <v>8.3700185257179793</v>
      </c>
      <c r="P980" s="97">
        <f t="shared" si="137"/>
        <v>4.0000185257179792</v>
      </c>
      <c r="Q980" s="135">
        <f t="shared" si="140"/>
        <v>4.2656132256922008E-9</v>
      </c>
      <c r="R980" s="89">
        <f t="shared" si="140"/>
        <v>9.999573438677426E-5</v>
      </c>
      <c r="S980" s="89">
        <f t="shared" si="141"/>
        <v>1.6982436524617399E-10</v>
      </c>
      <c r="T980" s="136">
        <f t="shared" si="141"/>
        <v>5.8884365535558766E-5</v>
      </c>
      <c r="U980" s="137">
        <f t="shared" si="142"/>
        <v>4.2656132256922027E-5</v>
      </c>
      <c r="V980" s="88">
        <f t="shared" si="138"/>
        <v>5.7699814742820204</v>
      </c>
      <c r="W980" s="86">
        <f t="shared" si="143"/>
        <v>4.1400185257179789</v>
      </c>
      <c r="X980" s="90">
        <f t="shared" si="139"/>
        <v>9.9573438677430775E-3</v>
      </c>
    </row>
    <row r="981" spans="13:24" x14ac:dyDescent="0.25">
      <c r="M981" s="91">
        <v>9.7799999999999994</v>
      </c>
      <c r="N981" s="89">
        <f t="shared" si="135"/>
        <v>4.2200000000000006</v>
      </c>
      <c r="O981" s="89">
        <f t="shared" si="136"/>
        <v>8.3800181040299435</v>
      </c>
      <c r="P981" s="97">
        <f t="shared" si="137"/>
        <v>4.0000181040299436</v>
      </c>
      <c r="Q981" s="135">
        <f t="shared" si="140"/>
        <v>4.168520061864522E-9</v>
      </c>
      <c r="R981" s="89">
        <f t="shared" si="140"/>
        <v>9.9995831479938023E-5</v>
      </c>
      <c r="S981" s="89">
        <f t="shared" si="141"/>
        <v>1.6595869074375624E-10</v>
      </c>
      <c r="T981" s="136">
        <f t="shared" si="141"/>
        <v>6.0255958607435637E-5</v>
      </c>
      <c r="U981" s="137">
        <f t="shared" si="142"/>
        <v>4.168520061864527E-5</v>
      </c>
      <c r="V981" s="88">
        <f t="shared" si="138"/>
        <v>5.7799818959700557</v>
      </c>
      <c r="W981" s="86">
        <f t="shared" si="143"/>
        <v>4.1600181040299429</v>
      </c>
      <c r="X981" s="90">
        <f t="shared" si="139"/>
        <v>9.9583147993813556E-3</v>
      </c>
    </row>
    <row r="982" spans="13:24" x14ac:dyDescent="0.25">
      <c r="M982" s="91">
        <v>9.7899999999999991</v>
      </c>
      <c r="N982" s="89">
        <f t="shared" si="135"/>
        <v>4.2100000000000009</v>
      </c>
      <c r="O982" s="89">
        <f t="shared" si="136"/>
        <v>8.3900176919403027</v>
      </c>
      <c r="P982" s="97">
        <f t="shared" si="137"/>
        <v>4.0000176919403039</v>
      </c>
      <c r="Q982" s="135">
        <f t="shared" si="140"/>
        <v>4.0736368261109452E-9</v>
      </c>
      <c r="R982" s="89">
        <f t="shared" si="140"/>
        <v>9.9995926363173799E-5</v>
      </c>
      <c r="S982" s="89">
        <f t="shared" si="141"/>
        <v>1.6218100973589318E-10</v>
      </c>
      <c r="T982" s="136">
        <f t="shared" si="141"/>
        <v>6.1659500186148075E-5</v>
      </c>
      <c r="U982" s="137">
        <f t="shared" si="142"/>
        <v>4.0736368261109491E-5</v>
      </c>
      <c r="V982" s="88">
        <f t="shared" si="138"/>
        <v>5.7899823080596953</v>
      </c>
      <c r="W982" s="86">
        <f t="shared" si="143"/>
        <v>4.1800176919403018</v>
      </c>
      <c r="X982" s="90">
        <f t="shared" si="139"/>
        <v>9.9592636317388916E-3</v>
      </c>
    </row>
    <row r="983" spans="13:24" x14ac:dyDescent="0.25">
      <c r="M983" s="91">
        <v>9.8000000000000007</v>
      </c>
      <c r="N983" s="89">
        <f t="shared" si="135"/>
        <v>4.1999999999999993</v>
      </c>
      <c r="O983" s="89">
        <f t="shared" si="136"/>
        <v>8.4000172892305933</v>
      </c>
      <c r="P983" s="97">
        <f t="shared" si="137"/>
        <v>4.0000172892305921</v>
      </c>
      <c r="Q983" s="135">
        <f t="shared" si="140"/>
        <v>3.9809132225250287E-9</v>
      </c>
      <c r="R983" s="89">
        <f t="shared" si="140"/>
        <v>9.9996019086777226E-5</v>
      </c>
      <c r="S983" s="89">
        <f t="shared" si="141"/>
        <v>1.5848931924611098E-10</v>
      </c>
      <c r="T983" s="136">
        <f t="shared" si="141"/>
        <v>6.3095734448019388E-5</v>
      </c>
      <c r="U983" s="137">
        <f t="shared" si="142"/>
        <v>3.9809132225250386E-5</v>
      </c>
      <c r="V983" s="88">
        <f t="shared" si="138"/>
        <v>5.7999827107694086</v>
      </c>
      <c r="W983" s="86">
        <f t="shared" si="143"/>
        <v>4.200017289230594</v>
      </c>
      <c r="X983" s="90">
        <f t="shared" si="139"/>
        <v>9.9601908677747503E-3</v>
      </c>
    </row>
    <row r="984" spans="13:24" x14ac:dyDescent="0.25">
      <c r="M984" s="91">
        <v>9.81</v>
      </c>
      <c r="N984" s="89">
        <f t="shared" si="135"/>
        <v>4.1899999999999995</v>
      </c>
      <c r="O984" s="89">
        <f t="shared" si="136"/>
        <v>8.4100168956873116</v>
      </c>
      <c r="P984" s="97">
        <f t="shared" si="137"/>
        <v>4.0000168956873114</v>
      </c>
      <c r="Q984" s="135">
        <f t="shared" si="140"/>
        <v>3.8903000997061558E-9</v>
      </c>
      <c r="R984" s="89">
        <f t="shared" si="140"/>
        <v>9.9996109699900161E-5</v>
      </c>
      <c r="S984" s="89">
        <f t="shared" si="141"/>
        <v>1.548816618912478E-10</v>
      </c>
      <c r="T984" s="136">
        <f t="shared" si="141"/>
        <v>6.4565422903465613E-5</v>
      </c>
      <c r="U984" s="137">
        <f t="shared" si="142"/>
        <v>3.8903000997061608E-5</v>
      </c>
      <c r="V984" s="88">
        <f t="shared" si="138"/>
        <v>5.8099831043126891</v>
      </c>
      <c r="W984" s="86">
        <f t="shared" si="143"/>
        <v>4.2200168956873121</v>
      </c>
      <c r="X984" s="90">
        <f t="shared" si="139"/>
        <v>9.9610969990029385E-3</v>
      </c>
    </row>
    <row r="985" spans="13:24" x14ac:dyDescent="0.25">
      <c r="M985" s="91">
        <v>9.82</v>
      </c>
      <c r="N985" s="89">
        <f t="shared" si="135"/>
        <v>4.18</v>
      </c>
      <c r="O985" s="89">
        <f t="shared" si="136"/>
        <v>8.4200165111018244</v>
      </c>
      <c r="P985" s="97">
        <f t="shared" si="137"/>
        <v>4.0000165111018244</v>
      </c>
      <c r="Q985" s="135">
        <f t="shared" si="140"/>
        <v>3.8017494247237331E-9</v>
      </c>
      <c r="R985" s="89">
        <f t="shared" si="140"/>
        <v>9.9996198250575213E-5</v>
      </c>
      <c r="S985" s="89">
        <f t="shared" si="141"/>
        <v>1.5135612484362048E-10</v>
      </c>
      <c r="T985" s="136">
        <f t="shared" si="141"/>
        <v>6.6069344800759539E-5</v>
      </c>
      <c r="U985" s="137">
        <f t="shared" si="142"/>
        <v>3.8017494247237354E-5</v>
      </c>
      <c r="V985" s="88">
        <f t="shared" si="138"/>
        <v>5.8199834888981758</v>
      </c>
      <c r="W985" s="86">
        <f t="shared" si="143"/>
        <v>4.2400165111018246</v>
      </c>
      <c r="X985" s="90">
        <f t="shared" si="139"/>
        <v>9.961982505752762E-3</v>
      </c>
    </row>
    <row r="986" spans="13:24" x14ac:dyDescent="0.25">
      <c r="M986" s="91">
        <v>9.83</v>
      </c>
      <c r="N986" s="89">
        <f t="shared" si="135"/>
        <v>4.17</v>
      </c>
      <c r="O986" s="89">
        <f t="shared" si="136"/>
        <v>8.4300161352702432</v>
      </c>
      <c r="P986" s="97">
        <f t="shared" si="137"/>
        <v>4.0000161352702435</v>
      </c>
      <c r="Q986" s="135">
        <f t="shared" si="140"/>
        <v>3.7152142576736802E-9</v>
      </c>
      <c r="R986" s="89">
        <f t="shared" si="140"/>
        <v>9.999628478574232E-5</v>
      </c>
      <c r="S986" s="89">
        <f t="shared" si="141"/>
        <v>1.4791083881682045E-10</v>
      </c>
      <c r="T986" s="136">
        <f t="shared" si="141"/>
        <v>6.7608297539198107E-5</v>
      </c>
      <c r="U986" s="137">
        <f t="shared" si="142"/>
        <v>3.7152142576736807E-5</v>
      </c>
      <c r="V986" s="88">
        <f t="shared" si="138"/>
        <v>5.8299838647297566</v>
      </c>
      <c r="W986" s="86">
        <f t="shared" si="143"/>
        <v>4.2600161352702433</v>
      </c>
      <c r="X986" s="90">
        <f t="shared" si="139"/>
        <v>9.962847857423263E-3</v>
      </c>
    </row>
    <row r="987" spans="13:24" x14ac:dyDescent="0.25">
      <c r="M987" s="91">
        <v>9.84</v>
      </c>
      <c r="N987" s="89">
        <f t="shared" si="135"/>
        <v>4.16</v>
      </c>
      <c r="O987" s="89">
        <f t="shared" si="136"/>
        <v>8.4400157679933194</v>
      </c>
      <c r="P987" s="97">
        <f t="shared" si="137"/>
        <v>4.0000157679933199</v>
      </c>
      <c r="Q987" s="135">
        <f t="shared" si="140"/>
        <v>3.6306487268132863E-9</v>
      </c>
      <c r="R987" s="89">
        <f t="shared" si="140"/>
        <v>9.9996369351273059E-5</v>
      </c>
      <c r="S987" s="89">
        <f t="shared" si="141"/>
        <v>1.4454397707459247E-10</v>
      </c>
      <c r="T987" s="136">
        <f t="shared" si="141"/>
        <v>6.9183097091893571E-5</v>
      </c>
      <c r="U987" s="137">
        <f t="shared" si="142"/>
        <v>3.6306487268132908E-5</v>
      </c>
      <c r="V987" s="88">
        <f t="shared" si="138"/>
        <v>5.8399842320066799</v>
      </c>
      <c r="W987" s="86">
        <f t="shared" si="143"/>
        <v>4.2800157679933193</v>
      </c>
      <c r="X987" s="90">
        <f t="shared" si="139"/>
        <v>9.9636935127318665E-3</v>
      </c>
    </row>
    <row r="988" spans="13:24" x14ac:dyDescent="0.25">
      <c r="M988" s="91">
        <v>9.85</v>
      </c>
      <c r="N988" s="89">
        <f t="shared" si="135"/>
        <v>4.1500000000000004</v>
      </c>
      <c r="O988" s="89">
        <f t="shared" si="136"/>
        <v>8.4500154090763395</v>
      </c>
      <c r="P988" s="97">
        <f t="shared" si="137"/>
        <v>4.0000154090763393</v>
      </c>
      <c r="Q988" s="135">
        <f t="shared" si="140"/>
        <v>3.5480080042612402E-9</v>
      </c>
      <c r="R988" s="89">
        <f t="shared" si="140"/>
        <v>9.9996451991995585E-5</v>
      </c>
      <c r="S988" s="89">
        <f t="shared" si="141"/>
        <v>1.4125375446227517E-10</v>
      </c>
      <c r="T988" s="136">
        <f t="shared" si="141"/>
        <v>7.0794578438413704E-5</v>
      </c>
      <c r="U988" s="137">
        <f t="shared" si="142"/>
        <v>3.5480080042612457E-5</v>
      </c>
      <c r="V988" s="88">
        <f t="shared" si="138"/>
        <v>5.8499845909236603</v>
      </c>
      <c r="W988" s="86">
        <f t="shared" si="143"/>
        <v>4.3000154090763392</v>
      </c>
      <c r="X988" s="90">
        <f t="shared" si="139"/>
        <v>9.9645199199573879E-3</v>
      </c>
    </row>
    <row r="989" spans="13:24" x14ac:dyDescent="0.25">
      <c r="M989" s="91">
        <v>9.86</v>
      </c>
      <c r="N989" s="89">
        <f t="shared" si="135"/>
        <v>4.1400000000000006</v>
      </c>
      <c r="O989" s="89">
        <f t="shared" si="136"/>
        <v>8.4600150583290183</v>
      </c>
      <c r="P989" s="97">
        <f t="shared" si="137"/>
        <v>4.0000150583290202</v>
      </c>
      <c r="Q989" s="135">
        <f t="shared" si="140"/>
        <v>3.4672482822504108E-9</v>
      </c>
      <c r="R989" s="89">
        <f t="shared" si="140"/>
        <v>9.9996532751717602E-5</v>
      </c>
      <c r="S989" s="89">
        <f t="shared" si="141"/>
        <v>1.3803842646028825E-10</v>
      </c>
      <c r="T989" s="136">
        <f t="shared" si="141"/>
        <v>7.2443596007498791E-5</v>
      </c>
      <c r="U989" s="137">
        <f t="shared" si="142"/>
        <v>3.4672482822504155E-5</v>
      </c>
      <c r="V989" s="88">
        <f t="shared" si="138"/>
        <v>5.8599849416709793</v>
      </c>
      <c r="W989" s="86">
        <f t="shared" si="143"/>
        <v>4.3200150583290178</v>
      </c>
      <c r="X989" s="90">
        <f t="shared" si="139"/>
        <v>9.9653275171774965E-3</v>
      </c>
    </row>
    <row r="990" spans="13:24" x14ac:dyDescent="0.25">
      <c r="M990" s="91">
        <v>9.8699999999999992</v>
      </c>
      <c r="N990" s="89">
        <f t="shared" si="135"/>
        <v>4.1300000000000008</v>
      </c>
      <c r="O990" s="89">
        <f t="shared" si="136"/>
        <v>8.4700147155654104</v>
      </c>
      <c r="P990" s="97">
        <f t="shared" si="137"/>
        <v>4.0000147155654107</v>
      </c>
      <c r="Q990" s="135">
        <f t="shared" si="140"/>
        <v>3.3883267499201951E-9</v>
      </c>
      <c r="R990" s="89">
        <f t="shared" si="140"/>
        <v>9.9996611673250051E-5</v>
      </c>
      <c r="S990" s="89">
        <f t="shared" si="141"/>
        <v>1.3489628825916514E-10</v>
      </c>
      <c r="T990" s="136">
        <f t="shared" si="141"/>
        <v>7.4131024130091519E-5</v>
      </c>
      <c r="U990" s="137">
        <f t="shared" si="142"/>
        <v>3.3883267499201955E-5</v>
      </c>
      <c r="V990" s="88">
        <f t="shared" si="138"/>
        <v>5.8699852844345886</v>
      </c>
      <c r="W990" s="86">
        <f t="shared" si="143"/>
        <v>4.3400147155654096</v>
      </c>
      <c r="X990" s="90">
        <f t="shared" si="139"/>
        <v>9.9661167325007984E-3</v>
      </c>
    </row>
    <row r="991" spans="13:24" x14ac:dyDescent="0.25">
      <c r="M991" s="91">
        <v>9.8800000000000008</v>
      </c>
      <c r="N991" s="89">
        <f t="shared" si="135"/>
        <v>4.1199999999999992</v>
      </c>
      <c r="O991" s="89">
        <f t="shared" si="136"/>
        <v>8.4800143806037926</v>
      </c>
      <c r="P991" s="97">
        <f t="shared" si="137"/>
        <v>4.0000143806037922</v>
      </c>
      <c r="Q991" s="135">
        <f t="shared" si="140"/>
        <v>3.3112015706369494E-9</v>
      </c>
      <c r="R991" s="89">
        <f t="shared" si="140"/>
        <v>9.99966887984293E-5</v>
      </c>
      <c r="S991" s="89">
        <f t="shared" si="141"/>
        <v>1.3182567385564002E-10</v>
      </c>
      <c r="T991" s="136">
        <f t="shared" si="141"/>
        <v>7.5857757502918399E-5</v>
      </c>
      <c r="U991" s="137">
        <f t="shared" si="142"/>
        <v>3.3112015706369518E-5</v>
      </c>
      <c r="V991" s="88">
        <f t="shared" si="138"/>
        <v>5.8799856193962086</v>
      </c>
      <c r="W991" s="86">
        <f t="shared" si="143"/>
        <v>4.3600143806037934</v>
      </c>
      <c r="X991" s="90">
        <f t="shared" si="139"/>
        <v>9.9668879842936299E-3</v>
      </c>
    </row>
    <row r="992" spans="13:24" x14ac:dyDescent="0.25">
      <c r="M992" s="91">
        <v>9.89</v>
      </c>
      <c r="N992" s="89">
        <f t="shared" si="135"/>
        <v>4.1099999999999994</v>
      </c>
      <c r="O992" s="89">
        <f t="shared" si="136"/>
        <v>8.4900140532665826</v>
      </c>
      <c r="P992" s="97">
        <f t="shared" si="137"/>
        <v>4.0000140532665824</v>
      </c>
      <c r="Q992" s="135">
        <f t="shared" si="140"/>
        <v>3.2358318598298047E-9</v>
      </c>
      <c r="R992" s="89">
        <f t="shared" si="140"/>
        <v>9.999676416813999E-5</v>
      </c>
      <c r="S992" s="89">
        <f t="shared" si="141"/>
        <v>1.2882495516931275E-10</v>
      </c>
      <c r="T992" s="136">
        <f t="shared" si="141"/>
        <v>7.7624711662869179E-5</v>
      </c>
      <c r="U992" s="137">
        <f t="shared" si="142"/>
        <v>3.2358318598298105E-5</v>
      </c>
      <c r="V992" s="88">
        <f t="shared" si="138"/>
        <v>5.8899859467334181</v>
      </c>
      <c r="W992" s="86">
        <f t="shared" si="143"/>
        <v>4.3800140532665832</v>
      </c>
      <c r="X992" s="90">
        <f t="shared" si="139"/>
        <v>9.9676416814017017E-3</v>
      </c>
    </row>
    <row r="993" spans="13:24" x14ac:dyDescent="0.25">
      <c r="M993" s="91">
        <v>9.9</v>
      </c>
      <c r="N993" s="89">
        <f t="shared" si="135"/>
        <v>4.0999999999999996</v>
      </c>
      <c r="O993" s="89">
        <f t="shared" si="136"/>
        <v>8.5000137333802392</v>
      </c>
      <c r="P993" s="97">
        <f t="shared" si="137"/>
        <v>4.0000137333802384</v>
      </c>
      <c r="Q993" s="135">
        <f t="shared" si="140"/>
        <v>3.1621776633305437E-9</v>
      </c>
      <c r="R993" s="89">
        <f t="shared" si="140"/>
        <v>9.9996837822336393E-5</v>
      </c>
      <c r="S993" s="89">
        <f t="shared" si="141"/>
        <v>1.2589254117941656E-10</v>
      </c>
      <c r="T993" s="136">
        <f t="shared" si="141"/>
        <v>7.9432823472428153E-5</v>
      </c>
      <c r="U993" s="137">
        <f t="shared" si="142"/>
        <v>3.1621776633305525E-5</v>
      </c>
      <c r="V993" s="88">
        <f t="shared" si="138"/>
        <v>5.899986266619762</v>
      </c>
      <c r="W993" s="86">
        <f t="shared" si="143"/>
        <v>4.4000137333802396</v>
      </c>
      <c r="X993" s="90">
        <f t="shared" si="139"/>
        <v>9.9683782233666949E-3</v>
      </c>
    </row>
    <row r="994" spans="13:24" x14ac:dyDescent="0.25">
      <c r="M994" s="91">
        <v>9.91</v>
      </c>
      <c r="N994" s="89">
        <f t="shared" si="135"/>
        <v>4.09</v>
      </c>
      <c r="O994" s="89">
        <f t="shared" si="136"/>
        <v>8.5100134207751683</v>
      </c>
      <c r="P994" s="97">
        <f t="shared" si="137"/>
        <v>4.0000134207751685</v>
      </c>
      <c r="Q994" s="135">
        <f t="shared" si="140"/>
        <v>3.090199936206099E-9</v>
      </c>
      <c r="R994" s="89">
        <f t="shared" si="140"/>
        <v>9.9996909800063692E-5</v>
      </c>
      <c r="S994" s="89">
        <f t="shared" si="141"/>
        <v>1.2302687708123799E-10</v>
      </c>
      <c r="T994" s="136">
        <f t="shared" si="141"/>
        <v>8.1283051616409918E-5</v>
      </c>
      <c r="U994" s="137">
        <f t="shared" si="142"/>
        <v>3.0901999362061022E-5</v>
      </c>
      <c r="V994" s="88">
        <f t="shared" si="138"/>
        <v>5.9099865792248316</v>
      </c>
      <c r="W994" s="86">
        <f t="shared" si="143"/>
        <v>4.4200134207751685</v>
      </c>
      <c r="X994" s="90">
        <f t="shared" si="139"/>
        <v>9.9690980006379385E-3</v>
      </c>
    </row>
    <row r="995" spans="13:24" x14ac:dyDescent="0.25">
      <c r="M995" s="91">
        <v>9.92</v>
      </c>
      <c r="N995" s="89">
        <f t="shared" si="135"/>
        <v>4.08</v>
      </c>
      <c r="O995" s="89">
        <f t="shared" si="136"/>
        <v>8.5200131152856411</v>
      </c>
      <c r="P995" s="97">
        <f t="shared" si="137"/>
        <v>4.0000131152856415</v>
      </c>
      <c r="Q995" s="135">
        <f t="shared" si="140"/>
        <v>3.0198605220722158E-9</v>
      </c>
      <c r="R995" s="89">
        <f t="shared" si="140"/>
        <v>9.9996980139477714E-5</v>
      </c>
      <c r="S995" s="89">
        <f t="shared" si="141"/>
        <v>1.2022644346174114E-10</v>
      </c>
      <c r="T995" s="136">
        <f t="shared" si="141"/>
        <v>8.3176377110266955E-5</v>
      </c>
      <c r="U995" s="137">
        <f t="shared" si="142"/>
        <v>3.0198605220722223E-5</v>
      </c>
      <c r="V995" s="88">
        <f t="shared" si="138"/>
        <v>5.9199868847143584</v>
      </c>
      <c r="W995" s="86">
        <f t="shared" si="143"/>
        <v>4.440013115285641</v>
      </c>
      <c r="X995" s="90">
        <f t="shared" si="139"/>
        <v>9.9698013947792773E-3</v>
      </c>
    </row>
    <row r="996" spans="13:24" x14ac:dyDescent="0.25">
      <c r="M996" s="91">
        <v>9.93</v>
      </c>
      <c r="N996" s="89">
        <f t="shared" si="135"/>
        <v>4.07</v>
      </c>
      <c r="O996" s="89">
        <f t="shared" si="136"/>
        <v>8.5300128167496965</v>
      </c>
      <c r="P996" s="97">
        <f t="shared" si="137"/>
        <v>4.0000128167496971</v>
      </c>
      <c r="Q996" s="135">
        <f t="shared" si="140"/>
        <v>2.9511221328777053E-9</v>
      </c>
      <c r="R996" s="89">
        <f t="shared" si="140"/>
        <v>9.9997048877867084E-5</v>
      </c>
      <c r="S996" s="89">
        <f t="shared" si="141"/>
        <v>1.1748975549395284E-10</v>
      </c>
      <c r="T996" s="136">
        <f t="shared" si="141"/>
        <v>8.5113803820237487E-5</v>
      </c>
      <c r="U996" s="137">
        <f t="shared" si="142"/>
        <v>2.9511221328777065E-5</v>
      </c>
      <c r="V996" s="88">
        <f t="shared" si="138"/>
        <v>5.9299871832503026</v>
      </c>
      <c r="W996" s="86">
        <f t="shared" si="143"/>
        <v>4.4600128167496962</v>
      </c>
      <c r="X996" s="90">
        <f t="shared" si="139"/>
        <v>9.9704887786712226E-3</v>
      </c>
    </row>
    <row r="997" spans="13:24" x14ac:dyDescent="0.25">
      <c r="M997" s="91">
        <v>9.94</v>
      </c>
      <c r="N997" s="89">
        <f t="shared" si="135"/>
        <v>4.0600000000000005</v>
      </c>
      <c r="O997" s="89">
        <f t="shared" si="136"/>
        <v>8.5400125250090628</v>
      </c>
      <c r="P997" s="97">
        <f t="shared" si="137"/>
        <v>4.0000125250090628</v>
      </c>
      <c r="Q997" s="135">
        <f t="shared" si="140"/>
        <v>2.8839483291482554E-9</v>
      </c>
      <c r="R997" s="89">
        <f t="shared" si="140"/>
        <v>9.9997116051670821E-5</v>
      </c>
      <c r="S997" s="89">
        <f t="shared" si="141"/>
        <v>1.1481536214968818E-10</v>
      </c>
      <c r="T997" s="136">
        <f t="shared" si="141"/>
        <v>8.709635899560788E-5</v>
      </c>
      <c r="U997" s="137">
        <f t="shared" si="142"/>
        <v>2.8839483291482564E-5</v>
      </c>
      <c r="V997" s="88">
        <f t="shared" si="138"/>
        <v>5.9399874749909367</v>
      </c>
      <c r="W997" s="86">
        <f t="shared" si="143"/>
        <v>4.4800125250090623</v>
      </c>
      <c r="X997" s="90">
        <f t="shared" si="139"/>
        <v>9.9711605167085177E-3</v>
      </c>
    </row>
    <row r="998" spans="13:24" x14ac:dyDescent="0.25">
      <c r="M998" s="91">
        <v>9.9499999999999993</v>
      </c>
      <c r="N998" s="89">
        <f t="shared" si="135"/>
        <v>4.0500000000000007</v>
      </c>
      <c r="O998" s="89">
        <f t="shared" si="136"/>
        <v>8.5500122399090657</v>
      </c>
      <c r="P998" s="97">
        <f t="shared" si="137"/>
        <v>4.0000122399090667</v>
      </c>
      <c r="Q998" s="135">
        <f t="shared" si="140"/>
        <v>2.8183035006796364E-9</v>
      </c>
      <c r="R998" s="89">
        <f t="shared" si="140"/>
        <v>9.9997181696499126E-5</v>
      </c>
      <c r="S998" s="89">
        <f t="shared" si="141"/>
        <v>1.1220184543019624E-10</v>
      </c>
      <c r="T998" s="136">
        <f t="shared" si="141"/>
        <v>8.9125093813374357E-5</v>
      </c>
      <c r="U998" s="137">
        <f t="shared" si="142"/>
        <v>2.818303500679642E-5</v>
      </c>
      <c r="V998" s="88">
        <f t="shared" si="138"/>
        <v>5.9499877600909326</v>
      </c>
      <c r="W998" s="86">
        <f t="shared" si="143"/>
        <v>4.500012239909065</v>
      </c>
      <c r="X998" s="90">
        <f t="shared" si="139"/>
        <v>9.9718169649932031E-3</v>
      </c>
    </row>
    <row r="999" spans="13:24" x14ac:dyDescent="0.25">
      <c r="M999" s="91">
        <v>9.9600000000000009</v>
      </c>
      <c r="N999" s="89">
        <f t="shared" si="135"/>
        <v>4.0399999999999991</v>
      </c>
      <c r="O999" s="89">
        <f t="shared" si="136"/>
        <v>8.5600119612985583</v>
      </c>
      <c r="P999" s="97">
        <f t="shared" si="137"/>
        <v>4.0000119612985578</v>
      </c>
      <c r="Q999" s="135">
        <f t="shared" si="140"/>
        <v>2.7541528476698919E-9</v>
      </c>
      <c r="R999" s="89">
        <f t="shared" si="140"/>
        <v>9.9997245847152218E-5</v>
      </c>
      <c r="S999" s="89">
        <f t="shared" si="141"/>
        <v>1.0964781961431802E-10</v>
      </c>
      <c r="T999" s="136">
        <f t="shared" si="141"/>
        <v>9.1201083935591086E-5</v>
      </c>
      <c r="U999" s="137">
        <f t="shared" si="142"/>
        <v>2.7541528476698952E-5</v>
      </c>
      <c r="V999" s="88">
        <f t="shared" si="138"/>
        <v>5.959988038701443</v>
      </c>
      <c r="W999" s="86">
        <f t="shared" si="143"/>
        <v>4.5200119612985592</v>
      </c>
      <c r="X999" s="90">
        <f t="shared" si="139"/>
        <v>9.9724584715233013E-3</v>
      </c>
    </row>
    <row r="1000" spans="13:24" x14ac:dyDescent="0.25">
      <c r="M1000" s="91">
        <v>9.9700000000000006</v>
      </c>
      <c r="N1000" s="89">
        <f t="shared" si="135"/>
        <v>4.0299999999999994</v>
      </c>
      <c r="O1000" s="89">
        <f t="shared" si="136"/>
        <v>8.5700116890298261</v>
      </c>
      <c r="P1000" s="97">
        <f t="shared" si="137"/>
        <v>4.0000116890298258</v>
      </c>
      <c r="Q1000" s="135">
        <f t="shared" si="140"/>
        <v>2.6914623622806915E-9</v>
      </c>
      <c r="R1000" s="89">
        <f t="shared" si="140"/>
        <v>9.9997308537637467E-5</v>
      </c>
      <c r="S1000" s="89">
        <f t="shared" si="141"/>
        <v>1.0715193052376019E-10</v>
      </c>
      <c r="T1000" s="136">
        <f t="shared" si="141"/>
        <v>9.3325430079699222E-5</v>
      </c>
      <c r="U1000" s="137">
        <f t="shared" si="142"/>
        <v>2.6914623622806983E-5</v>
      </c>
      <c r="V1000" s="88">
        <f t="shared" si="138"/>
        <v>5.9699883109701748</v>
      </c>
      <c r="W1000" s="86">
        <f t="shared" si="143"/>
        <v>4.5400116890298268</v>
      </c>
      <c r="X1000" s="90">
        <f t="shared" si="139"/>
        <v>9.9730853763771929E-3</v>
      </c>
    </row>
    <row r="1001" spans="13:24" x14ac:dyDescent="0.25">
      <c r="M1001" s="91">
        <v>9.98</v>
      </c>
      <c r="N1001" s="89">
        <f t="shared" si="135"/>
        <v>4.0199999999999996</v>
      </c>
      <c r="O1001" s="89">
        <f t="shared" si="136"/>
        <v>8.5800114229585223</v>
      </c>
      <c r="P1001" s="97">
        <f t="shared" si="137"/>
        <v>4.0000114229585213</v>
      </c>
      <c r="Q1001" s="135">
        <f t="shared" si="140"/>
        <v>2.6301988106179322E-9</v>
      </c>
      <c r="R1001" s="89">
        <f t="shared" si="140"/>
        <v>9.9997369801189397E-5</v>
      </c>
      <c r="S1001" s="89">
        <f t="shared" si="141"/>
        <v>1.0471285480508951E-10</v>
      </c>
      <c r="T1001" s="136">
        <f t="shared" si="141"/>
        <v>9.5499258602143526E-5</v>
      </c>
      <c r="U1001" s="137">
        <f t="shared" si="142"/>
        <v>2.6301988106179317E-5</v>
      </c>
      <c r="V1001" s="88">
        <f t="shared" si="138"/>
        <v>5.9799885770414791</v>
      </c>
      <c r="W1001" s="86">
        <f t="shared" si="143"/>
        <v>4.5600114229585227</v>
      </c>
      <c r="X1001" s="90">
        <f t="shared" si="139"/>
        <v>9.9736980118938206E-3</v>
      </c>
    </row>
    <row r="1002" spans="13:24" x14ac:dyDescent="0.25">
      <c r="M1002" s="91">
        <v>9.99</v>
      </c>
      <c r="N1002" s="89">
        <f t="shared" si="135"/>
        <v>4.01</v>
      </c>
      <c r="O1002" s="89">
        <f t="shared" si="136"/>
        <v>8.5900111629435827</v>
      </c>
      <c r="P1002" s="97">
        <f t="shared" si="137"/>
        <v>4.0000111629435819</v>
      </c>
      <c r="Q1002" s="135">
        <f t="shared" si="140"/>
        <v>2.5703297151222567E-9</v>
      </c>
      <c r="R1002" s="89">
        <f t="shared" si="140"/>
        <v>9.9997429670284864E-5</v>
      </c>
      <c r="S1002" s="89">
        <f t="shared" si="141"/>
        <v>1.0232929922807501E-10</v>
      </c>
      <c r="T1002" s="136">
        <f t="shared" si="141"/>
        <v>9.7723722095581001E-5</v>
      </c>
      <c r="U1002" s="137">
        <f t="shared" si="142"/>
        <v>2.5703297151222568E-5</v>
      </c>
      <c r="V1002" s="88">
        <f t="shared" si="138"/>
        <v>5.9899888370564183</v>
      </c>
      <c r="W1002" s="86">
        <f t="shared" si="143"/>
        <v>4.5800111629435829</v>
      </c>
      <c r="X1002" s="90">
        <f t="shared" si="139"/>
        <v>9.974296702848778E-3</v>
      </c>
    </row>
    <row r="1003" spans="13:24" x14ac:dyDescent="0.25">
      <c r="M1003" s="91">
        <v>10</v>
      </c>
      <c r="N1003" s="89">
        <f t="shared" si="135"/>
        <v>4</v>
      </c>
      <c r="O1003" s="89">
        <f t="shared" si="136"/>
        <v>8.600010908847155</v>
      </c>
      <c r="P1003" s="97">
        <f t="shared" si="137"/>
        <v>4.0000109088471554</v>
      </c>
      <c r="Q1003" s="135">
        <f t="shared" si="140"/>
        <v>2.51182333735998E-9</v>
      </c>
      <c r="R1003" s="89">
        <f t="shared" si="140"/>
        <v>9.9997488176662639E-5</v>
      </c>
      <c r="S1003" s="89">
        <f t="shared" si="141"/>
        <v>1E-10</v>
      </c>
      <c r="T1003" s="136">
        <f t="shared" si="141"/>
        <v>1E-4</v>
      </c>
      <c r="U1003" s="137">
        <f t="shared" si="142"/>
        <v>2.5118233373599799E-5</v>
      </c>
      <c r="V1003" s="88">
        <f t="shared" si="138"/>
        <v>5.9999890911528446</v>
      </c>
      <c r="W1003" s="86">
        <f t="shared" si="143"/>
        <v>4.600010908847155</v>
      </c>
      <c r="X1003" s="90">
        <f t="shared" si="139"/>
        <v>9.9748817666264009E-3</v>
      </c>
    </row>
    <row r="1004" spans="13:24" x14ac:dyDescent="0.25">
      <c r="M1004" s="91">
        <v>10.01</v>
      </c>
      <c r="N1004" s="89">
        <f t="shared" si="135"/>
        <v>3.99</v>
      </c>
      <c r="O1004" s="89">
        <f t="shared" si="136"/>
        <v>8.6100106605345257</v>
      </c>
      <c r="P1004" s="97">
        <f t="shared" si="137"/>
        <v>4.0000106605345254</v>
      </c>
      <c r="Q1004" s="135">
        <f t="shared" si="140"/>
        <v>2.4546486612054911E-9</v>
      </c>
      <c r="R1004" s="89">
        <f t="shared" si="140"/>
        <v>9.9997545351338671E-5</v>
      </c>
      <c r="S1004" s="89">
        <f t="shared" si="141"/>
        <v>9.7723722095581033E-11</v>
      </c>
      <c r="T1004" s="136">
        <f t="shared" si="141"/>
        <v>1.0232929922807532E-4</v>
      </c>
      <c r="U1004" s="137">
        <f t="shared" si="142"/>
        <v>2.454648661205494E-5</v>
      </c>
      <c r="V1004" s="88">
        <f t="shared" si="138"/>
        <v>6.0099893394654744</v>
      </c>
      <c r="W1004" s="86">
        <f t="shared" si="143"/>
        <v>4.6200106605345255</v>
      </c>
      <c r="X1004" s="90">
        <f t="shared" si="139"/>
        <v>9.9754535133879454E-3</v>
      </c>
    </row>
    <row r="1005" spans="13:24" x14ac:dyDescent="0.25">
      <c r="M1005" s="91">
        <v>10.02</v>
      </c>
      <c r="N1005" s="89">
        <f t="shared" si="135"/>
        <v>3.9800000000000004</v>
      </c>
      <c r="O1005" s="89">
        <f t="shared" si="136"/>
        <v>8.6200104178740435</v>
      </c>
      <c r="P1005" s="97">
        <f t="shared" si="137"/>
        <v>4.0000104178740443</v>
      </c>
      <c r="Q1005" s="135">
        <f t="shared" si="140"/>
        <v>2.3987753764061045E-9</v>
      </c>
      <c r="R1005" s="89">
        <f t="shared" si="140"/>
        <v>9.9997601224623497E-5</v>
      </c>
      <c r="S1005" s="89">
        <f t="shared" si="141"/>
        <v>9.5499258602143585E-11</v>
      </c>
      <c r="T1005" s="136">
        <f t="shared" si="141"/>
        <v>1.0471285480508985E-4</v>
      </c>
      <c r="U1005" s="137">
        <f t="shared" si="142"/>
        <v>2.3987753764061068E-5</v>
      </c>
      <c r="V1005" s="88">
        <f t="shared" si="138"/>
        <v>6.0199895821259553</v>
      </c>
      <c r="W1005" s="86">
        <f t="shared" si="143"/>
        <v>4.6400104178740431</v>
      </c>
      <c r="X1005" s="90">
        <f t="shared" si="139"/>
        <v>9.976012246235939E-3</v>
      </c>
    </row>
    <row r="1006" spans="13:24" x14ac:dyDescent="0.25">
      <c r="M1006" s="91">
        <v>10.029999999999999</v>
      </c>
      <c r="N1006" s="89">
        <f t="shared" si="135"/>
        <v>3.9700000000000006</v>
      </c>
      <c r="O1006" s="89">
        <f t="shared" si="136"/>
        <v>8.6300101807370577</v>
      </c>
      <c r="P1006" s="97">
        <f t="shared" si="137"/>
        <v>4.0000101807370587</v>
      </c>
      <c r="Q1006" s="135">
        <f t="shared" si="140"/>
        <v>2.3441738625207589E-9</v>
      </c>
      <c r="R1006" s="89">
        <f t="shared" si="140"/>
        <v>9.9997655826137454E-5</v>
      </c>
      <c r="S1006" s="89">
        <f t="shared" si="141"/>
        <v>9.3325430079699086E-11</v>
      </c>
      <c r="T1006" s="136">
        <f t="shared" si="141"/>
        <v>1.0715193052376032E-4</v>
      </c>
      <c r="U1006" s="137">
        <f t="shared" si="142"/>
        <v>2.3441738625207595E-5</v>
      </c>
      <c r="V1006" s="88">
        <f t="shared" si="138"/>
        <v>6.0299898192629406</v>
      </c>
      <c r="W1006" s="86">
        <f t="shared" si="143"/>
        <v>4.6600101807370571</v>
      </c>
      <c r="X1006" s="90">
        <f t="shared" si="139"/>
        <v>9.9765582613747933E-3</v>
      </c>
    </row>
    <row r="1007" spans="13:24" x14ac:dyDescent="0.25">
      <c r="M1007" s="91">
        <v>10.039999999999999</v>
      </c>
      <c r="N1007" s="89">
        <f t="shared" si="135"/>
        <v>3.9600000000000009</v>
      </c>
      <c r="O1007" s="89">
        <f t="shared" si="136"/>
        <v>8.6400099489978448</v>
      </c>
      <c r="P1007" s="97">
        <f t="shared" si="137"/>
        <v>4.0000099489978451</v>
      </c>
      <c r="Q1007" s="135">
        <f t="shared" si="140"/>
        <v>2.2908151732239798E-9</v>
      </c>
      <c r="R1007" s="89">
        <f t="shared" si="140"/>
        <v>9.9997709184826571E-5</v>
      </c>
      <c r="S1007" s="89">
        <f t="shared" si="141"/>
        <v>9.1201083935590972E-11</v>
      </c>
      <c r="T1007" s="136">
        <f t="shared" si="141"/>
        <v>1.0964781961431816E-4</v>
      </c>
      <c r="U1007" s="137">
        <f t="shared" si="142"/>
        <v>2.2908151732239845E-5</v>
      </c>
      <c r="V1007" s="88">
        <f t="shared" si="138"/>
        <v>6.039990051002154</v>
      </c>
      <c r="W1007" s="86">
        <f t="shared" si="143"/>
        <v>4.6800099489978439</v>
      </c>
      <c r="X1007" s="90">
        <f t="shared" si="139"/>
        <v>9.9770918482677603E-3</v>
      </c>
    </row>
    <row r="1008" spans="13:24" x14ac:dyDescent="0.25">
      <c r="M1008" s="91">
        <v>10.050000000000001</v>
      </c>
      <c r="N1008" s="89">
        <f t="shared" si="135"/>
        <v>3.9499999999999993</v>
      </c>
      <c r="O1008" s="89">
        <f t="shared" si="136"/>
        <v>8.6500097225335413</v>
      </c>
      <c r="P1008" s="97">
        <f t="shared" si="137"/>
        <v>4.00000972253354</v>
      </c>
      <c r="Q1008" s="135">
        <f t="shared" si="140"/>
        <v>2.2386710209669614E-9</v>
      </c>
      <c r="R1008" s="89">
        <f t="shared" si="140"/>
        <v>9.9997761328978984E-5</v>
      </c>
      <c r="S1008" s="89">
        <f t="shared" si="141"/>
        <v>8.9125093813374255E-11</v>
      </c>
      <c r="T1008" s="136">
        <f t="shared" si="141"/>
        <v>1.122018454301964E-4</v>
      </c>
      <c r="U1008" s="137">
        <f t="shared" si="142"/>
        <v>2.2386710209669624E-5</v>
      </c>
      <c r="V1008" s="88">
        <f t="shared" si="138"/>
        <v>6.0499902774664607</v>
      </c>
      <c r="W1008" s="86">
        <f t="shared" si="143"/>
        <v>4.700009722533542</v>
      </c>
      <c r="X1008" s="90">
        <f t="shared" si="139"/>
        <v>9.9776132897903304E-3</v>
      </c>
    </row>
    <row r="1009" spans="13:24" x14ac:dyDescent="0.25">
      <c r="M1009" s="91">
        <v>10.06</v>
      </c>
      <c r="N1009" s="89">
        <f t="shared" si="135"/>
        <v>3.9399999999999995</v>
      </c>
      <c r="O1009" s="89">
        <f t="shared" si="136"/>
        <v>8.6600095012240796</v>
      </c>
      <c r="P1009" s="97">
        <f t="shared" si="137"/>
        <v>4.0000095012240786</v>
      </c>
      <c r="Q1009" s="135">
        <f t="shared" si="140"/>
        <v>2.187713761987415E-9</v>
      </c>
      <c r="R1009" s="89">
        <f t="shared" si="140"/>
        <v>9.999781228623785E-5</v>
      </c>
      <c r="S1009" s="89">
        <f t="shared" si="141"/>
        <v>8.7096358995607774E-11</v>
      </c>
      <c r="T1009" s="136">
        <f t="shared" si="141"/>
        <v>1.1481536214968831E-4</v>
      </c>
      <c r="U1009" s="137">
        <f t="shared" si="142"/>
        <v>2.1877137619874187E-5</v>
      </c>
      <c r="V1009" s="88">
        <f t="shared" si="138"/>
        <v>6.0599904987759219</v>
      </c>
      <c r="W1009" s="86">
        <f t="shared" si="143"/>
        <v>4.7200095012240801</v>
      </c>
      <c r="X1009" s="90">
        <f t="shared" si="139"/>
        <v>9.9781228623801264E-3</v>
      </c>
    </row>
    <row r="1010" spans="13:24" x14ac:dyDescent="0.25">
      <c r="M1010" s="91">
        <v>10.07</v>
      </c>
      <c r="N1010" s="89">
        <f t="shared" si="135"/>
        <v>3.9299999999999997</v>
      </c>
      <c r="O1010" s="89">
        <f t="shared" si="136"/>
        <v>8.6700092849521262</v>
      </c>
      <c r="P1010" s="97">
        <f t="shared" si="137"/>
        <v>4.0000092849521263</v>
      </c>
      <c r="Q1010" s="135">
        <f t="shared" si="140"/>
        <v>2.1379163816604815E-9</v>
      </c>
      <c r="R1010" s="89">
        <f t="shared" si="140"/>
        <v>9.9997862083618235E-5</v>
      </c>
      <c r="S1010" s="89">
        <f t="shared" si="141"/>
        <v>8.511380382023737E-11</v>
      </c>
      <c r="T1010" s="136">
        <f t="shared" si="141"/>
        <v>1.1748975549395299E-4</v>
      </c>
      <c r="U1010" s="137">
        <f t="shared" si="142"/>
        <v>2.1379163816604836E-5</v>
      </c>
      <c r="V1010" s="88">
        <f t="shared" si="138"/>
        <v>6.069990715047874</v>
      </c>
      <c r="W1010" s="86">
        <f t="shared" si="143"/>
        <v>4.7400092849521265</v>
      </c>
      <c r="X1010" s="90">
        <f t="shared" si="139"/>
        <v>9.9786208361833956E-3</v>
      </c>
    </row>
    <row r="1011" spans="13:24" x14ac:dyDescent="0.25">
      <c r="M1011" s="91">
        <v>10.08</v>
      </c>
      <c r="N1011" s="89">
        <f t="shared" si="135"/>
        <v>3.92</v>
      </c>
      <c r="O1011" s="89">
        <f t="shared" si="136"/>
        <v>8.6800090736030207</v>
      </c>
      <c r="P1011" s="97">
        <f t="shared" si="137"/>
        <v>4.00000907360302</v>
      </c>
      <c r="Q1011" s="135">
        <f t="shared" si="140"/>
        <v>2.0892524801827981E-9</v>
      </c>
      <c r="R1011" s="89">
        <f t="shared" si="140"/>
        <v>9.9997910747519716E-5</v>
      </c>
      <c r="S1011" s="89">
        <f t="shared" si="141"/>
        <v>8.3176377110266833E-11</v>
      </c>
      <c r="T1011" s="136">
        <f t="shared" si="141"/>
        <v>1.202264434617413E-4</v>
      </c>
      <c r="U1011" s="137">
        <f t="shared" si="142"/>
        <v>2.0892524801828004E-5</v>
      </c>
      <c r="V1011" s="88">
        <f t="shared" si="138"/>
        <v>6.07999092639698</v>
      </c>
      <c r="W1011" s="86">
        <f t="shared" si="143"/>
        <v>4.7600090736030207</v>
      </c>
      <c r="X1011" s="90">
        <f t="shared" si="139"/>
        <v>9.9791074751981717E-3</v>
      </c>
    </row>
    <row r="1012" spans="13:24" x14ac:dyDescent="0.25">
      <c r="M1012" s="91">
        <v>10.09</v>
      </c>
      <c r="N1012" s="89">
        <f t="shared" si="135"/>
        <v>3.91</v>
      </c>
      <c r="O1012" s="89">
        <f t="shared" si="136"/>
        <v>8.6900088670647069</v>
      </c>
      <c r="P1012" s="97">
        <f t="shared" si="137"/>
        <v>4.0000088670647074</v>
      </c>
      <c r="Q1012" s="135">
        <f t="shared" si="140"/>
        <v>2.0416962585823046E-9</v>
      </c>
      <c r="R1012" s="89">
        <f t="shared" si="140"/>
        <v>9.9997958303741467E-5</v>
      </c>
      <c r="S1012" s="89">
        <f t="shared" si="141"/>
        <v>8.1283051616409667E-11</v>
      </c>
      <c r="T1012" s="136">
        <f t="shared" si="141"/>
        <v>1.2302687708123794E-4</v>
      </c>
      <c r="U1012" s="137">
        <f t="shared" si="142"/>
        <v>2.0416962585823037E-5</v>
      </c>
      <c r="V1012" s="88">
        <f t="shared" si="138"/>
        <v>6.0899911329352925</v>
      </c>
      <c r="W1012" s="86">
        <f t="shared" si="143"/>
        <v>4.7800088670647067</v>
      </c>
      <c r="X1012" s="90">
        <f t="shared" si="139"/>
        <v>9.9795830374141779E-3</v>
      </c>
    </row>
    <row r="1013" spans="13:24" x14ac:dyDescent="0.25">
      <c r="M1013" s="91">
        <v>10.1</v>
      </c>
      <c r="N1013" s="89">
        <f t="shared" si="135"/>
        <v>3.9000000000000004</v>
      </c>
      <c r="O1013" s="89">
        <f t="shared" si="136"/>
        <v>8.7000086652276867</v>
      </c>
      <c r="P1013" s="97">
        <f t="shared" si="137"/>
        <v>4.0000086652276865</v>
      </c>
      <c r="Q1013" s="135">
        <f t="shared" si="140"/>
        <v>1.995222505046136E-9</v>
      </c>
      <c r="R1013" s="89">
        <f t="shared" si="140"/>
        <v>9.9998004777494874E-5</v>
      </c>
      <c r="S1013" s="89">
        <f t="shared" si="141"/>
        <v>7.943282347242792E-11</v>
      </c>
      <c r="T1013" s="136">
        <f t="shared" si="141"/>
        <v>1.2589254117941647E-4</v>
      </c>
      <c r="U1013" s="137">
        <f t="shared" si="142"/>
        <v>1.9952225050461375E-5</v>
      </c>
      <c r="V1013" s="88">
        <f t="shared" si="138"/>
        <v>6.0999913347723131</v>
      </c>
      <c r="W1013" s="86">
        <f t="shared" si="143"/>
        <v>4.8000086652276863</v>
      </c>
      <c r="X1013" s="90">
        <f t="shared" si="139"/>
        <v>9.9800477749495391E-3</v>
      </c>
    </row>
    <row r="1014" spans="13:24" x14ac:dyDescent="0.25">
      <c r="M1014" s="91">
        <v>10.11</v>
      </c>
      <c r="N1014" s="89">
        <f t="shared" si="135"/>
        <v>3.8900000000000006</v>
      </c>
      <c r="O1014" s="89">
        <f t="shared" si="136"/>
        <v>8.710008467984947</v>
      </c>
      <c r="P1014" s="97">
        <f t="shared" si="137"/>
        <v>4.0000084679849461</v>
      </c>
      <c r="Q1014" s="135">
        <f t="shared" si="140"/>
        <v>1.949806581559704E-9</v>
      </c>
      <c r="R1014" s="89">
        <f t="shared" si="140"/>
        <v>9.9998050193418487E-5</v>
      </c>
      <c r="S1014" s="89">
        <f t="shared" si="141"/>
        <v>7.7624711662869221E-11</v>
      </c>
      <c r="T1014" s="136">
        <f t="shared" si="141"/>
        <v>1.2882495516931315E-4</v>
      </c>
      <c r="U1014" s="137">
        <f t="shared" si="142"/>
        <v>1.949806581559703E-5</v>
      </c>
      <c r="V1014" s="88">
        <f t="shared" si="138"/>
        <v>6.1099915320150533</v>
      </c>
      <c r="W1014" s="86">
        <f t="shared" si="143"/>
        <v>4.8200084679849464</v>
      </c>
      <c r="X1014" s="90">
        <f t="shared" si="139"/>
        <v>9.9805019341844027E-3</v>
      </c>
    </row>
    <row r="1015" spans="13:24" x14ac:dyDescent="0.25">
      <c r="M1015" s="91">
        <v>10.119999999999999</v>
      </c>
      <c r="N1015" s="89">
        <f t="shared" si="135"/>
        <v>3.8800000000000008</v>
      </c>
      <c r="O1015" s="89">
        <f t="shared" si="136"/>
        <v>8.7200082752319119</v>
      </c>
      <c r="P1015" s="97">
        <f t="shared" si="137"/>
        <v>4.0000082752319122</v>
      </c>
      <c r="Q1015" s="135">
        <f t="shared" si="140"/>
        <v>1.9054244108495846E-9</v>
      </c>
      <c r="R1015" s="89">
        <f t="shared" si="140"/>
        <v>9.9998094575589087E-5</v>
      </c>
      <c r="S1015" s="89">
        <f t="shared" si="141"/>
        <v>7.5857757502918434E-11</v>
      </c>
      <c r="T1015" s="136">
        <f t="shared" si="141"/>
        <v>1.3182567385564044E-4</v>
      </c>
      <c r="U1015" s="137">
        <f t="shared" si="142"/>
        <v>1.9054244108495859E-5</v>
      </c>
      <c r="V1015" s="88">
        <f t="shared" si="138"/>
        <v>6.1199917247680871</v>
      </c>
      <c r="W1015" s="86">
        <f t="shared" si="143"/>
        <v>4.8400082752319111</v>
      </c>
      <c r="X1015" s="90">
        <f t="shared" si="139"/>
        <v>9.9809457558915037E-3</v>
      </c>
    </row>
    <row r="1016" spans="13:24" x14ac:dyDescent="0.25">
      <c r="M1016" s="91">
        <v>10.130000000000001</v>
      </c>
      <c r="N1016" s="89">
        <f t="shared" si="135"/>
        <v>3.8699999999999992</v>
      </c>
      <c r="O1016" s="89">
        <f t="shared" si="136"/>
        <v>8.7300080868663912</v>
      </c>
      <c r="P1016" s="97">
        <f t="shared" si="137"/>
        <v>4.0000080868663908</v>
      </c>
      <c r="Q1016" s="135">
        <f t="shared" si="140"/>
        <v>1.8620524636234607E-9</v>
      </c>
      <c r="R1016" s="89">
        <f t="shared" si="140"/>
        <v>9.9998137947536275E-5</v>
      </c>
      <c r="S1016" s="89">
        <f t="shared" si="141"/>
        <v>7.4131024130091551E-11</v>
      </c>
      <c r="T1016" s="136">
        <f t="shared" si="141"/>
        <v>1.3489628825916555E-4</v>
      </c>
      <c r="U1016" s="137">
        <f t="shared" si="142"/>
        <v>1.8620524636234627E-5</v>
      </c>
      <c r="V1016" s="88">
        <f t="shared" si="138"/>
        <v>6.12999191313361</v>
      </c>
      <c r="W1016" s="86">
        <f t="shared" si="143"/>
        <v>4.860008086866392</v>
      </c>
      <c r="X1016" s="90">
        <f t="shared" si="139"/>
        <v>9.981379475363766E-3</v>
      </c>
    </row>
    <row r="1017" spans="13:24" x14ac:dyDescent="0.25">
      <c r="M1017" s="91">
        <v>10.14</v>
      </c>
      <c r="N1017" s="89">
        <f t="shared" si="135"/>
        <v>3.8599999999999994</v>
      </c>
      <c r="O1017" s="89">
        <f t="shared" si="136"/>
        <v>8.7400079027885127</v>
      </c>
      <c r="P1017" s="97">
        <f t="shared" si="137"/>
        <v>4.0000079027885125</v>
      </c>
      <c r="Q1017" s="135">
        <f t="shared" si="140"/>
        <v>1.8196677461003803E-9</v>
      </c>
      <c r="R1017" s="89">
        <f t="shared" si="140"/>
        <v>9.9998180332253809E-5</v>
      </c>
      <c r="S1017" s="89">
        <f t="shared" si="141"/>
        <v>7.2443596007498811E-11</v>
      </c>
      <c r="T1017" s="136">
        <f t="shared" si="141"/>
        <v>1.3803842646028868E-4</v>
      </c>
      <c r="U1017" s="137">
        <f t="shared" si="142"/>
        <v>1.8196677461003819E-5</v>
      </c>
      <c r="V1017" s="88">
        <f t="shared" si="138"/>
        <v>6.1399920972114881</v>
      </c>
      <c r="W1017" s="86">
        <f t="shared" si="143"/>
        <v>4.8800079027885133</v>
      </c>
      <c r="X1017" s="90">
        <f t="shared" si="139"/>
        <v>9.9818033225389964E-3</v>
      </c>
    </row>
    <row r="1018" spans="13:24" x14ac:dyDescent="0.25">
      <c r="M1018" s="91">
        <v>10.15</v>
      </c>
      <c r="N1018" s="89">
        <f t="shared" si="135"/>
        <v>3.8499999999999996</v>
      </c>
      <c r="O1018" s="89">
        <f t="shared" si="136"/>
        <v>8.7500077229006834</v>
      </c>
      <c r="P1018" s="97">
        <f t="shared" si="137"/>
        <v>4.0000077229006834</v>
      </c>
      <c r="Q1018" s="135">
        <f t="shared" si="140"/>
        <v>1.7782477878246476E-9</v>
      </c>
      <c r="R1018" s="89">
        <f t="shared" si="140"/>
        <v>9.9998221752212147E-5</v>
      </c>
      <c r="S1018" s="89">
        <f t="shared" si="141"/>
        <v>7.079457843841361E-11</v>
      </c>
      <c r="T1018" s="136">
        <f t="shared" si="141"/>
        <v>1.4125375446227535E-4</v>
      </c>
      <c r="U1018" s="137">
        <f t="shared" si="142"/>
        <v>1.7782477878246479E-5</v>
      </c>
      <c r="V1018" s="88">
        <f t="shared" si="138"/>
        <v>6.149992277099317</v>
      </c>
      <c r="W1018" s="86">
        <f t="shared" si="143"/>
        <v>4.9000077229006838</v>
      </c>
      <c r="X1018" s="90">
        <f t="shared" si="139"/>
        <v>9.9822175221217536E-3</v>
      </c>
    </row>
    <row r="1019" spans="13:24" x14ac:dyDescent="0.25">
      <c r="M1019" s="91">
        <v>10.16</v>
      </c>
      <c r="N1019" s="89">
        <f t="shared" si="135"/>
        <v>3.84</v>
      </c>
      <c r="O1019" s="89">
        <f t="shared" si="136"/>
        <v>8.7600075471075289</v>
      </c>
      <c r="P1019" s="97">
        <f t="shared" si="137"/>
        <v>4.0000075471075291</v>
      </c>
      <c r="Q1019" s="135">
        <f t="shared" si="140"/>
        <v>1.73777062975697E-9</v>
      </c>
      <c r="R1019" s="89">
        <f t="shared" si="140"/>
        <v>9.9998262229370136E-5</v>
      </c>
      <c r="S1019" s="89">
        <f t="shared" si="141"/>
        <v>6.9183097091893483E-11</v>
      </c>
      <c r="T1019" s="136">
        <f t="shared" si="141"/>
        <v>1.4454397707459266E-4</v>
      </c>
      <c r="U1019" s="137">
        <f t="shared" si="142"/>
        <v>1.7377706297569719E-5</v>
      </c>
      <c r="V1019" s="88">
        <f t="shared" si="138"/>
        <v>6.159992452892471</v>
      </c>
      <c r="W1019" s="86">
        <f t="shared" si="143"/>
        <v>4.9200075471075291</v>
      </c>
      <c r="X1019" s="90">
        <f t="shared" si="139"/>
        <v>9.9826222937024305E-3</v>
      </c>
    </row>
    <row r="1020" spans="13:24" x14ac:dyDescent="0.25">
      <c r="M1020" s="91">
        <v>10.17</v>
      </c>
      <c r="N1020" s="89">
        <f t="shared" si="135"/>
        <v>3.83</v>
      </c>
      <c r="O1020" s="89">
        <f t="shared" si="136"/>
        <v>8.7700073753158474</v>
      </c>
      <c r="P1020" s="97">
        <f t="shared" si="137"/>
        <v>4.0000073753158469</v>
      </c>
      <c r="Q1020" s="135">
        <f t="shared" si="140"/>
        <v>1.6982148126364786E-9</v>
      </c>
      <c r="R1020" s="89">
        <f t="shared" si="140"/>
        <v>9.9998301785187132E-5</v>
      </c>
      <c r="S1020" s="89">
        <f t="shared" si="141"/>
        <v>6.7608297539198024E-11</v>
      </c>
      <c r="T1020" s="136">
        <f t="shared" si="141"/>
        <v>1.4791083881682062E-4</v>
      </c>
      <c r="U1020" s="137">
        <f t="shared" si="142"/>
        <v>1.6982148126364823E-5</v>
      </c>
      <c r="V1020" s="88">
        <f t="shared" si="138"/>
        <v>6.169992624684153</v>
      </c>
      <c r="W1020" s="86">
        <f t="shared" si="143"/>
        <v>4.9400073753158473</v>
      </c>
      <c r="X1020" s="90">
        <f t="shared" si="139"/>
        <v>9.9830178518736361E-3</v>
      </c>
    </row>
    <row r="1021" spans="13:24" x14ac:dyDescent="0.25">
      <c r="M1021" s="91">
        <v>10.18</v>
      </c>
      <c r="N1021" s="89">
        <f t="shared" si="135"/>
        <v>3.8200000000000003</v>
      </c>
      <c r="O1021" s="89">
        <f t="shared" si="136"/>
        <v>8.7800072074345543</v>
      </c>
      <c r="P1021" s="97">
        <f t="shared" si="137"/>
        <v>4.000007207434555</v>
      </c>
      <c r="Q1021" s="135">
        <f t="shared" si="140"/>
        <v>1.6595593656076076E-9</v>
      </c>
      <c r="R1021" s="89">
        <f t="shared" si="140"/>
        <v>9.9998340440634234E-5</v>
      </c>
      <c r="S1021" s="89">
        <f t="shared" si="141"/>
        <v>6.606934480075945E-11</v>
      </c>
      <c r="T1021" s="136">
        <f t="shared" si="141"/>
        <v>1.5135612484362069E-4</v>
      </c>
      <c r="U1021" s="137">
        <f t="shared" si="142"/>
        <v>1.6595593656076103E-5</v>
      </c>
      <c r="V1021" s="88">
        <f t="shared" si="138"/>
        <v>6.1799927925654448</v>
      </c>
      <c r="W1021" s="86">
        <f t="shared" si="143"/>
        <v>4.960007207434554</v>
      </c>
      <c r="X1021" s="90">
        <f t="shared" si="139"/>
        <v>9.9834044063439233E-3</v>
      </c>
    </row>
    <row r="1022" spans="13:24" x14ac:dyDescent="0.25">
      <c r="M1022" s="91">
        <v>10.19</v>
      </c>
      <c r="N1022" s="89">
        <f t="shared" si="135"/>
        <v>3.8100000000000005</v>
      </c>
      <c r="O1022" s="89">
        <f t="shared" si="136"/>
        <v>8.7900070433746436</v>
      </c>
      <c r="P1022" s="97">
        <f t="shared" si="137"/>
        <v>4.0000070433746444</v>
      </c>
      <c r="Q1022" s="135">
        <f t="shared" si="140"/>
        <v>1.6217837951055842E-9</v>
      </c>
      <c r="R1022" s="89">
        <f t="shared" si="140"/>
        <v>9.9998378216204978E-5</v>
      </c>
      <c r="S1022" s="89">
        <f t="shared" si="141"/>
        <v>6.4565422903465416E-11</v>
      </c>
      <c r="T1022" s="136">
        <f t="shared" si="141"/>
        <v>1.5488166189124773E-4</v>
      </c>
      <c r="U1022" s="137">
        <f t="shared" si="142"/>
        <v>1.6217837951055827E-5</v>
      </c>
      <c r="V1022" s="88">
        <f t="shared" si="138"/>
        <v>6.1899929566253551</v>
      </c>
      <c r="W1022" s="86">
        <f t="shared" si="143"/>
        <v>4.9800070433746431</v>
      </c>
      <c r="X1022" s="90">
        <f t="shared" si="139"/>
        <v>9.9837821620489438E-3</v>
      </c>
    </row>
    <row r="1023" spans="13:24" x14ac:dyDescent="0.25">
      <c r="M1023" s="91">
        <v>10.199999999999999</v>
      </c>
      <c r="N1023" s="89">
        <f t="shared" si="135"/>
        <v>3.8000000000000007</v>
      </c>
      <c r="O1023" s="89">
        <f t="shared" si="136"/>
        <v>8.800006883049134</v>
      </c>
      <c r="P1023" s="97">
        <f t="shared" si="137"/>
        <v>4.0000068830491342</v>
      </c>
      <c r="Q1023" s="135">
        <f t="shared" si="140"/>
        <v>1.5848680739948977E-9</v>
      </c>
      <c r="R1023" s="89">
        <f t="shared" si="140"/>
        <v>9.9998415131925946E-5</v>
      </c>
      <c r="S1023" s="89">
        <f t="shared" si="141"/>
        <v>6.3095734448019192E-11</v>
      </c>
      <c r="T1023" s="136">
        <f t="shared" si="141"/>
        <v>1.584893192461109E-4</v>
      </c>
      <c r="U1023" s="137">
        <f t="shared" si="142"/>
        <v>1.5848680739948987E-5</v>
      </c>
      <c r="V1023" s="88">
        <f t="shared" si="138"/>
        <v>6.1999931169508651</v>
      </c>
      <c r="W1023" s="86">
        <f t="shared" si="143"/>
        <v>5.0000068830491333</v>
      </c>
      <c r="X1023" s="90">
        <f t="shared" si="139"/>
        <v>9.9841513192600508E-3</v>
      </c>
    </row>
    <row r="1024" spans="13:24" x14ac:dyDescent="0.25">
      <c r="M1024" s="91">
        <v>10.210000000000001</v>
      </c>
      <c r="N1024" s="89">
        <f t="shared" si="135"/>
        <v>3.7899999999999991</v>
      </c>
      <c r="O1024" s="89">
        <f t="shared" si="136"/>
        <v>8.8100067263730217</v>
      </c>
      <c r="P1024" s="97">
        <f t="shared" si="137"/>
        <v>4.0000067263730212</v>
      </c>
      <c r="Q1024" s="135">
        <f t="shared" si="140"/>
        <v>1.5487926309548143E-9</v>
      </c>
      <c r="R1024" s="89">
        <f t="shared" si="140"/>
        <v>9.9998451207369021E-5</v>
      </c>
      <c r="S1024" s="89">
        <f t="shared" si="141"/>
        <v>6.1659500186147878E-11</v>
      </c>
      <c r="T1024" s="136">
        <f t="shared" si="141"/>
        <v>1.6218100973589312E-4</v>
      </c>
      <c r="U1024" s="137">
        <f t="shared" si="142"/>
        <v>1.5487926309548146E-5</v>
      </c>
      <c r="V1024" s="88">
        <f t="shared" si="138"/>
        <v>6.2099932736269796</v>
      </c>
      <c r="W1024" s="86">
        <f t="shared" si="143"/>
        <v>5.0200067263730226</v>
      </c>
      <c r="X1024" s="90">
        <f t="shared" si="139"/>
        <v>9.9845120736904523E-3</v>
      </c>
    </row>
    <row r="1025" spans="13:24" x14ac:dyDescent="0.25">
      <c r="M1025" s="91">
        <v>10.220000000000001</v>
      </c>
      <c r="N1025" s="89">
        <f t="shared" si="135"/>
        <v>3.7799999999999994</v>
      </c>
      <c r="O1025" s="89">
        <f t="shared" si="136"/>
        <v>8.8200065732632371</v>
      </c>
      <c r="P1025" s="97">
        <f t="shared" si="137"/>
        <v>4.0000065732632368</v>
      </c>
      <c r="Q1025" s="135">
        <f t="shared" si="140"/>
        <v>1.5135383401064093E-9</v>
      </c>
      <c r="R1025" s="89">
        <f t="shared" si="140"/>
        <v>9.9998486461659895E-5</v>
      </c>
      <c r="S1025" s="89">
        <f t="shared" si="141"/>
        <v>6.0255958607435443E-11</v>
      </c>
      <c r="T1025" s="136">
        <f t="shared" si="141"/>
        <v>1.6595869074375615E-4</v>
      </c>
      <c r="U1025" s="137">
        <f t="shared" si="142"/>
        <v>1.5135383401064093E-5</v>
      </c>
      <c r="V1025" s="88">
        <f t="shared" si="138"/>
        <v>6.2199934267367638</v>
      </c>
      <c r="W1025" s="86">
        <f t="shared" si="143"/>
        <v>5.0400065732632378</v>
      </c>
      <c r="X1025" s="90">
        <f t="shared" si="139"/>
        <v>9.9848646165989364E-3</v>
      </c>
    </row>
    <row r="1026" spans="13:24" x14ac:dyDescent="0.25">
      <c r="M1026" s="91">
        <v>10.23</v>
      </c>
      <c r="N1026" s="89">
        <f t="shared" si="135"/>
        <v>3.7699999999999996</v>
      </c>
      <c r="O1026" s="89">
        <f t="shared" si="136"/>
        <v>8.830006423638606</v>
      </c>
      <c r="P1026" s="97">
        <f t="shared" si="137"/>
        <v>4.000006423638605</v>
      </c>
      <c r="Q1026" s="135">
        <f t="shared" si="140"/>
        <v>1.4790865108755526E-9</v>
      </c>
      <c r="R1026" s="89">
        <f t="shared" si="140"/>
        <v>9.9998520913489007E-5</v>
      </c>
      <c r="S1026" s="89">
        <f t="shared" si="141"/>
        <v>5.8884365535558786E-11</v>
      </c>
      <c r="T1026" s="136">
        <f t="shared" si="141"/>
        <v>1.6982436524617451E-4</v>
      </c>
      <c r="U1026" s="137">
        <f t="shared" si="142"/>
        <v>1.4790865108755543E-5</v>
      </c>
      <c r="V1026" s="88">
        <f t="shared" si="138"/>
        <v>6.2299935763613954</v>
      </c>
      <c r="W1026" s="86">
        <f t="shared" si="143"/>
        <v>5.0600064236386064</v>
      </c>
      <c r="X1026" s="90">
        <f t="shared" si="139"/>
        <v>9.9852091348912441E-3</v>
      </c>
    </row>
    <row r="1027" spans="13:24" x14ac:dyDescent="0.25">
      <c r="M1027" s="91">
        <v>10.24</v>
      </c>
      <c r="N1027" s="89">
        <f t="shared" ref="N1027:N1090" si="144">14-M1027</f>
        <v>3.76</v>
      </c>
      <c r="O1027" s="89">
        <f t="shared" ref="O1027:O1090" si="145">-LOG(10^-$B$3/(1+10^(M1027-$A$3)))</f>
        <v>8.8400062774197963</v>
      </c>
      <c r="P1027" s="97">
        <f t="shared" ref="P1027:P1090" si="146">-LOG(10^-$B$3/(1+10^($A$3-M1027)))</f>
        <v>4.0000062774197955</v>
      </c>
      <c r="Q1027" s="135">
        <f t="shared" si="140"/>
        <v>1.445418878086604E-9</v>
      </c>
      <c r="R1027" s="89">
        <f t="shared" si="140"/>
        <v>9.9998554581121857E-5</v>
      </c>
      <c r="S1027" s="89">
        <f t="shared" si="141"/>
        <v>5.7543993733715601E-11</v>
      </c>
      <c r="T1027" s="136">
        <f t="shared" si="141"/>
        <v>1.737800828749376E-4</v>
      </c>
      <c r="U1027" s="137">
        <f t="shared" si="142"/>
        <v>1.4454188780866049E-5</v>
      </c>
      <c r="V1027" s="88">
        <f t="shared" ref="V1027:V1090" si="147">ABS(P1027-M1027)</f>
        <v>6.2399937225802047</v>
      </c>
      <c r="W1027" s="86">
        <f t="shared" si="143"/>
        <v>5.0800062774197965</v>
      </c>
      <c r="X1027" s="90">
        <f t="shared" ref="X1027:X1090" si="148">ABS($J$2-U1027)</f>
        <v>9.9855458112191337E-3</v>
      </c>
    </row>
    <row r="1028" spans="13:24" x14ac:dyDescent="0.25">
      <c r="M1028" s="91">
        <v>10.25</v>
      </c>
      <c r="N1028" s="89">
        <f t="shared" si="144"/>
        <v>3.75</v>
      </c>
      <c r="O1028" s="89">
        <f t="shared" si="145"/>
        <v>8.8500061345292842</v>
      </c>
      <c r="P1028" s="97">
        <f t="shared" si="146"/>
        <v>4.0000061345292846</v>
      </c>
      <c r="Q1028" s="135">
        <f t="shared" ref="Q1028:R1091" si="149">10^-O1028</f>
        <v>1.412517592281439E-9</v>
      </c>
      <c r="R1028" s="89">
        <f t="shared" si="149"/>
        <v>9.9998587482407706E-5</v>
      </c>
      <c r="S1028" s="89">
        <f t="shared" ref="S1028:T1091" si="150">10^-M1028</f>
        <v>5.6234132519034822E-11</v>
      </c>
      <c r="T1028" s="136">
        <f t="shared" si="150"/>
        <v>1.7782794100389203E-4</v>
      </c>
      <c r="U1028" s="137">
        <f t="shared" ref="U1028:U1091" si="151">Q1028/(Q1028+R1028)</f>
        <v>1.4125175922814391E-5</v>
      </c>
      <c r="V1028" s="88">
        <f t="shared" si="147"/>
        <v>6.2499938654707154</v>
      </c>
      <c r="W1028" s="86">
        <f t="shared" ref="W1028:W1091" si="152">ABS(O1028-N1028)</f>
        <v>5.1000061345292842</v>
      </c>
      <c r="X1028" s="90">
        <f t="shared" si="148"/>
        <v>9.9858748240771854E-3</v>
      </c>
    </row>
    <row r="1029" spans="13:24" x14ac:dyDescent="0.25">
      <c r="M1029" s="91">
        <v>10.26</v>
      </c>
      <c r="N1029" s="89">
        <f t="shared" si="144"/>
        <v>3.74</v>
      </c>
      <c r="O1029" s="89">
        <f t="shared" si="145"/>
        <v>8.8600059948913135</v>
      </c>
      <c r="P1029" s="97">
        <f t="shared" si="146"/>
        <v>4.000005994891314</v>
      </c>
      <c r="Q1029" s="135">
        <f t="shared" si="149"/>
        <v>1.3803652102587256E-9</v>
      </c>
      <c r="R1029" s="89">
        <f t="shared" si="149"/>
        <v>9.9998619634789673E-5</v>
      </c>
      <c r="S1029" s="89">
        <f t="shared" si="150"/>
        <v>5.4954087385762376E-11</v>
      </c>
      <c r="T1029" s="136">
        <f t="shared" si="150"/>
        <v>1.8197008586099805E-4</v>
      </c>
      <c r="U1029" s="137">
        <f t="shared" si="151"/>
        <v>1.3803652102587264E-5</v>
      </c>
      <c r="V1029" s="88">
        <f t="shared" si="147"/>
        <v>6.2599940051086858</v>
      </c>
      <c r="W1029" s="86">
        <f t="shared" si="152"/>
        <v>5.1200059948913133</v>
      </c>
      <c r="X1029" s="90">
        <f t="shared" si="148"/>
        <v>9.9861963478974133E-3</v>
      </c>
    </row>
    <row r="1030" spans="13:24" x14ac:dyDescent="0.25">
      <c r="M1030" s="91">
        <v>10.27</v>
      </c>
      <c r="N1030" s="89">
        <f t="shared" si="144"/>
        <v>3.7300000000000004</v>
      </c>
      <c r="O1030" s="89">
        <f t="shared" si="145"/>
        <v>8.8700058584318473</v>
      </c>
      <c r="P1030" s="97">
        <f t="shared" si="146"/>
        <v>4.0000058584318481</v>
      </c>
      <c r="Q1030" s="135">
        <f t="shared" si="149"/>
        <v>1.3489446858285337E-9</v>
      </c>
      <c r="R1030" s="89">
        <f t="shared" si="149"/>
        <v>9.9998651055314017E-5</v>
      </c>
      <c r="S1030" s="89">
        <f t="shared" si="150"/>
        <v>5.3703179637025198E-11</v>
      </c>
      <c r="T1030" s="136">
        <f t="shared" si="150"/>
        <v>1.8620871366628646E-4</v>
      </c>
      <c r="U1030" s="137">
        <f t="shared" si="151"/>
        <v>1.3489446858285357E-5</v>
      </c>
      <c r="V1030" s="88">
        <f t="shared" si="147"/>
        <v>6.2699941415681515</v>
      </c>
      <c r="W1030" s="86">
        <f t="shared" si="152"/>
        <v>5.1400058584318469</v>
      </c>
      <c r="X1030" s="90">
        <f t="shared" si="148"/>
        <v>9.9865105531417152E-3</v>
      </c>
    </row>
    <row r="1031" spans="13:24" x14ac:dyDescent="0.25">
      <c r="M1031" s="91">
        <v>10.28</v>
      </c>
      <c r="N1031" s="89">
        <f t="shared" si="144"/>
        <v>3.7200000000000006</v>
      </c>
      <c r="O1031" s="89">
        <f t="shared" si="145"/>
        <v>8.8800057250785365</v>
      </c>
      <c r="P1031" s="97">
        <f t="shared" si="146"/>
        <v>4.0000057250785375</v>
      </c>
      <c r="Q1031" s="135">
        <f t="shared" si="149"/>
        <v>1.3182393607772014E-9</v>
      </c>
      <c r="R1031" s="89">
        <f t="shared" si="149"/>
        <v>9.9998681760639019E-5</v>
      </c>
      <c r="S1031" s="89">
        <f t="shared" si="150"/>
        <v>5.2480746024977191E-11</v>
      </c>
      <c r="T1031" s="136">
        <f t="shared" si="150"/>
        <v>1.9054607179632438E-4</v>
      </c>
      <c r="U1031" s="137">
        <f t="shared" si="151"/>
        <v>1.318239360777204E-5</v>
      </c>
      <c r="V1031" s="88">
        <f t="shared" si="147"/>
        <v>6.2799942749214619</v>
      </c>
      <c r="W1031" s="86">
        <f t="shared" si="152"/>
        <v>5.1600057250785358</v>
      </c>
      <c r="X1031" s="90">
        <f t="shared" si="148"/>
        <v>9.9868176063922284E-3</v>
      </c>
    </row>
    <row r="1032" spans="13:24" x14ac:dyDescent="0.25">
      <c r="M1032" s="91">
        <v>10.29</v>
      </c>
      <c r="N1032" s="89">
        <f t="shared" si="144"/>
        <v>3.7100000000000009</v>
      </c>
      <c r="O1032" s="89">
        <f t="shared" si="145"/>
        <v>8.8900055947606784</v>
      </c>
      <c r="P1032" s="97">
        <f t="shared" si="146"/>
        <v>4.0000055947606787</v>
      </c>
      <c r="Q1032" s="135">
        <f t="shared" si="149"/>
        <v>1.2882329560378536E-9</v>
      </c>
      <c r="R1032" s="89">
        <f t="shared" si="149"/>
        <v>9.9998711767043945E-5</v>
      </c>
      <c r="S1032" s="89">
        <f t="shared" si="150"/>
        <v>5.1286138399136428E-11</v>
      </c>
      <c r="T1032" s="136">
        <f t="shared" si="150"/>
        <v>1.9498445997580383E-4</v>
      </c>
      <c r="U1032" s="137">
        <f t="shared" si="151"/>
        <v>1.2882329560378539E-5</v>
      </c>
      <c r="V1032" s="88">
        <f t="shared" si="147"/>
        <v>6.2899944052393204</v>
      </c>
      <c r="W1032" s="86">
        <f t="shared" si="152"/>
        <v>5.1800055947606776</v>
      </c>
      <c r="X1032" s="90">
        <f t="shared" si="148"/>
        <v>9.9871176704396224E-3</v>
      </c>
    </row>
    <row r="1033" spans="13:24" x14ac:dyDescent="0.25">
      <c r="M1033" s="91">
        <v>10.3</v>
      </c>
      <c r="N1033" s="89">
        <f t="shared" si="144"/>
        <v>3.6999999999999993</v>
      </c>
      <c r="O1033" s="89">
        <f t="shared" si="145"/>
        <v>8.90000546740918</v>
      </c>
      <c r="P1033" s="97">
        <f t="shared" si="146"/>
        <v>4.0000054674091796</v>
      </c>
      <c r="Q1033" s="135">
        <f t="shared" si="149"/>
        <v>1.2589095630617636E-9</v>
      </c>
      <c r="R1033" s="89">
        <f t="shared" si="149"/>
        <v>9.9998741090436834E-5</v>
      </c>
      <c r="S1033" s="89">
        <f t="shared" si="150"/>
        <v>5.0118723362726993E-11</v>
      </c>
      <c r="T1033" s="136">
        <f t="shared" si="150"/>
        <v>1.9952623149688828E-4</v>
      </c>
      <c r="U1033" s="137">
        <f t="shared" si="151"/>
        <v>1.258909563061765E-5</v>
      </c>
      <c r="V1033" s="88">
        <f t="shared" si="147"/>
        <v>6.2999945325908211</v>
      </c>
      <c r="W1033" s="86">
        <f t="shared" si="152"/>
        <v>5.2000054674091807</v>
      </c>
      <c r="X1033" s="90">
        <f t="shared" si="148"/>
        <v>9.9874109043693819E-3</v>
      </c>
    </row>
    <row r="1034" spans="13:24" x14ac:dyDescent="0.25">
      <c r="M1034" s="91">
        <v>10.31</v>
      </c>
      <c r="N1034" s="89">
        <f t="shared" si="144"/>
        <v>3.6899999999999995</v>
      </c>
      <c r="O1034" s="89">
        <f t="shared" si="145"/>
        <v>8.9100053429565182</v>
      </c>
      <c r="P1034" s="97">
        <f t="shared" si="146"/>
        <v>4.0000053429565181</v>
      </c>
      <c r="Q1034" s="135">
        <f t="shared" si="149"/>
        <v>1.2302536353860983E-9</v>
      </c>
      <c r="R1034" s="89">
        <f t="shared" si="149"/>
        <v>9.9998769746364468E-5</v>
      </c>
      <c r="S1034" s="89">
        <f t="shared" si="150"/>
        <v>4.8977881936844399E-11</v>
      </c>
      <c r="T1034" s="136">
        <f t="shared" si="150"/>
        <v>2.0417379446695288E-4</v>
      </c>
      <c r="U1034" s="137">
        <f t="shared" si="151"/>
        <v>1.2302536353861E-5</v>
      </c>
      <c r="V1034" s="88">
        <f t="shared" si="147"/>
        <v>6.3099946570434824</v>
      </c>
      <c r="W1034" s="86">
        <f t="shared" si="152"/>
        <v>5.2200053429565187</v>
      </c>
      <c r="X1034" s="90">
        <f t="shared" si="148"/>
        <v>9.9876974636461391E-3</v>
      </c>
    </row>
    <row r="1035" spans="13:24" x14ac:dyDescent="0.25">
      <c r="M1035" s="91">
        <v>10.32</v>
      </c>
      <c r="N1035" s="89">
        <f t="shared" si="144"/>
        <v>3.6799999999999997</v>
      </c>
      <c r="O1035" s="89">
        <f t="shared" si="145"/>
        <v>8.9200052213367105</v>
      </c>
      <c r="P1035" s="97">
        <f t="shared" si="146"/>
        <v>4.0000052213367105</v>
      </c>
      <c r="Q1035" s="135">
        <f t="shared" si="149"/>
        <v>1.2022499803934823E-9</v>
      </c>
      <c r="R1035" s="89">
        <f t="shared" si="149"/>
        <v>9.9998797750019432E-5</v>
      </c>
      <c r="S1035" s="89">
        <f t="shared" si="150"/>
        <v>4.786300923226362E-11</v>
      </c>
      <c r="T1035" s="136">
        <f t="shared" si="150"/>
        <v>2.0892961308540387E-4</v>
      </c>
      <c r="U1035" s="137">
        <f t="shared" si="151"/>
        <v>1.2022499803934845E-5</v>
      </c>
      <c r="V1035" s="88">
        <f t="shared" si="147"/>
        <v>6.3199947786632897</v>
      </c>
      <c r="W1035" s="86">
        <f t="shared" si="152"/>
        <v>5.2400052213367108</v>
      </c>
      <c r="X1035" s="90">
        <f t="shared" si="148"/>
        <v>9.9879775001960654E-3</v>
      </c>
    </row>
    <row r="1036" spans="13:24" x14ac:dyDescent="0.25">
      <c r="M1036" s="91">
        <v>10.33</v>
      </c>
      <c r="N1036" s="89">
        <f t="shared" si="144"/>
        <v>3.67</v>
      </c>
      <c r="O1036" s="89">
        <f t="shared" si="145"/>
        <v>8.9300051024852749</v>
      </c>
      <c r="P1036" s="97">
        <f t="shared" si="146"/>
        <v>4.0000051024852743</v>
      </c>
      <c r="Q1036" s="135">
        <f t="shared" si="149"/>
        <v>1.174883751259059E-9</v>
      </c>
      <c r="R1036" s="89">
        <f t="shared" si="149"/>
        <v>9.9998825116248683E-5</v>
      </c>
      <c r="S1036" s="89">
        <f t="shared" si="150"/>
        <v>4.6773514128719782E-11</v>
      </c>
      <c r="T1036" s="136">
        <f t="shared" si="150"/>
        <v>2.137962089502231E-4</v>
      </c>
      <c r="U1036" s="137">
        <f t="shared" si="151"/>
        <v>1.1748837512590597E-5</v>
      </c>
      <c r="V1036" s="88">
        <f t="shared" si="147"/>
        <v>6.3299948975147258</v>
      </c>
      <c r="W1036" s="86">
        <f t="shared" si="152"/>
        <v>5.260005102485275</v>
      </c>
      <c r="X1036" s="90">
        <f t="shared" si="148"/>
        <v>9.988251162487409E-3</v>
      </c>
    </row>
    <row r="1037" spans="13:24" x14ac:dyDescent="0.25">
      <c r="M1037" s="91">
        <v>10.34</v>
      </c>
      <c r="N1037" s="89">
        <f t="shared" si="144"/>
        <v>3.66</v>
      </c>
      <c r="O1037" s="89">
        <f t="shared" si="145"/>
        <v>8.940004986339197</v>
      </c>
      <c r="P1037" s="97">
        <f t="shared" si="146"/>
        <v>4.0000049863391967</v>
      </c>
      <c r="Q1037" s="135">
        <f t="shared" si="149"/>
        <v>1.1481404390808477E-9</v>
      </c>
      <c r="R1037" s="89">
        <f t="shared" si="149"/>
        <v>9.9998851859560851E-5</v>
      </c>
      <c r="S1037" s="89">
        <f t="shared" si="150"/>
        <v>4.5708818961487472E-11</v>
      </c>
      <c r="T1037" s="136">
        <f t="shared" si="150"/>
        <v>2.1877616239495513E-4</v>
      </c>
      <c r="U1037" s="137">
        <f t="shared" si="151"/>
        <v>1.1481404390808484E-5</v>
      </c>
      <c r="V1037" s="88">
        <f t="shared" si="147"/>
        <v>6.3399950136608032</v>
      </c>
      <c r="W1037" s="86">
        <f t="shared" si="152"/>
        <v>5.2800049863391969</v>
      </c>
      <c r="X1037" s="90">
        <f t="shared" si="148"/>
        <v>9.9885185956091922E-3</v>
      </c>
    </row>
    <row r="1038" spans="13:24" x14ac:dyDescent="0.25">
      <c r="M1038" s="91">
        <v>10.35</v>
      </c>
      <c r="N1038" s="89">
        <f t="shared" si="144"/>
        <v>3.6500000000000004</v>
      </c>
      <c r="O1038" s="89">
        <f t="shared" si="145"/>
        <v>8.9500048728368959</v>
      </c>
      <c r="P1038" s="97">
        <f t="shared" si="146"/>
        <v>4.0000048728368958</v>
      </c>
      <c r="Q1038" s="135">
        <f t="shared" si="149"/>
        <v>1.122005865189095E-9</v>
      </c>
      <c r="R1038" s="89">
        <f t="shared" si="149"/>
        <v>9.9998877994134821E-5</v>
      </c>
      <c r="S1038" s="89">
        <f t="shared" si="150"/>
        <v>4.4668359215096281E-11</v>
      </c>
      <c r="T1038" s="136">
        <f t="shared" si="150"/>
        <v>2.238721138568334E-4</v>
      </c>
      <c r="U1038" s="137">
        <f t="shared" si="151"/>
        <v>1.1220058651890949E-5</v>
      </c>
      <c r="V1038" s="88">
        <f t="shared" si="147"/>
        <v>6.3499951271631039</v>
      </c>
      <c r="W1038" s="86">
        <f t="shared" si="152"/>
        <v>5.3000048728368956</v>
      </c>
      <c r="X1038" s="90">
        <f t="shared" si="148"/>
        <v>9.9887799413481086E-3</v>
      </c>
    </row>
    <row r="1039" spans="13:24" x14ac:dyDescent="0.25">
      <c r="M1039" s="91">
        <v>10.36</v>
      </c>
      <c r="N1039" s="89">
        <f t="shared" si="144"/>
        <v>3.6400000000000006</v>
      </c>
      <c r="O1039" s="89">
        <f t="shared" si="145"/>
        <v>8.9600047619181939</v>
      </c>
      <c r="P1039" s="97">
        <f t="shared" si="146"/>
        <v>4.0000047619181949</v>
      </c>
      <c r="Q1039" s="135">
        <f t="shared" si="149"/>
        <v>1.0964661736306634E-9</v>
      </c>
      <c r="R1039" s="89">
        <f t="shared" si="149"/>
        <v>9.9998903533826276E-5</v>
      </c>
      <c r="S1039" s="89">
        <f t="shared" si="150"/>
        <v>4.3651583224016577E-11</v>
      </c>
      <c r="T1039" s="136">
        <f t="shared" si="150"/>
        <v>2.2908676527677674E-4</v>
      </c>
      <c r="U1039" s="137">
        <f t="shared" si="151"/>
        <v>1.0964661736306644E-5</v>
      </c>
      <c r="V1039" s="88">
        <f t="shared" si="147"/>
        <v>6.3599952380818046</v>
      </c>
      <c r="W1039" s="86">
        <f t="shared" si="152"/>
        <v>5.3200047619181934</v>
      </c>
      <c r="X1039" s="90">
        <f t="shared" si="148"/>
        <v>9.9890353382636934E-3</v>
      </c>
    </row>
    <row r="1040" spans="13:24" x14ac:dyDescent="0.25">
      <c r="M1040" s="91">
        <v>10.37</v>
      </c>
      <c r="N1040" s="89">
        <f t="shared" si="144"/>
        <v>3.6300000000000008</v>
      </c>
      <c r="O1040" s="89">
        <f t="shared" si="145"/>
        <v>8.970004653524283</v>
      </c>
      <c r="P1040" s="97">
        <f t="shared" si="146"/>
        <v>4.0000046535242832</v>
      </c>
      <c r="Q1040" s="135">
        <f t="shared" si="149"/>
        <v>1.071507823824418E-9</v>
      </c>
      <c r="R1040" s="89">
        <f t="shared" si="149"/>
        <v>9.9998928492176157E-5</v>
      </c>
      <c r="S1040" s="89">
        <f t="shared" si="150"/>
        <v>4.2657951880159247E-11</v>
      </c>
      <c r="T1040" s="136">
        <f t="shared" si="150"/>
        <v>2.3442288153199158E-4</v>
      </c>
      <c r="U1040" s="137">
        <f t="shared" si="151"/>
        <v>1.0715078238244183E-5</v>
      </c>
      <c r="V1040" s="88">
        <f t="shared" si="147"/>
        <v>6.369995346475716</v>
      </c>
      <c r="W1040" s="86">
        <f t="shared" si="152"/>
        <v>5.3400046535242822</v>
      </c>
      <c r="X1040" s="90">
        <f t="shared" si="148"/>
        <v>9.9892849217617565E-3</v>
      </c>
    </row>
    <row r="1041" spans="13:24" x14ac:dyDescent="0.25">
      <c r="M1041" s="91">
        <v>10.38</v>
      </c>
      <c r="N1041" s="89">
        <f t="shared" si="144"/>
        <v>3.6199999999999992</v>
      </c>
      <c r="O1041" s="89">
        <f t="shared" si="145"/>
        <v>8.9800045475976944</v>
      </c>
      <c r="P1041" s="97">
        <f t="shared" si="146"/>
        <v>4.0000045475976931</v>
      </c>
      <c r="Q1041" s="135">
        <f t="shared" si="149"/>
        <v>1.0471175833837465E-9</v>
      </c>
      <c r="R1041" s="89">
        <f t="shared" si="149"/>
        <v>9.9998952882416473E-5</v>
      </c>
      <c r="S1041" s="89">
        <f t="shared" si="150"/>
        <v>4.168693834703338E-11</v>
      </c>
      <c r="T1041" s="136">
        <f t="shared" si="150"/>
        <v>2.3988329190194926E-4</v>
      </c>
      <c r="U1041" s="137">
        <f t="shared" si="151"/>
        <v>1.0471175833837479E-5</v>
      </c>
      <c r="V1041" s="88">
        <f t="shared" si="147"/>
        <v>6.3799954524023077</v>
      </c>
      <c r="W1041" s="86">
        <f t="shared" si="152"/>
        <v>5.3600045475976952</v>
      </c>
      <c r="X1041" s="90">
        <f t="shared" si="148"/>
        <v>9.9895288241661634E-3</v>
      </c>
    </row>
    <row r="1042" spans="13:24" x14ac:dyDescent="0.25">
      <c r="M1042" s="91">
        <v>10.39</v>
      </c>
      <c r="N1042" s="89">
        <f t="shared" si="144"/>
        <v>3.6099999999999994</v>
      </c>
      <c r="O1042" s="89">
        <f t="shared" si="145"/>
        <v>8.9900044440822615</v>
      </c>
      <c r="P1042" s="97">
        <f t="shared" si="146"/>
        <v>4.0000044440822613</v>
      </c>
      <c r="Q1042" s="135">
        <f t="shared" si="149"/>
        <v>1.0232825211024207E-9</v>
      </c>
      <c r="R1042" s="89">
        <f t="shared" si="149"/>
        <v>9.9998976717478733E-5</v>
      </c>
      <c r="S1042" s="89">
        <f t="shared" si="150"/>
        <v>4.0738027780411121E-11</v>
      </c>
      <c r="T1042" s="136">
        <f t="shared" si="150"/>
        <v>2.4547089156850324E-4</v>
      </c>
      <c r="U1042" s="137">
        <f t="shared" si="151"/>
        <v>1.0232825211024223E-5</v>
      </c>
      <c r="V1042" s="88">
        <f t="shared" si="147"/>
        <v>6.3899955559177393</v>
      </c>
      <c r="W1042" s="86">
        <f t="shared" si="152"/>
        <v>5.3800044440822621</v>
      </c>
      <c r="X1042" s="90">
        <f t="shared" si="148"/>
        <v>9.9897671747889768E-3</v>
      </c>
    </row>
    <row r="1043" spans="13:24" x14ac:dyDescent="0.25">
      <c r="M1043" s="91">
        <v>10.4</v>
      </c>
      <c r="N1043" s="89">
        <f t="shared" si="144"/>
        <v>3.5999999999999996</v>
      </c>
      <c r="O1043" s="89">
        <f t="shared" si="145"/>
        <v>9.0000043429231038</v>
      </c>
      <c r="P1043" s="97">
        <f t="shared" si="146"/>
        <v>4.0000043429231047</v>
      </c>
      <c r="Q1043" s="135">
        <f t="shared" si="149"/>
        <v>9.9999000009999784E-10</v>
      </c>
      <c r="R1043" s="89">
        <f t="shared" si="149"/>
        <v>9.9999000009999789E-5</v>
      </c>
      <c r="S1043" s="89">
        <f t="shared" si="150"/>
        <v>3.9810717055349579E-11</v>
      </c>
      <c r="T1043" s="136">
        <f t="shared" si="150"/>
        <v>2.5118864315095817E-4</v>
      </c>
      <c r="U1043" s="137">
        <f t="shared" si="151"/>
        <v>9.9999000009999908E-6</v>
      </c>
      <c r="V1043" s="88">
        <f t="shared" si="147"/>
        <v>6.3999956570768957</v>
      </c>
      <c r="W1043" s="86">
        <f t="shared" si="152"/>
        <v>5.4000043429231042</v>
      </c>
      <c r="X1043" s="90">
        <f t="shared" si="148"/>
        <v>9.990000099999001E-3</v>
      </c>
    </row>
    <row r="1044" spans="13:24" x14ac:dyDescent="0.25">
      <c r="M1044" s="91">
        <v>10.41</v>
      </c>
      <c r="N1044" s="89">
        <f t="shared" si="144"/>
        <v>3.59</v>
      </c>
      <c r="O1044" s="89">
        <f t="shared" si="145"/>
        <v>9.0100042440665877</v>
      </c>
      <c r="P1044" s="97">
        <f t="shared" si="146"/>
        <v>4.0000042440665879</v>
      </c>
      <c r="Q1044" s="135">
        <f t="shared" si="149"/>
        <v>9.7722767112327519E-10</v>
      </c>
      <c r="R1044" s="89">
        <f t="shared" si="149"/>
        <v>9.9999022772328906E-5</v>
      </c>
      <c r="S1044" s="89">
        <f t="shared" si="150"/>
        <v>3.8904514499427922E-11</v>
      </c>
      <c r="T1044" s="136">
        <f t="shared" si="150"/>
        <v>2.5703957827688604E-4</v>
      </c>
      <c r="U1044" s="137">
        <f t="shared" si="151"/>
        <v>9.7722767112327481E-6</v>
      </c>
      <c r="V1044" s="88">
        <f t="shared" si="147"/>
        <v>6.4099957559334122</v>
      </c>
      <c r="W1044" s="86">
        <f t="shared" si="152"/>
        <v>5.4200042440665879</v>
      </c>
      <c r="X1044" s="90">
        <f t="shared" si="148"/>
        <v>9.9902277232887682E-3</v>
      </c>
    </row>
    <row r="1045" spans="13:24" x14ac:dyDescent="0.25">
      <c r="M1045" s="91">
        <v>10.42</v>
      </c>
      <c r="N1045" s="89">
        <f t="shared" si="144"/>
        <v>3.58</v>
      </c>
      <c r="O1045" s="89">
        <f t="shared" si="145"/>
        <v>9.0200041474603001</v>
      </c>
      <c r="P1045" s="97">
        <f t="shared" si="146"/>
        <v>4.0000041474602996</v>
      </c>
      <c r="Q1045" s="135">
        <f t="shared" si="149"/>
        <v>9.5498346600013454E-10</v>
      </c>
      <c r="R1045" s="89">
        <f t="shared" si="149"/>
        <v>9.9999045016534014E-5</v>
      </c>
      <c r="S1045" s="89">
        <f t="shared" si="150"/>
        <v>3.8018939632055986E-11</v>
      </c>
      <c r="T1045" s="136">
        <f t="shared" si="150"/>
        <v>2.6302679918953782E-4</v>
      </c>
      <c r="U1045" s="137">
        <f t="shared" si="151"/>
        <v>9.5498346600013429E-6</v>
      </c>
      <c r="V1045" s="88">
        <f t="shared" si="147"/>
        <v>6.4199958525397003</v>
      </c>
      <c r="W1045" s="86">
        <f t="shared" si="152"/>
        <v>5.4400041474603</v>
      </c>
      <c r="X1045" s="90">
        <f t="shared" si="148"/>
        <v>9.9904501653399983E-3</v>
      </c>
    </row>
    <row r="1046" spans="13:24" x14ac:dyDescent="0.25">
      <c r="M1046" s="91">
        <v>10.43</v>
      </c>
      <c r="N1046" s="89">
        <f t="shared" si="144"/>
        <v>3.5700000000000003</v>
      </c>
      <c r="O1046" s="89">
        <f t="shared" si="145"/>
        <v>9.0300040530530179</v>
      </c>
      <c r="P1046" s="97">
        <f t="shared" si="146"/>
        <v>4.0000040530530176</v>
      </c>
      <c r="Q1046" s="135">
        <f t="shared" si="149"/>
        <v>9.3324559124237199E-10</v>
      </c>
      <c r="R1046" s="89">
        <f t="shared" si="149"/>
        <v>9.9999066754408739E-5</v>
      </c>
      <c r="S1046" s="89">
        <f t="shared" si="150"/>
        <v>3.7153522909717256E-11</v>
      </c>
      <c r="T1046" s="136">
        <f t="shared" si="150"/>
        <v>2.6915348039269118E-4</v>
      </c>
      <c r="U1046" s="137">
        <f t="shared" si="151"/>
        <v>9.3324559124237225E-6</v>
      </c>
      <c r="V1046" s="88">
        <f t="shared" si="147"/>
        <v>6.4299959469469821</v>
      </c>
      <c r="W1046" s="86">
        <f t="shared" si="152"/>
        <v>5.4600040530530176</v>
      </c>
      <c r="X1046" s="90">
        <f t="shared" si="148"/>
        <v>9.990667544087577E-3</v>
      </c>
    </row>
    <row r="1047" spans="13:24" x14ac:dyDescent="0.25">
      <c r="M1047" s="91">
        <v>10.44</v>
      </c>
      <c r="N1047" s="89">
        <f t="shared" si="144"/>
        <v>3.5600000000000005</v>
      </c>
      <c r="O1047" s="89">
        <f t="shared" si="145"/>
        <v>9.0400039607946887</v>
      </c>
      <c r="P1047" s="97">
        <f t="shared" si="146"/>
        <v>4.0000039607946887</v>
      </c>
      <c r="Q1047" s="135">
        <f t="shared" si="149"/>
        <v>9.1200252179405271E-10</v>
      </c>
      <c r="R1047" s="89">
        <f t="shared" si="149"/>
        <v>9.9999087997478014E-5</v>
      </c>
      <c r="S1047" s="89">
        <f t="shared" si="150"/>
        <v>3.6307805477010142E-11</v>
      </c>
      <c r="T1047" s="136">
        <f t="shared" si="150"/>
        <v>2.7542287033381624E-4</v>
      </c>
      <c r="U1047" s="137">
        <f t="shared" si="151"/>
        <v>9.1200252179405448E-6</v>
      </c>
      <c r="V1047" s="88">
        <f t="shared" si="147"/>
        <v>6.4399960392053108</v>
      </c>
      <c r="W1047" s="86">
        <f t="shared" si="152"/>
        <v>5.4800039607946882</v>
      </c>
      <c r="X1047" s="90">
        <f t="shared" si="148"/>
        <v>9.99087997478206E-3</v>
      </c>
    </row>
    <row r="1048" spans="13:24" x14ac:dyDescent="0.25">
      <c r="M1048" s="91">
        <v>10.45</v>
      </c>
      <c r="N1048" s="89">
        <f t="shared" si="144"/>
        <v>3.5500000000000007</v>
      </c>
      <c r="O1048" s="89">
        <f t="shared" si="145"/>
        <v>9.0500038706363952</v>
      </c>
      <c r="P1048" s="97">
        <f t="shared" si="146"/>
        <v>4.0000038706363954</v>
      </c>
      <c r="Q1048" s="135">
        <f t="shared" si="149"/>
        <v>8.9124299492219159E-10</v>
      </c>
      <c r="R1048" s="89">
        <f t="shared" si="149"/>
        <v>9.9999108757005154E-5</v>
      </c>
      <c r="S1048" s="89">
        <f t="shared" si="150"/>
        <v>3.5481338923357562E-11</v>
      </c>
      <c r="T1048" s="136">
        <f t="shared" si="150"/>
        <v>2.818382931264449E-4</v>
      </c>
      <c r="U1048" s="137">
        <f t="shared" si="151"/>
        <v>8.9124299492219096E-6</v>
      </c>
      <c r="V1048" s="88">
        <f t="shared" si="147"/>
        <v>6.4499961293636039</v>
      </c>
      <c r="W1048" s="86">
        <f t="shared" si="152"/>
        <v>5.5000038706363945</v>
      </c>
      <c r="X1048" s="90">
        <f t="shared" si="148"/>
        <v>9.9910875700507783E-3</v>
      </c>
    </row>
    <row r="1049" spans="13:24" x14ac:dyDescent="0.25">
      <c r="M1049" s="91">
        <v>10.46</v>
      </c>
      <c r="N1049" s="89">
        <f t="shared" si="144"/>
        <v>3.5399999999999991</v>
      </c>
      <c r="O1049" s="89">
        <f t="shared" si="145"/>
        <v>9.0600037825303392</v>
      </c>
      <c r="P1049" s="97">
        <f t="shared" si="146"/>
        <v>4.0000037825303387</v>
      </c>
      <c r="Q1049" s="135">
        <f t="shared" si="149"/>
        <v>8.7095600424639715E-10</v>
      </c>
      <c r="R1049" s="89">
        <f t="shared" si="149"/>
        <v>9.9999129043995503E-5</v>
      </c>
      <c r="S1049" s="89">
        <f t="shared" si="150"/>
        <v>3.4673685045253057E-11</v>
      </c>
      <c r="T1049" s="136">
        <f t="shared" si="150"/>
        <v>2.8840315031266115E-4</v>
      </c>
      <c r="U1049" s="137">
        <f t="shared" si="151"/>
        <v>8.7095600424639938E-6</v>
      </c>
      <c r="V1049" s="88">
        <f t="shared" si="147"/>
        <v>6.4599962174696621</v>
      </c>
      <c r="W1049" s="86">
        <f t="shared" si="152"/>
        <v>5.5200037825303401</v>
      </c>
      <c r="X1049" s="90">
        <f t="shared" si="148"/>
        <v>9.9912904399575356E-3</v>
      </c>
    </row>
    <row r="1050" spans="13:24" x14ac:dyDescent="0.25">
      <c r="M1050" s="91">
        <v>10.47</v>
      </c>
      <c r="N1050" s="89">
        <f t="shared" si="144"/>
        <v>3.5299999999999994</v>
      </c>
      <c r="O1050" s="89">
        <f t="shared" si="145"/>
        <v>9.0700036964298025</v>
      </c>
      <c r="P1050" s="97">
        <f t="shared" si="146"/>
        <v>4.0000036964298022</v>
      </c>
      <c r="Q1050" s="135">
        <f t="shared" si="149"/>
        <v>8.5113079390443388E-10</v>
      </c>
      <c r="R1050" s="89">
        <f t="shared" si="149"/>
        <v>9.9999148869206122E-5</v>
      </c>
      <c r="S1050" s="89">
        <f t="shared" si="150"/>
        <v>3.3884415613920157E-11</v>
      </c>
      <c r="T1050" s="136">
        <f t="shared" si="150"/>
        <v>2.9512092266663857E-4</v>
      </c>
      <c r="U1050" s="137">
        <f t="shared" si="151"/>
        <v>8.5113079390443357E-6</v>
      </c>
      <c r="V1050" s="88">
        <f t="shared" si="147"/>
        <v>6.4699963035701984</v>
      </c>
      <c r="W1050" s="86">
        <f t="shared" si="152"/>
        <v>5.5400036964298032</v>
      </c>
      <c r="X1050" s="90">
        <f t="shared" si="148"/>
        <v>9.9914886920609552E-3</v>
      </c>
    </row>
    <row r="1051" spans="13:24" x14ac:dyDescent="0.25">
      <c r="M1051" s="91">
        <v>10.48</v>
      </c>
      <c r="N1051" s="89">
        <f t="shared" si="144"/>
        <v>3.5199999999999996</v>
      </c>
      <c r="O1051" s="89">
        <f t="shared" si="145"/>
        <v>9.0800036122891381</v>
      </c>
      <c r="P1051" s="97">
        <f t="shared" si="146"/>
        <v>4.0000036122891371</v>
      </c>
      <c r="Q1051" s="135">
        <f t="shared" si="149"/>
        <v>8.3175685285050178E-10</v>
      </c>
      <c r="R1051" s="89">
        <f t="shared" si="149"/>
        <v>9.99991682431472E-5</v>
      </c>
      <c r="S1051" s="89">
        <f t="shared" si="150"/>
        <v>3.3113112148259015E-11</v>
      </c>
      <c r="T1051" s="136">
        <f t="shared" si="150"/>
        <v>3.0199517204020158E-4</v>
      </c>
      <c r="U1051" s="137">
        <f t="shared" si="151"/>
        <v>8.3175685285050137E-6</v>
      </c>
      <c r="V1051" s="88">
        <f t="shared" si="147"/>
        <v>6.4799963877108633</v>
      </c>
      <c r="W1051" s="86">
        <f t="shared" si="152"/>
        <v>5.5600036122891385</v>
      </c>
      <c r="X1051" s="90">
        <f t="shared" si="148"/>
        <v>9.9916824314714957E-3</v>
      </c>
    </row>
    <row r="1052" spans="13:24" x14ac:dyDescent="0.25">
      <c r="M1052" s="91">
        <v>10.49</v>
      </c>
      <c r="N1052" s="89">
        <f t="shared" si="144"/>
        <v>3.51</v>
      </c>
      <c r="O1052" s="89">
        <f t="shared" si="145"/>
        <v>9.0900035300637327</v>
      </c>
      <c r="P1052" s="97">
        <f t="shared" si="146"/>
        <v>4.000003530063732</v>
      </c>
      <c r="Q1052" s="135">
        <f t="shared" si="149"/>
        <v>8.1282390928331938E-10</v>
      </c>
      <c r="R1052" s="89">
        <f t="shared" si="149"/>
        <v>9.9999187176090697E-5</v>
      </c>
      <c r="S1052" s="89">
        <f t="shared" si="150"/>
        <v>3.2359365692962733E-11</v>
      </c>
      <c r="T1052" s="136">
        <f t="shared" si="150"/>
        <v>3.0902954325135899E-4</v>
      </c>
      <c r="U1052" s="137">
        <f t="shared" si="151"/>
        <v>8.1282390928331961E-6</v>
      </c>
      <c r="V1052" s="88">
        <f t="shared" si="147"/>
        <v>6.4899964699362682</v>
      </c>
      <c r="W1052" s="86">
        <f t="shared" si="152"/>
        <v>5.580003530063733</v>
      </c>
      <c r="X1052" s="90">
        <f t="shared" si="148"/>
        <v>9.9918717609071665E-3</v>
      </c>
    </row>
    <row r="1053" spans="13:24" x14ac:dyDescent="0.25">
      <c r="M1053" s="91">
        <v>10.5</v>
      </c>
      <c r="N1053" s="89">
        <f t="shared" si="144"/>
        <v>3.5</v>
      </c>
      <c r="O1053" s="89">
        <f t="shared" si="145"/>
        <v>9.1000034497099911</v>
      </c>
      <c r="P1053" s="97">
        <f t="shared" si="146"/>
        <v>4.0000034497099906</v>
      </c>
      <c r="Q1053" s="135">
        <f t="shared" si="149"/>
        <v>7.9432192520095298E-10</v>
      </c>
      <c r="R1053" s="89">
        <f t="shared" si="149"/>
        <v>9.9999205678074645E-5</v>
      </c>
      <c r="S1053" s="89">
        <f t="shared" si="150"/>
        <v>3.162277660168371E-11</v>
      </c>
      <c r="T1053" s="136">
        <f t="shared" si="150"/>
        <v>3.1622776601683783E-4</v>
      </c>
      <c r="U1053" s="137">
        <f t="shared" si="151"/>
        <v>7.9432192520095431E-6</v>
      </c>
      <c r="V1053" s="88">
        <f t="shared" si="147"/>
        <v>6.4999965502900094</v>
      </c>
      <c r="W1053" s="86">
        <f t="shared" si="152"/>
        <v>5.6000034497099911</v>
      </c>
      <c r="X1053" s="90">
        <f t="shared" si="148"/>
        <v>9.9920567807479915E-3</v>
      </c>
    </row>
    <row r="1054" spans="13:24" x14ac:dyDescent="0.25">
      <c r="M1054" s="91">
        <v>10.51</v>
      </c>
      <c r="N1054" s="89">
        <f t="shared" si="144"/>
        <v>3.49</v>
      </c>
      <c r="O1054" s="89">
        <f t="shared" si="145"/>
        <v>9.110003371185309</v>
      </c>
      <c r="P1054" s="97">
        <f t="shared" si="146"/>
        <v>4.0000033711853087</v>
      </c>
      <c r="Q1054" s="135">
        <f t="shared" si="149"/>
        <v>7.7624109107960149E-10</v>
      </c>
      <c r="R1054" s="89">
        <f t="shared" si="149"/>
        <v>9.9999223758909014E-5</v>
      </c>
      <c r="S1054" s="89">
        <f t="shared" si="150"/>
        <v>3.0902954325135829E-11</v>
      </c>
      <c r="T1054" s="136">
        <f t="shared" si="150"/>
        <v>3.235936569296281E-4</v>
      </c>
      <c r="U1054" s="137">
        <f t="shared" si="151"/>
        <v>7.7624109107960064E-6</v>
      </c>
      <c r="V1054" s="88">
        <f t="shared" si="147"/>
        <v>6.5099966288146911</v>
      </c>
      <c r="W1054" s="86">
        <f t="shared" si="152"/>
        <v>5.6200033711853088</v>
      </c>
      <c r="X1054" s="90">
        <f t="shared" si="148"/>
        <v>9.9922375890892038E-3</v>
      </c>
    </row>
    <row r="1055" spans="13:24" x14ac:dyDescent="0.25">
      <c r="M1055" s="91">
        <v>10.52</v>
      </c>
      <c r="N1055" s="89">
        <f t="shared" si="144"/>
        <v>3.4800000000000004</v>
      </c>
      <c r="O1055" s="89">
        <f t="shared" si="145"/>
        <v>9.120003294448054</v>
      </c>
      <c r="P1055" s="97">
        <f t="shared" si="146"/>
        <v>4.0000032944480539</v>
      </c>
      <c r="Q1055" s="135">
        <f t="shared" si="149"/>
        <v>7.5857182067346061E-10</v>
      </c>
      <c r="R1055" s="89">
        <f t="shared" si="149"/>
        <v>9.9999241428179263E-5</v>
      </c>
      <c r="S1055" s="89">
        <f t="shared" si="150"/>
        <v>3.0199517204020087E-11</v>
      </c>
      <c r="T1055" s="136">
        <f t="shared" si="150"/>
        <v>3.3113112148259034E-4</v>
      </c>
      <c r="U1055" s="137">
        <f t="shared" si="151"/>
        <v>7.5857182067346107E-6</v>
      </c>
      <c r="V1055" s="88">
        <f t="shared" si="147"/>
        <v>6.5199967055519457</v>
      </c>
      <c r="W1055" s="86">
        <f t="shared" si="152"/>
        <v>5.6400032944480536</v>
      </c>
      <c r="X1055" s="90">
        <f t="shared" si="148"/>
        <v>9.9924142817932656E-3</v>
      </c>
    </row>
    <row r="1056" spans="13:24" x14ac:dyDescent="0.25">
      <c r="M1056" s="91">
        <v>10.53</v>
      </c>
      <c r="N1056" s="89">
        <f t="shared" si="144"/>
        <v>3.4700000000000006</v>
      </c>
      <c r="O1056" s="89">
        <f t="shared" si="145"/>
        <v>9.1300032194575387</v>
      </c>
      <c r="P1056" s="97">
        <f t="shared" si="146"/>
        <v>4.0000032194575388</v>
      </c>
      <c r="Q1056" s="135">
        <f t="shared" si="149"/>
        <v>7.4130474593291545E-10</v>
      </c>
      <c r="R1056" s="89">
        <f t="shared" si="149"/>
        <v>9.9999258695253982E-5</v>
      </c>
      <c r="S1056" s="89">
        <f t="shared" si="150"/>
        <v>2.9512092266663787E-11</v>
      </c>
      <c r="T1056" s="136">
        <f t="shared" si="150"/>
        <v>3.3884415613920176E-4</v>
      </c>
      <c r="U1056" s="137">
        <f t="shared" si="151"/>
        <v>7.4130474593291616E-6</v>
      </c>
      <c r="V1056" s="88">
        <f t="shared" si="147"/>
        <v>6.5299967805424606</v>
      </c>
      <c r="W1056" s="86">
        <f t="shared" si="152"/>
        <v>5.660003219457538</v>
      </c>
      <c r="X1056" s="90">
        <f t="shared" si="148"/>
        <v>9.9925869525406708E-3</v>
      </c>
    </row>
    <row r="1057" spans="13:24" x14ac:dyDescent="0.25">
      <c r="M1057" s="91">
        <v>10.54</v>
      </c>
      <c r="N1057" s="89">
        <f t="shared" si="144"/>
        <v>3.4600000000000009</v>
      </c>
      <c r="O1057" s="89">
        <f t="shared" si="145"/>
        <v>9.1400031461740028</v>
      </c>
      <c r="P1057" s="97">
        <f t="shared" si="146"/>
        <v>4.0000031461740031</v>
      </c>
      <c r="Q1057" s="135">
        <f t="shared" si="149"/>
        <v>7.2443071203840506E-10</v>
      </c>
      <c r="R1057" s="89">
        <f t="shared" si="149"/>
        <v>9.999927556928804E-5</v>
      </c>
      <c r="S1057" s="89">
        <f t="shared" si="150"/>
        <v>2.8840315031266094E-11</v>
      </c>
      <c r="T1057" s="136">
        <f t="shared" si="150"/>
        <v>3.4673685045253077E-4</v>
      </c>
      <c r="U1057" s="137">
        <f t="shared" si="151"/>
        <v>7.2443071203840454E-6</v>
      </c>
      <c r="V1057" s="88">
        <f t="shared" si="147"/>
        <v>6.539996853825996</v>
      </c>
      <c r="W1057" s="86">
        <f t="shared" si="152"/>
        <v>5.6800031461740019</v>
      </c>
      <c r="X1057" s="90">
        <f t="shared" si="148"/>
        <v>9.9927556928796155E-3</v>
      </c>
    </row>
    <row r="1058" spans="13:24" x14ac:dyDescent="0.25">
      <c r="M1058" s="91">
        <v>10.55</v>
      </c>
      <c r="N1058" s="89">
        <f t="shared" si="144"/>
        <v>3.4499999999999993</v>
      </c>
      <c r="O1058" s="89">
        <f t="shared" si="145"/>
        <v>9.1500030745585939</v>
      </c>
      <c r="P1058" s="97">
        <f t="shared" si="146"/>
        <v>4.0000030745585935</v>
      </c>
      <c r="Q1058" s="135">
        <f t="shared" si="149"/>
        <v>7.0794077254727959E-10</v>
      </c>
      <c r="R1058" s="89">
        <f t="shared" si="149"/>
        <v>9.9999292059227242E-5</v>
      </c>
      <c r="S1058" s="89">
        <f t="shared" si="150"/>
        <v>2.8183829312644474E-11</v>
      </c>
      <c r="T1058" s="136">
        <f t="shared" si="150"/>
        <v>3.5481338923357581E-4</v>
      </c>
      <c r="U1058" s="137">
        <f t="shared" si="151"/>
        <v>7.0794077254728107E-6</v>
      </c>
      <c r="V1058" s="88">
        <f t="shared" si="147"/>
        <v>6.5499969254414072</v>
      </c>
      <c r="W1058" s="86">
        <f t="shared" si="152"/>
        <v>5.7000030745585946</v>
      </c>
      <c r="X1058" s="90">
        <f t="shared" si="148"/>
        <v>9.9929205922745269E-3</v>
      </c>
    </row>
    <row r="1059" spans="13:24" x14ac:dyDescent="0.25">
      <c r="M1059" s="91">
        <v>10.56</v>
      </c>
      <c r="N1059" s="89">
        <f t="shared" si="144"/>
        <v>3.4399999999999995</v>
      </c>
      <c r="O1059" s="89">
        <f t="shared" si="145"/>
        <v>9.1600030045733387</v>
      </c>
      <c r="P1059" s="97">
        <f t="shared" si="146"/>
        <v>4.0000030045733377</v>
      </c>
      <c r="Q1059" s="135">
        <f t="shared" si="149"/>
        <v>6.9182618465112328E-10</v>
      </c>
      <c r="R1059" s="89">
        <f t="shared" si="149"/>
        <v>9.999930817381515E-5</v>
      </c>
      <c r="S1059" s="89">
        <f t="shared" si="150"/>
        <v>2.7542287033381602E-11</v>
      </c>
      <c r="T1059" s="136">
        <f t="shared" si="150"/>
        <v>3.6307805477010135E-4</v>
      </c>
      <c r="U1059" s="137">
        <f t="shared" si="151"/>
        <v>6.9182618465112464E-6</v>
      </c>
      <c r="V1059" s="88">
        <f t="shared" si="147"/>
        <v>6.5599969954266628</v>
      </c>
      <c r="W1059" s="86">
        <f t="shared" si="152"/>
        <v>5.7200030045733392</v>
      </c>
      <c r="X1059" s="90">
        <f t="shared" si="148"/>
        <v>9.9930817381534889E-3</v>
      </c>
    </row>
    <row r="1060" spans="13:24" x14ac:dyDescent="0.25">
      <c r="M1060" s="91">
        <v>10.57</v>
      </c>
      <c r="N1060" s="89">
        <f t="shared" si="144"/>
        <v>3.4299999999999997</v>
      </c>
      <c r="O1060" s="89">
        <f t="shared" si="145"/>
        <v>9.1700029361811293</v>
      </c>
      <c r="P1060" s="97">
        <f t="shared" si="146"/>
        <v>4.0000029361811293</v>
      </c>
      <c r="Q1060" s="135">
        <f t="shared" si="149"/>
        <v>6.7607840454098666E-10</v>
      </c>
      <c r="R1060" s="89">
        <f t="shared" si="149"/>
        <v>9.9999323921595414E-5</v>
      </c>
      <c r="S1060" s="89">
        <f t="shared" si="150"/>
        <v>2.6915348039269103E-11</v>
      </c>
      <c r="T1060" s="136">
        <f t="shared" si="150"/>
        <v>3.7153522909717248E-4</v>
      </c>
      <c r="U1060" s="137">
        <f t="shared" si="151"/>
        <v>6.7607840454098701E-6</v>
      </c>
      <c r="V1060" s="88">
        <f t="shared" si="147"/>
        <v>6.5699970638188709</v>
      </c>
      <c r="W1060" s="86">
        <f t="shared" si="152"/>
        <v>5.7400029361811296</v>
      </c>
      <c r="X1060" s="90">
        <f t="shared" si="148"/>
        <v>9.9932392159545903E-3</v>
      </c>
    </row>
    <row r="1061" spans="13:24" x14ac:dyDescent="0.25">
      <c r="M1061" s="91">
        <v>10.58</v>
      </c>
      <c r="N1061" s="89">
        <f t="shared" si="144"/>
        <v>3.42</v>
      </c>
      <c r="O1061" s="89">
        <f t="shared" si="145"/>
        <v>9.1800028693457083</v>
      </c>
      <c r="P1061" s="97">
        <f t="shared" si="146"/>
        <v>4.0000028693457086</v>
      </c>
      <c r="Q1061" s="135">
        <f t="shared" si="149"/>
        <v>6.6068908287811182E-10</v>
      </c>
      <c r="R1061" s="89">
        <f t="shared" si="149"/>
        <v>9.9999339310916864E-5</v>
      </c>
      <c r="S1061" s="89">
        <f t="shared" si="150"/>
        <v>2.6302679918953769E-11</v>
      </c>
      <c r="T1061" s="136">
        <f t="shared" si="150"/>
        <v>3.8018939632056113E-4</v>
      </c>
      <c r="U1061" s="137">
        <f t="shared" si="151"/>
        <v>6.606890828781135E-6</v>
      </c>
      <c r="V1061" s="88">
        <f t="shared" si="147"/>
        <v>6.5799971306542915</v>
      </c>
      <c r="W1061" s="86">
        <f t="shared" si="152"/>
        <v>5.7600028693457084</v>
      </c>
      <c r="X1061" s="90">
        <f t="shared" si="148"/>
        <v>9.9933931091712187E-3</v>
      </c>
    </row>
    <row r="1062" spans="13:24" x14ac:dyDescent="0.25">
      <c r="M1062" s="91">
        <v>10.59</v>
      </c>
      <c r="N1062" s="89">
        <f t="shared" si="144"/>
        <v>3.41</v>
      </c>
      <c r="O1062" s="89">
        <f t="shared" si="145"/>
        <v>9.1900028040316375</v>
      </c>
      <c r="P1062" s="97">
        <f t="shared" si="146"/>
        <v>4.0000028040316371</v>
      </c>
      <c r="Q1062" s="135">
        <f t="shared" si="149"/>
        <v>6.4565006036773286E-10</v>
      </c>
      <c r="R1062" s="89">
        <f t="shared" si="149"/>
        <v>9.9999354349939517E-5</v>
      </c>
      <c r="S1062" s="89">
        <f t="shared" si="150"/>
        <v>2.5703957827688591E-11</v>
      </c>
      <c r="T1062" s="136">
        <f t="shared" si="150"/>
        <v>3.8904514499428012E-4</v>
      </c>
      <c r="U1062" s="137">
        <f t="shared" si="151"/>
        <v>6.4565006036773364E-6</v>
      </c>
      <c r="V1062" s="88">
        <f t="shared" si="147"/>
        <v>6.5899971959683628</v>
      </c>
      <c r="W1062" s="86">
        <f t="shared" si="152"/>
        <v>5.7800028040316374</v>
      </c>
      <c r="X1062" s="90">
        <f t="shared" si="148"/>
        <v>9.9935434993963235E-3</v>
      </c>
    </row>
    <row r="1063" spans="13:24" x14ac:dyDescent="0.25">
      <c r="M1063" s="91">
        <v>10.6</v>
      </c>
      <c r="N1063" s="89">
        <f t="shared" si="144"/>
        <v>3.4000000000000004</v>
      </c>
      <c r="O1063" s="89">
        <f t="shared" si="145"/>
        <v>9.200002740204285</v>
      </c>
      <c r="P1063" s="97">
        <f t="shared" si="146"/>
        <v>4.0000027402042857</v>
      </c>
      <c r="Q1063" s="135">
        <f t="shared" si="149"/>
        <v>6.3095336343360496E-10</v>
      </c>
      <c r="R1063" s="89">
        <f t="shared" si="149"/>
        <v>9.9999369046636515E-5</v>
      </c>
      <c r="S1063" s="89">
        <f t="shared" si="150"/>
        <v>2.5118864315095759E-11</v>
      </c>
      <c r="T1063" s="136">
        <f t="shared" si="150"/>
        <v>3.981071705534967E-4</v>
      </c>
      <c r="U1063" s="137">
        <f t="shared" si="151"/>
        <v>6.3095336343360528E-6</v>
      </c>
      <c r="V1063" s="88">
        <f t="shared" si="147"/>
        <v>6.5999972597957139</v>
      </c>
      <c r="W1063" s="86">
        <f t="shared" si="152"/>
        <v>5.8000027402042846</v>
      </c>
      <c r="X1063" s="90">
        <f t="shared" si="148"/>
        <v>9.9936904663656644E-3</v>
      </c>
    </row>
    <row r="1064" spans="13:24" x14ac:dyDescent="0.25">
      <c r="M1064" s="91">
        <v>10.61</v>
      </c>
      <c r="N1064" s="89">
        <f t="shared" si="144"/>
        <v>3.3900000000000006</v>
      </c>
      <c r="O1064" s="89">
        <f t="shared" si="145"/>
        <v>9.210002677829813</v>
      </c>
      <c r="P1064" s="97">
        <f t="shared" si="146"/>
        <v>4.000002677829813</v>
      </c>
      <c r="Q1064" s="135">
        <f t="shared" si="149"/>
        <v>6.165911999909611E-10</v>
      </c>
      <c r="R1064" s="89">
        <f t="shared" si="149"/>
        <v>9.9999383408800005E-5</v>
      </c>
      <c r="S1064" s="89">
        <f t="shared" si="150"/>
        <v>2.4547089156850264E-11</v>
      </c>
      <c r="T1064" s="136">
        <f t="shared" si="150"/>
        <v>4.0738027780411179E-4</v>
      </c>
      <c r="U1064" s="137">
        <f t="shared" si="151"/>
        <v>6.1659119999096115E-6</v>
      </c>
      <c r="V1064" s="88">
        <f t="shared" si="147"/>
        <v>6.6099973221701864</v>
      </c>
      <c r="W1064" s="86">
        <f t="shared" si="152"/>
        <v>5.8200026778298124</v>
      </c>
      <c r="X1064" s="90">
        <f t="shared" si="148"/>
        <v>9.9938340880000899E-3</v>
      </c>
    </row>
    <row r="1065" spans="13:24" x14ac:dyDescent="0.25">
      <c r="M1065" s="91">
        <v>10.62</v>
      </c>
      <c r="N1065" s="89">
        <f t="shared" si="144"/>
        <v>3.3800000000000008</v>
      </c>
      <c r="O1065" s="89">
        <f t="shared" si="145"/>
        <v>9.2200026168751474</v>
      </c>
      <c r="P1065" s="97">
        <f t="shared" si="146"/>
        <v>4.0000026168751486</v>
      </c>
      <c r="Q1065" s="135">
        <f t="shared" si="149"/>
        <v>6.0255595531568863E-10</v>
      </c>
      <c r="R1065" s="89">
        <f t="shared" si="149"/>
        <v>9.9999397444044502E-5</v>
      </c>
      <c r="S1065" s="89">
        <f t="shared" si="150"/>
        <v>2.3988329190194867E-11</v>
      </c>
      <c r="T1065" s="136">
        <f t="shared" si="150"/>
        <v>4.1686938347033437E-4</v>
      </c>
      <c r="U1065" s="137">
        <f t="shared" si="151"/>
        <v>6.0255595531568973E-6</v>
      </c>
      <c r="V1065" s="88">
        <f t="shared" si="147"/>
        <v>6.6199973831248506</v>
      </c>
      <c r="W1065" s="86">
        <f t="shared" si="152"/>
        <v>5.8400026168751467</v>
      </c>
      <c r="X1065" s="90">
        <f t="shared" si="148"/>
        <v>9.9939744404468431E-3</v>
      </c>
    </row>
    <row r="1066" spans="13:24" x14ac:dyDescent="0.25">
      <c r="M1066" s="91">
        <v>10.63</v>
      </c>
      <c r="N1066" s="89">
        <f t="shared" si="144"/>
        <v>3.3699999999999992</v>
      </c>
      <c r="O1066" s="89">
        <f t="shared" si="145"/>
        <v>9.2300025573079729</v>
      </c>
      <c r="P1066" s="97">
        <f t="shared" si="146"/>
        <v>4.0000025573079725</v>
      </c>
      <c r="Q1066" s="135">
        <f t="shared" si="149"/>
        <v>5.8884018800750112E-10</v>
      </c>
      <c r="R1066" s="89">
        <f t="shared" si="149"/>
        <v>9.9999411159812051E-5</v>
      </c>
      <c r="S1066" s="89">
        <f t="shared" si="150"/>
        <v>2.3442288153199104E-11</v>
      </c>
      <c r="T1066" s="136">
        <f t="shared" si="150"/>
        <v>4.2657951880159311E-4</v>
      </c>
      <c r="U1066" s="137">
        <f t="shared" si="151"/>
        <v>5.8884018800750076E-6</v>
      </c>
      <c r="V1066" s="88">
        <f t="shared" si="147"/>
        <v>6.6299974426920283</v>
      </c>
      <c r="W1066" s="86">
        <f t="shared" si="152"/>
        <v>5.8600025573079737</v>
      </c>
      <c r="X1066" s="90">
        <f t="shared" si="148"/>
        <v>9.9941115981199251E-3</v>
      </c>
    </row>
    <row r="1067" spans="13:24" x14ac:dyDescent="0.25">
      <c r="M1067" s="91">
        <v>10.64</v>
      </c>
      <c r="N1067" s="89">
        <f t="shared" si="144"/>
        <v>3.3599999999999994</v>
      </c>
      <c r="O1067" s="89">
        <f t="shared" si="145"/>
        <v>9.240002499096704</v>
      </c>
      <c r="P1067" s="97">
        <f t="shared" si="146"/>
        <v>4.0000024990967038</v>
      </c>
      <c r="Q1067" s="135">
        <f t="shared" si="149"/>
        <v>5.7543662604499494E-10</v>
      </c>
      <c r="R1067" s="89">
        <f t="shared" si="149"/>
        <v>9.9999424563374003E-5</v>
      </c>
      <c r="S1067" s="89">
        <f t="shared" si="150"/>
        <v>2.2908676527677615E-11</v>
      </c>
      <c r="T1067" s="136">
        <f t="shared" si="150"/>
        <v>4.3651583224016638E-4</v>
      </c>
      <c r="U1067" s="137">
        <f t="shared" si="151"/>
        <v>5.7543662604499468E-6</v>
      </c>
      <c r="V1067" s="88">
        <f t="shared" si="147"/>
        <v>6.6399975009032968</v>
      </c>
      <c r="W1067" s="86">
        <f t="shared" si="152"/>
        <v>5.8800024990967046</v>
      </c>
      <c r="X1067" s="90">
        <f t="shared" si="148"/>
        <v>9.994245633739551E-3</v>
      </c>
    </row>
    <row r="1068" spans="13:24" x14ac:dyDescent="0.25">
      <c r="M1068" s="91">
        <v>10.65</v>
      </c>
      <c r="N1068" s="89">
        <f t="shared" si="144"/>
        <v>3.3499999999999996</v>
      </c>
      <c r="O1068" s="89">
        <f t="shared" si="145"/>
        <v>9.2500024422104783</v>
      </c>
      <c r="P1068" s="97">
        <f t="shared" si="146"/>
        <v>4.0000024422104783</v>
      </c>
      <c r="Q1068" s="135">
        <f t="shared" si="149"/>
        <v>5.6233816293047056E-10</v>
      </c>
      <c r="R1068" s="89">
        <f t="shared" si="149"/>
        <v>9.9999437661836855E-5</v>
      </c>
      <c r="S1068" s="89">
        <f t="shared" si="150"/>
        <v>2.238721138568329E-11</v>
      </c>
      <c r="T1068" s="136">
        <f t="shared" si="150"/>
        <v>4.4668359215096316E-4</v>
      </c>
      <c r="U1068" s="137">
        <f t="shared" si="151"/>
        <v>5.6233816293047171E-6</v>
      </c>
      <c r="V1068" s="88">
        <f t="shared" si="147"/>
        <v>6.6499975577895221</v>
      </c>
      <c r="W1068" s="86">
        <f t="shared" si="152"/>
        <v>5.9000024422104786</v>
      </c>
      <c r="X1068" s="90">
        <f t="shared" si="148"/>
        <v>9.9943766183706959E-3</v>
      </c>
    </row>
    <row r="1069" spans="13:24" x14ac:dyDescent="0.25">
      <c r="M1069" s="91">
        <v>10.66</v>
      </c>
      <c r="N1069" s="89">
        <f t="shared" si="144"/>
        <v>3.34</v>
      </c>
      <c r="O1069" s="89">
        <f t="shared" si="145"/>
        <v>9.2600023866191332</v>
      </c>
      <c r="P1069" s="97">
        <f t="shared" si="146"/>
        <v>4.0000023866191334</v>
      </c>
      <c r="Q1069" s="135">
        <f t="shared" si="149"/>
        <v>5.4953785392249882E-10</v>
      </c>
      <c r="R1069" s="89">
        <f t="shared" si="149"/>
        <v>9.9999450462145994E-5</v>
      </c>
      <c r="S1069" s="89">
        <f t="shared" si="150"/>
        <v>2.1877616239495499E-11</v>
      </c>
      <c r="T1069" s="136">
        <f t="shared" si="150"/>
        <v>4.5708818961487499E-4</v>
      </c>
      <c r="U1069" s="137">
        <f t="shared" si="151"/>
        <v>5.4953785392249932E-6</v>
      </c>
      <c r="V1069" s="88">
        <f t="shared" si="147"/>
        <v>6.6599976133808667</v>
      </c>
      <c r="W1069" s="86">
        <f t="shared" si="152"/>
        <v>5.9200023866191334</v>
      </c>
      <c r="X1069" s="90">
        <f t="shared" si="148"/>
        <v>9.9945046214607747E-3</v>
      </c>
    </row>
    <row r="1070" spans="13:24" x14ac:dyDescent="0.25">
      <c r="M1070" s="91">
        <v>10.67</v>
      </c>
      <c r="N1070" s="89">
        <f t="shared" si="144"/>
        <v>3.33</v>
      </c>
      <c r="O1070" s="89">
        <f t="shared" si="145"/>
        <v>9.2700023322931955</v>
      </c>
      <c r="P1070" s="97">
        <f t="shared" si="146"/>
        <v>4.000002332293195</v>
      </c>
      <c r="Q1070" s="135">
        <f t="shared" si="149"/>
        <v>5.3702891235423539E-10</v>
      </c>
      <c r="R1070" s="89">
        <f t="shared" si="149"/>
        <v>9.9999462971087509E-5</v>
      </c>
      <c r="S1070" s="89">
        <f t="shared" si="150"/>
        <v>2.1379620895022298E-11</v>
      </c>
      <c r="T1070" s="136">
        <f t="shared" si="150"/>
        <v>4.677351412871977E-4</v>
      </c>
      <c r="U1070" s="137">
        <f t="shared" si="151"/>
        <v>5.3702891235423608E-6</v>
      </c>
      <c r="V1070" s="88">
        <f t="shared" si="147"/>
        <v>6.6699976677068049</v>
      </c>
      <c r="W1070" s="86">
        <f t="shared" si="152"/>
        <v>5.9400023322931954</v>
      </c>
      <c r="X1070" s="90">
        <f t="shared" si="148"/>
        <v>9.9946297108764581E-3</v>
      </c>
    </row>
    <row r="1071" spans="13:24" x14ac:dyDescent="0.25">
      <c r="M1071" s="91">
        <v>10.68</v>
      </c>
      <c r="N1071" s="89">
        <f t="shared" si="144"/>
        <v>3.3200000000000003</v>
      </c>
      <c r="O1071" s="89">
        <f t="shared" si="145"/>
        <v>9.2800022792038597</v>
      </c>
      <c r="P1071" s="97">
        <f t="shared" si="146"/>
        <v>4.0000022792038594</v>
      </c>
      <c r="Q1071" s="135">
        <f t="shared" si="149"/>
        <v>5.2480470603552214E-10</v>
      </c>
      <c r="R1071" s="89">
        <f t="shared" si="149"/>
        <v>9.9999475195293992E-5</v>
      </c>
      <c r="S1071" s="89">
        <f t="shared" si="150"/>
        <v>2.0892961308540373E-11</v>
      </c>
      <c r="T1071" s="136">
        <f t="shared" si="150"/>
        <v>4.7863009232263772E-4</v>
      </c>
      <c r="U1071" s="137">
        <f t="shared" si="151"/>
        <v>5.2480470603552198E-6</v>
      </c>
      <c r="V1071" s="88">
        <f t="shared" si="147"/>
        <v>6.6799977207961403</v>
      </c>
      <c r="W1071" s="86">
        <f t="shared" si="152"/>
        <v>5.9600022792038594</v>
      </c>
      <c r="X1071" s="90">
        <f t="shared" si="148"/>
        <v>9.9947519529396452E-3</v>
      </c>
    </row>
    <row r="1072" spans="13:24" x14ac:dyDescent="0.25">
      <c r="M1072" s="91">
        <v>10.69</v>
      </c>
      <c r="N1072" s="89">
        <f t="shared" si="144"/>
        <v>3.3100000000000005</v>
      </c>
      <c r="O1072" s="89">
        <f t="shared" si="145"/>
        <v>9.2900022273229794</v>
      </c>
      <c r="P1072" s="97">
        <f t="shared" si="146"/>
        <v>4.0000022273229785</v>
      </c>
      <c r="Q1072" s="135">
        <f t="shared" si="149"/>
        <v>5.1285875373686135E-10</v>
      </c>
      <c r="R1072" s="89">
        <f t="shared" si="149"/>
        <v>9.9999487141246316E-5</v>
      </c>
      <c r="S1072" s="89">
        <f t="shared" si="150"/>
        <v>2.0417379446695275E-11</v>
      </c>
      <c r="T1072" s="136">
        <f t="shared" si="150"/>
        <v>4.8977881936844512E-4</v>
      </c>
      <c r="U1072" s="137">
        <f t="shared" si="151"/>
        <v>5.1285875373686104E-6</v>
      </c>
      <c r="V1072" s="88">
        <f t="shared" si="147"/>
        <v>6.689997772677021</v>
      </c>
      <c r="W1072" s="86">
        <f t="shared" si="152"/>
        <v>5.9800022273229789</v>
      </c>
      <c r="X1072" s="90">
        <f t="shared" si="148"/>
        <v>9.9948714124626324E-3</v>
      </c>
    </row>
    <row r="1073" spans="13:24" x14ac:dyDescent="0.25">
      <c r="M1073" s="91">
        <v>10.7</v>
      </c>
      <c r="N1073" s="89">
        <f t="shared" si="144"/>
        <v>3.3000000000000007</v>
      </c>
      <c r="O1073" s="89">
        <f t="shared" si="145"/>
        <v>9.3000021766230443</v>
      </c>
      <c r="P1073" s="97">
        <f t="shared" si="146"/>
        <v>4.0000021766230454</v>
      </c>
      <c r="Q1073" s="135">
        <f t="shared" si="149"/>
        <v>5.0118472175342991E-10</v>
      </c>
      <c r="R1073" s="89">
        <f t="shared" si="149"/>
        <v>9.9999498815278148E-5</v>
      </c>
      <c r="S1073" s="89">
        <f t="shared" si="150"/>
        <v>1.995262314968878E-11</v>
      </c>
      <c r="T1073" s="136">
        <f t="shared" si="150"/>
        <v>5.0118723362727112E-4</v>
      </c>
      <c r="U1073" s="137">
        <f t="shared" si="151"/>
        <v>5.0118472175343047E-6</v>
      </c>
      <c r="V1073" s="88">
        <f t="shared" si="147"/>
        <v>6.6999978233769539</v>
      </c>
      <c r="W1073" s="86">
        <f t="shared" si="152"/>
        <v>6.0000021766230436</v>
      </c>
      <c r="X1073" s="90">
        <f t="shared" si="148"/>
        <v>9.9949881527824653E-3</v>
      </c>
    </row>
    <row r="1074" spans="13:24" x14ac:dyDescent="0.25">
      <c r="M1074" s="91">
        <v>10.71</v>
      </c>
      <c r="N1074" s="89">
        <f t="shared" si="144"/>
        <v>3.2899999999999991</v>
      </c>
      <c r="O1074" s="89">
        <f t="shared" si="145"/>
        <v>9.310002127077178</v>
      </c>
      <c r="P1074" s="97">
        <f t="shared" si="146"/>
        <v>4.0000021270771775</v>
      </c>
      <c r="Q1074" s="135">
        <f t="shared" si="149"/>
        <v>4.8977642054727388E-10</v>
      </c>
      <c r="R1074" s="89">
        <f t="shared" si="149"/>
        <v>9.9999510223579264E-5</v>
      </c>
      <c r="S1074" s="89">
        <f t="shared" si="150"/>
        <v>1.9498445997580369E-11</v>
      </c>
      <c r="T1074" s="136">
        <f t="shared" si="150"/>
        <v>5.1286138399136549E-4</v>
      </c>
      <c r="U1074" s="137">
        <f t="shared" si="151"/>
        <v>4.8977642054727481E-6</v>
      </c>
      <c r="V1074" s="88">
        <f t="shared" si="147"/>
        <v>6.7099978729228233</v>
      </c>
      <c r="W1074" s="86">
        <f t="shared" si="152"/>
        <v>6.0200021270771789</v>
      </c>
      <c r="X1074" s="90">
        <f t="shared" si="148"/>
        <v>9.9951022357945268E-3</v>
      </c>
    </row>
    <row r="1075" spans="13:24" x14ac:dyDescent="0.25">
      <c r="M1075" s="91">
        <v>10.72</v>
      </c>
      <c r="N1075" s="89">
        <f t="shared" si="144"/>
        <v>3.2799999999999994</v>
      </c>
      <c r="O1075" s="89">
        <f t="shared" si="145"/>
        <v>9.3200020786591065</v>
      </c>
      <c r="P1075" s="97">
        <f t="shared" si="146"/>
        <v>4.0000020786591053</v>
      </c>
      <c r="Q1075" s="135">
        <f t="shared" si="149"/>
        <v>4.7862780146594835E-10</v>
      </c>
      <c r="R1075" s="89">
        <f t="shared" si="149"/>
        <v>9.9999521372198387E-5</v>
      </c>
      <c r="S1075" s="89">
        <f t="shared" si="150"/>
        <v>1.9054607179632392E-11</v>
      </c>
      <c r="T1075" s="136">
        <f t="shared" si="150"/>
        <v>5.2480746024977315E-4</v>
      </c>
      <c r="U1075" s="137">
        <f t="shared" si="151"/>
        <v>4.7862780146594908E-6</v>
      </c>
      <c r="V1075" s="88">
        <f t="shared" si="147"/>
        <v>6.7199979213408954</v>
      </c>
      <c r="W1075" s="86">
        <f t="shared" si="152"/>
        <v>6.0400020786591071</v>
      </c>
      <c r="X1075" s="90">
        <f t="shared" si="148"/>
        <v>9.9952137219853406E-3</v>
      </c>
    </row>
    <row r="1076" spans="13:24" x14ac:dyDescent="0.25">
      <c r="M1076" s="91">
        <v>10.73</v>
      </c>
      <c r="N1076" s="89">
        <f t="shared" si="144"/>
        <v>3.2699999999999996</v>
      </c>
      <c r="O1076" s="89">
        <f t="shared" si="145"/>
        <v>9.3300020313431578</v>
      </c>
      <c r="P1076" s="97">
        <f t="shared" si="146"/>
        <v>4.0000020313431577</v>
      </c>
      <c r="Q1076" s="135">
        <f t="shared" si="149"/>
        <v>4.6773295353580566E-10</v>
      </c>
      <c r="R1076" s="89">
        <f t="shared" si="149"/>
        <v>9.9999532267046372E-5</v>
      </c>
      <c r="S1076" s="89">
        <f t="shared" si="150"/>
        <v>1.8620871366628599E-11</v>
      </c>
      <c r="T1076" s="136">
        <f t="shared" si="150"/>
        <v>5.3703179637025283E-4</v>
      </c>
      <c r="U1076" s="137">
        <f t="shared" si="151"/>
        <v>4.6773295353580605E-6</v>
      </c>
      <c r="V1076" s="88">
        <f t="shared" si="147"/>
        <v>6.7299979686568427</v>
      </c>
      <c r="W1076" s="86">
        <f t="shared" si="152"/>
        <v>6.0600020313431582</v>
      </c>
      <c r="X1076" s="90">
        <f t="shared" si="148"/>
        <v>9.9953226704646413E-3</v>
      </c>
    </row>
    <row r="1077" spans="13:24" x14ac:dyDescent="0.25">
      <c r="M1077" s="91">
        <v>10.74</v>
      </c>
      <c r="N1077" s="89">
        <f t="shared" si="144"/>
        <v>3.26</v>
      </c>
      <c r="O1077" s="89">
        <f t="shared" si="145"/>
        <v>9.340001985104248</v>
      </c>
      <c r="P1077" s="97">
        <f t="shared" si="146"/>
        <v>4.0000019851042481</v>
      </c>
      <c r="Q1077" s="135">
        <f t="shared" si="149"/>
        <v>4.5708610032829394E-10</v>
      </c>
      <c r="R1077" s="89">
        <f t="shared" si="149"/>
        <v>9.9999542913899522E-5</v>
      </c>
      <c r="S1077" s="89">
        <f t="shared" si="150"/>
        <v>1.8197008586099764E-11</v>
      </c>
      <c r="T1077" s="136">
        <f t="shared" si="150"/>
        <v>5.4954087385762466E-4</v>
      </c>
      <c r="U1077" s="137">
        <f t="shared" si="151"/>
        <v>4.5708610032829461E-6</v>
      </c>
      <c r="V1077" s="88">
        <f t="shared" si="147"/>
        <v>6.7399980148957521</v>
      </c>
      <c r="W1077" s="86">
        <f t="shared" si="152"/>
        <v>6.0800019851042482</v>
      </c>
      <c r="X1077" s="90">
        <f t="shared" si="148"/>
        <v>9.995429138996717E-3</v>
      </c>
    </row>
    <row r="1078" spans="13:24" x14ac:dyDescent="0.25">
      <c r="M1078" s="91">
        <v>10.75</v>
      </c>
      <c r="N1078" s="89">
        <f t="shared" si="144"/>
        <v>3.25</v>
      </c>
      <c r="O1078" s="89">
        <f t="shared" si="145"/>
        <v>9.3500019399178598</v>
      </c>
      <c r="P1078" s="97">
        <f t="shared" si="146"/>
        <v>4.0000019399178592</v>
      </c>
      <c r="Q1078" s="135">
        <f t="shared" si="149"/>
        <v>4.4668159689755917E-10</v>
      </c>
      <c r="R1078" s="89">
        <f t="shared" si="149"/>
        <v>9.999955331840317E-5</v>
      </c>
      <c r="S1078" s="89">
        <f t="shared" si="150"/>
        <v>1.7782794100389159E-11</v>
      </c>
      <c r="T1078" s="136">
        <f t="shared" si="150"/>
        <v>5.6234132519034856E-4</v>
      </c>
      <c r="U1078" s="137">
        <f t="shared" si="151"/>
        <v>4.4668159689755885E-6</v>
      </c>
      <c r="V1078" s="88">
        <f t="shared" si="147"/>
        <v>6.7499980600821408</v>
      </c>
      <c r="W1078" s="86">
        <f t="shared" si="152"/>
        <v>6.1000019399178598</v>
      </c>
      <c r="X1078" s="90">
        <f t="shared" si="148"/>
        <v>9.9955331840310239E-3</v>
      </c>
    </row>
    <row r="1079" spans="13:24" x14ac:dyDescent="0.25">
      <c r="M1079" s="91">
        <v>10.76</v>
      </c>
      <c r="N1079" s="89">
        <f t="shared" si="144"/>
        <v>3.24</v>
      </c>
      <c r="O1079" s="89">
        <f t="shared" si="145"/>
        <v>9.3600018957600337</v>
      </c>
      <c r="P1079" s="97">
        <f t="shared" si="146"/>
        <v>4.0000018957600343</v>
      </c>
      <c r="Q1079" s="135">
        <f t="shared" si="149"/>
        <v>4.3651392678776502E-10</v>
      </c>
      <c r="R1079" s="89">
        <f t="shared" si="149"/>
        <v>9.9999563486073099E-5</v>
      </c>
      <c r="S1079" s="89">
        <f t="shared" si="150"/>
        <v>1.7378008287493749E-11</v>
      </c>
      <c r="T1079" s="136">
        <f t="shared" si="150"/>
        <v>5.7543993733715632E-4</v>
      </c>
      <c r="U1079" s="137">
        <f t="shared" si="151"/>
        <v>4.3651392678776551E-6</v>
      </c>
      <c r="V1079" s="88">
        <f t="shared" si="147"/>
        <v>6.7599981042399655</v>
      </c>
      <c r="W1079" s="86">
        <f t="shared" si="152"/>
        <v>6.1200018957600335</v>
      </c>
      <c r="X1079" s="90">
        <f t="shared" si="148"/>
        <v>9.9956348607321225E-3</v>
      </c>
    </row>
    <row r="1080" spans="13:24" x14ac:dyDescent="0.25">
      <c r="M1080" s="91">
        <v>10.77</v>
      </c>
      <c r="N1080" s="89">
        <f t="shared" si="144"/>
        <v>3.2300000000000004</v>
      </c>
      <c r="O1080" s="89">
        <f t="shared" si="145"/>
        <v>9.3700018526073592</v>
      </c>
      <c r="P1080" s="97">
        <f t="shared" si="146"/>
        <v>4.00000185260736</v>
      </c>
      <c r="Q1080" s="135">
        <f t="shared" si="149"/>
        <v>4.2657769910849558E-10</v>
      </c>
      <c r="R1080" s="89">
        <f t="shared" si="149"/>
        <v>9.9999573422300707E-5</v>
      </c>
      <c r="S1080" s="89">
        <f t="shared" si="150"/>
        <v>1.6982436524617441E-11</v>
      </c>
      <c r="T1080" s="136">
        <f t="shared" si="150"/>
        <v>5.8884365535558775E-4</v>
      </c>
      <c r="U1080" s="137">
        <f t="shared" si="151"/>
        <v>4.2657769910849633E-6</v>
      </c>
      <c r="V1080" s="88">
        <f t="shared" si="147"/>
        <v>6.7699981473926396</v>
      </c>
      <c r="W1080" s="86">
        <f t="shared" si="152"/>
        <v>6.1400018526073588</v>
      </c>
      <c r="X1080" s="90">
        <f t="shared" si="148"/>
        <v>9.9957342230089161E-3</v>
      </c>
    </row>
    <row r="1081" spans="13:24" x14ac:dyDescent="0.25">
      <c r="M1081" s="91">
        <v>10.78</v>
      </c>
      <c r="N1081" s="89">
        <f t="shared" si="144"/>
        <v>3.2200000000000006</v>
      </c>
      <c r="O1081" s="89">
        <f t="shared" si="145"/>
        <v>9.3800018104369549</v>
      </c>
      <c r="P1081" s="97">
        <f t="shared" si="146"/>
        <v>4.0000018104369559</v>
      </c>
      <c r="Q1081" s="135">
        <f t="shared" si="149"/>
        <v>4.1686764567675025E-10</v>
      </c>
      <c r="R1081" s="89">
        <f t="shared" si="149"/>
        <v>9.9999583132354174E-5</v>
      </c>
      <c r="S1081" s="89">
        <f t="shared" si="150"/>
        <v>1.6595869074375605E-11</v>
      </c>
      <c r="T1081" s="136">
        <f t="shared" si="150"/>
        <v>6.0255958607435649E-4</v>
      </c>
      <c r="U1081" s="137">
        <f t="shared" si="151"/>
        <v>4.1686764567675081E-6</v>
      </c>
      <c r="V1081" s="88">
        <f t="shared" si="147"/>
        <v>6.7799981895630435</v>
      </c>
      <c r="W1081" s="86">
        <f t="shared" si="152"/>
        <v>6.1600018104369543</v>
      </c>
      <c r="X1081" s="90">
        <f t="shared" si="148"/>
        <v>9.9958313235432323E-3</v>
      </c>
    </row>
    <row r="1082" spans="13:24" x14ac:dyDescent="0.25">
      <c r="M1082" s="91">
        <v>10.79</v>
      </c>
      <c r="N1082" s="89">
        <f t="shared" si="144"/>
        <v>3.2100000000000009</v>
      </c>
      <c r="O1082" s="89">
        <f t="shared" si="145"/>
        <v>9.3900017692264619</v>
      </c>
      <c r="P1082" s="97">
        <f t="shared" si="146"/>
        <v>4.0000017692264631</v>
      </c>
      <c r="Q1082" s="135">
        <f t="shared" si="149"/>
        <v>4.0737861822396702E-10</v>
      </c>
      <c r="R1082" s="89">
        <f t="shared" si="149"/>
        <v>9.9999592621381658E-5</v>
      </c>
      <c r="S1082" s="89">
        <f t="shared" si="150"/>
        <v>1.6218100973589298E-11</v>
      </c>
      <c r="T1082" s="136">
        <f t="shared" si="150"/>
        <v>6.1659500186148021E-4</v>
      </c>
      <c r="U1082" s="137">
        <f t="shared" si="151"/>
        <v>4.0737861822396747E-6</v>
      </c>
      <c r="V1082" s="88">
        <f t="shared" si="147"/>
        <v>6.789998230773536</v>
      </c>
      <c r="W1082" s="86">
        <f t="shared" si="152"/>
        <v>6.1800017692264611</v>
      </c>
      <c r="X1082" s="90">
        <f t="shared" si="148"/>
        <v>9.9959262138177608E-3</v>
      </c>
    </row>
    <row r="1083" spans="13:24" x14ac:dyDescent="0.25">
      <c r="M1083" s="91">
        <v>10.8</v>
      </c>
      <c r="N1083" s="89">
        <f t="shared" si="144"/>
        <v>3.1999999999999993</v>
      </c>
      <c r="O1083" s="89">
        <f t="shared" si="145"/>
        <v>9.4000017289540327</v>
      </c>
      <c r="P1083" s="97">
        <f t="shared" si="146"/>
        <v>4.0000017289540324</v>
      </c>
      <c r="Q1083" s="135">
        <f t="shared" si="149"/>
        <v>3.9810558566661344E-10</v>
      </c>
      <c r="R1083" s="89">
        <f t="shared" si="149"/>
        <v>9.9999601894414263E-5</v>
      </c>
      <c r="S1083" s="89">
        <f t="shared" si="150"/>
        <v>1.5848931924611082E-11</v>
      </c>
      <c r="T1083" s="136">
        <f t="shared" si="150"/>
        <v>6.3095734448019407E-4</v>
      </c>
      <c r="U1083" s="137">
        <f t="shared" si="151"/>
        <v>3.9810558566661379E-6</v>
      </c>
      <c r="V1083" s="88">
        <f t="shared" si="147"/>
        <v>6.7999982710459683</v>
      </c>
      <c r="W1083" s="86">
        <f t="shared" si="152"/>
        <v>6.2000017289540335</v>
      </c>
      <c r="X1083" s="90">
        <f t="shared" si="148"/>
        <v>9.9960189441433336E-3</v>
      </c>
    </row>
    <row r="1084" spans="13:24" x14ac:dyDescent="0.25">
      <c r="M1084" s="91">
        <v>10.81</v>
      </c>
      <c r="N1084" s="89">
        <f t="shared" si="144"/>
        <v>3.1899999999999995</v>
      </c>
      <c r="O1084" s="89">
        <f t="shared" si="145"/>
        <v>9.4100016895983103</v>
      </c>
      <c r="P1084" s="97">
        <f t="shared" si="146"/>
        <v>4.0000016895983102</v>
      </c>
      <c r="Q1084" s="135">
        <f t="shared" si="149"/>
        <v>3.8904363143891978E-10</v>
      </c>
      <c r="R1084" s="89">
        <f t="shared" si="149"/>
        <v>9.999961095636852E-5</v>
      </c>
      <c r="S1084" s="89">
        <f t="shared" si="150"/>
        <v>1.5488166189124763E-11</v>
      </c>
      <c r="T1084" s="136">
        <f t="shared" si="150"/>
        <v>6.4565422903465567E-4</v>
      </c>
      <c r="U1084" s="137">
        <f t="shared" si="151"/>
        <v>3.8904363143891992E-6</v>
      </c>
      <c r="V1084" s="88">
        <f t="shared" si="147"/>
        <v>6.8099983104016903</v>
      </c>
      <c r="W1084" s="86">
        <f t="shared" si="152"/>
        <v>6.2200016895983108</v>
      </c>
      <c r="X1084" s="90">
        <f t="shared" si="148"/>
        <v>9.9961095636856116E-3</v>
      </c>
    </row>
    <row r="1085" spans="13:24" x14ac:dyDescent="0.25">
      <c r="M1085" s="91">
        <v>10.82</v>
      </c>
      <c r="N1085" s="89">
        <f t="shared" si="144"/>
        <v>3.1799999999999997</v>
      </c>
      <c r="O1085" s="89">
        <f t="shared" si="145"/>
        <v>9.4200016511384312</v>
      </c>
      <c r="P1085" s="97">
        <f t="shared" si="146"/>
        <v>4.0000016511384304</v>
      </c>
      <c r="Q1085" s="135">
        <f t="shared" si="149"/>
        <v>3.8018795088628424E-10</v>
      </c>
      <c r="R1085" s="89">
        <f t="shared" si="149"/>
        <v>9.9999619812049019E-5</v>
      </c>
      <c r="S1085" s="89">
        <f t="shared" si="150"/>
        <v>1.5135612484362034E-11</v>
      </c>
      <c r="T1085" s="136">
        <f t="shared" si="150"/>
        <v>6.6069344800759615E-4</v>
      </c>
      <c r="U1085" s="137">
        <f t="shared" si="151"/>
        <v>3.801879508862846E-6</v>
      </c>
      <c r="V1085" s="88">
        <f t="shared" si="147"/>
        <v>6.8199983488615699</v>
      </c>
      <c r="W1085" s="86">
        <f t="shared" si="152"/>
        <v>6.2400016511384315</v>
      </c>
      <c r="X1085" s="90">
        <f t="shared" si="148"/>
        <v>9.9961981204911374E-3</v>
      </c>
    </row>
    <row r="1086" spans="13:24" x14ac:dyDescent="0.25">
      <c r="M1086" s="91">
        <v>10.83</v>
      </c>
      <c r="N1086" s="89">
        <f t="shared" si="144"/>
        <v>3.17</v>
      </c>
      <c r="O1086" s="89">
        <f t="shared" si="145"/>
        <v>9.4300016135540012</v>
      </c>
      <c r="P1086" s="97">
        <f t="shared" si="146"/>
        <v>4.0000016135540006</v>
      </c>
      <c r="Q1086" s="135">
        <f t="shared" si="149"/>
        <v>3.7153384871803548E-10</v>
      </c>
      <c r="R1086" s="89">
        <f t="shared" si="149"/>
        <v>9.9999628466151315E-5</v>
      </c>
      <c r="S1086" s="89">
        <f t="shared" si="150"/>
        <v>1.4791083881682027E-11</v>
      </c>
      <c r="T1086" s="136">
        <f t="shared" si="150"/>
        <v>6.7608297539198121E-4</v>
      </c>
      <c r="U1086" s="137">
        <f t="shared" si="151"/>
        <v>3.7153384871803538E-6</v>
      </c>
      <c r="V1086" s="88">
        <f t="shared" si="147"/>
        <v>6.8299983864459994</v>
      </c>
      <c r="W1086" s="86">
        <f t="shared" si="152"/>
        <v>6.2600016135540013</v>
      </c>
      <c r="X1086" s="90">
        <f t="shared" si="148"/>
        <v>9.9962846615128196E-3</v>
      </c>
    </row>
    <row r="1087" spans="13:24" x14ac:dyDescent="0.25">
      <c r="M1087" s="91">
        <v>10.84</v>
      </c>
      <c r="N1087" s="89">
        <f t="shared" si="144"/>
        <v>3.16</v>
      </c>
      <c r="O1087" s="89">
        <f t="shared" si="145"/>
        <v>9.4400015768250949</v>
      </c>
      <c r="P1087" s="97">
        <f t="shared" si="146"/>
        <v>4.0000015768250945</v>
      </c>
      <c r="Q1087" s="135">
        <f t="shared" si="149"/>
        <v>3.6307673651814803E-10</v>
      </c>
      <c r="R1087" s="89">
        <f t="shared" si="149"/>
        <v>9.9999636923263333E-5</v>
      </c>
      <c r="S1087" s="89">
        <f t="shared" si="150"/>
        <v>1.4454397707459232E-11</v>
      </c>
      <c r="T1087" s="136">
        <f t="shared" si="150"/>
        <v>6.9183097091893579E-4</v>
      </c>
      <c r="U1087" s="137">
        <f t="shared" si="151"/>
        <v>3.6307673651814854E-6</v>
      </c>
      <c r="V1087" s="88">
        <f t="shared" si="147"/>
        <v>6.8399984231749054</v>
      </c>
      <c r="W1087" s="86">
        <f t="shared" si="152"/>
        <v>6.2800015768250947</v>
      </c>
      <c r="X1087" s="90">
        <f t="shared" si="148"/>
        <v>9.9963692326348191E-3</v>
      </c>
    </row>
    <row r="1088" spans="13:24" x14ac:dyDescent="0.25">
      <c r="M1088" s="91">
        <v>10.85</v>
      </c>
      <c r="N1088" s="89">
        <f t="shared" si="144"/>
        <v>3.1500000000000004</v>
      </c>
      <c r="O1088" s="89">
        <f t="shared" si="145"/>
        <v>9.4500015409322362</v>
      </c>
      <c r="P1088" s="97">
        <f t="shared" si="146"/>
        <v>4.0000015409322369</v>
      </c>
      <c r="Q1088" s="135">
        <f t="shared" si="149"/>
        <v>3.5481213031262962E-10</v>
      </c>
      <c r="R1088" s="89">
        <f t="shared" si="149"/>
        <v>9.9999645187869577E-5</v>
      </c>
      <c r="S1088" s="89">
        <f t="shared" si="150"/>
        <v>1.4125375446227501E-11</v>
      </c>
      <c r="T1088" s="136">
        <f t="shared" si="150"/>
        <v>7.0794578438413661E-4</v>
      </c>
      <c r="U1088" s="137">
        <f t="shared" si="151"/>
        <v>3.5481213031263005E-6</v>
      </c>
      <c r="V1088" s="88">
        <f t="shared" si="147"/>
        <v>6.8499984590677627</v>
      </c>
      <c r="W1088" s="86">
        <f t="shared" si="152"/>
        <v>6.3000015409322359</v>
      </c>
      <c r="X1088" s="90">
        <f t="shared" si="148"/>
        <v>9.9964518786968739E-3</v>
      </c>
    </row>
    <row r="1089" spans="13:24" x14ac:dyDescent="0.25">
      <c r="M1089" s="91">
        <v>10.86</v>
      </c>
      <c r="N1089" s="89">
        <f t="shared" si="144"/>
        <v>3.1400000000000006</v>
      </c>
      <c r="O1089" s="89">
        <f t="shared" si="145"/>
        <v>9.4600015058563969</v>
      </c>
      <c r="P1089" s="97">
        <f t="shared" si="146"/>
        <v>4.0000015058563978</v>
      </c>
      <c r="Q1089" s="135">
        <f t="shared" si="149"/>
        <v>3.4673564819226506E-10</v>
      </c>
      <c r="R1089" s="89">
        <f t="shared" si="149"/>
        <v>9.9999653264351728E-5</v>
      </c>
      <c r="S1089" s="89">
        <f t="shared" si="150"/>
        <v>1.380384264602886E-11</v>
      </c>
      <c r="T1089" s="136">
        <f t="shared" si="150"/>
        <v>7.2443596007498864E-4</v>
      </c>
      <c r="U1089" s="137">
        <f t="shared" si="151"/>
        <v>3.4673564819226531E-6</v>
      </c>
      <c r="V1089" s="88">
        <f t="shared" si="147"/>
        <v>6.8599984941436016</v>
      </c>
      <c r="W1089" s="86">
        <f t="shared" si="152"/>
        <v>6.3200015058563963</v>
      </c>
      <c r="X1089" s="90">
        <f t="shared" si="148"/>
        <v>9.996532643518078E-3</v>
      </c>
    </row>
    <row r="1090" spans="13:24" x14ac:dyDescent="0.25">
      <c r="M1090" s="91">
        <v>10.87</v>
      </c>
      <c r="N1090" s="89">
        <f t="shared" si="144"/>
        <v>3.1300000000000008</v>
      </c>
      <c r="O1090" s="89">
        <f t="shared" si="145"/>
        <v>9.4700014715789784</v>
      </c>
      <c r="P1090" s="97">
        <f t="shared" si="146"/>
        <v>4.0000014715789796</v>
      </c>
      <c r="Q1090" s="135">
        <f t="shared" si="149"/>
        <v>3.3884300798947167E-10</v>
      </c>
      <c r="R1090" s="89">
        <f t="shared" si="149"/>
        <v>9.9999661156991815E-5</v>
      </c>
      <c r="S1090" s="89">
        <f t="shared" si="150"/>
        <v>1.3489628825916547E-11</v>
      </c>
      <c r="T1090" s="136">
        <f t="shared" si="150"/>
        <v>7.41310241300916E-4</v>
      </c>
      <c r="U1090" s="137">
        <f t="shared" si="151"/>
        <v>3.3884300798947234E-6</v>
      </c>
      <c r="V1090" s="88">
        <f t="shared" si="147"/>
        <v>6.8699985284210197</v>
      </c>
      <c r="W1090" s="86">
        <f t="shared" si="152"/>
        <v>6.3400014715789776</v>
      </c>
      <c r="X1090" s="90">
        <f t="shared" si="148"/>
        <v>9.9966115699201049E-3</v>
      </c>
    </row>
    <row r="1091" spans="13:24" x14ac:dyDescent="0.25">
      <c r="M1091" s="91">
        <v>10.88</v>
      </c>
      <c r="N1091" s="89">
        <f t="shared" ref="N1091:N1154" si="153">14-M1091</f>
        <v>3.1199999999999992</v>
      </c>
      <c r="O1091" s="89">
        <f t="shared" ref="O1091:O1154" si="154">-LOG(10^-$B$3/(1+10^(M1091-$A$3)))</f>
        <v>9.4800014380818087</v>
      </c>
      <c r="P1091" s="97">
        <f t="shared" ref="P1091:P1154" si="155">-LOG(10^-$B$3/(1+10^($A$3-M1091)))</f>
        <v>4.0000014380818074</v>
      </c>
      <c r="Q1091" s="135">
        <f t="shared" si="149"/>
        <v>3.3113002500802384E-10</v>
      </c>
      <c r="R1091" s="89">
        <f t="shared" si="149"/>
        <v>9.9999668869974872E-5</v>
      </c>
      <c r="S1091" s="89">
        <f t="shared" si="150"/>
        <v>1.3182567385564036E-11</v>
      </c>
      <c r="T1091" s="136">
        <f t="shared" si="150"/>
        <v>7.5857757502918483E-4</v>
      </c>
      <c r="U1091" s="137">
        <f t="shared" si="151"/>
        <v>3.3113002500802422E-6</v>
      </c>
      <c r="V1091" s="88">
        <f t="shared" ref="V1091:V1154" si="156">ABS(P1091-M1091)</f>
        <v>6.8799985619181934</v>
      </c>
      <c r="W1091" s="86">
        <f t="shared" si="152"/>
        <v>6.3600014380818095</v>
      </c>
      <c r="X1091" s="90">
        <f t="shared" ref="X1091:X1154" si="157">ABS($J$2-U1091)</f>
        <v>9.9966886997499196E-3</v>
      </c>
    </row>
    <row r="1092" spans="13:24" x14ac:dyDescent="0.25">
      <c r="M1092" s="91">
        <v>10.89</v>
      </c>
      <c r="N1092" s="89">
        <f t="shared" si="153"/>
        <v>3.1099999999999994</v>
      </c>
      <c r="O1092" s="89">
        <f t="shared" si="154"/>
        <v>9.4900014053471224</v>
      </c>
      <c r="P1092" s="97">
        <f t="shared" si="155"/>
        <v>4.0000014053471222</v>
      </c>
      <c r="Q1092" s="135">
        <f t="shared" ref="Q1092:R1155" si="158">10^-O1092</f>
        <v>3.235926098044678E-10</v>
      </c>
      <c r="R1092" s="89">
        <f t="shared" si="158"/>
        <v>9.9999676407390035E-5</v>
      </c>
      <c r="S1092" s="89">
        <f t="shared" ref="S1092:T1155" si="159">10^-M1092</f>
        <v>1.2882495516931307E-11</v>
      </c>
      <c r="T1092" s="136">
        <f t="shared" si="159"/>
        <v>7.7624711662869204E-4</v>
      </c>
      <c r="U1092" s="137">
        <f t="shared" ref="U1092:U1155" si="160">Q1092/(Q1092+R1092)</f>
        <v>3.2359260980446829E-6</v>
      </c>
      <c r="V1092" s="88">
        <f t="shared" si="156"/>
        <v>6.8899985946528783</v>
      </c>
      <c r="W1092" s="86">
        <f t="shared" ref="W1092:W1155" si="161">ABS(O1092-N1092)</f>
        <v>6.380001405347123</v>
      </c>
      <c r="X1092" s="90">
        <f t="shared" si="157"/>
        <v>9.9967640739019557E-3</v>
      </c>
    </row>
    <row r="1093" spans="13:24" x14ac:dyDescent="0.25">
      <c r="M1093" s="91">
        <v>10.9</v>
      </c>
      <c r="N1093" s="89">
        <f t="shared" si="153"/>
        <v>3.0999999999999996</v>
      </c>
      <c r="O1093" s="89">
        <f t="shared" si="154"/>
        <v>9.5000013733575663</v>
      </c>
      <c r="P1093" s="97">
        <f t="shared" si="155"/>
        <v>4.0000013733575663</v>
      </c>
      <c r="Q1093" s="135">
        <f t="shared" si="158"/>
        <v>3.162267660200001E-10</v>
      </c>
      <c r="R1093" s="89">
        <f t="shared" si="158"/>
        <v>9.9999683773234041E-5</v>
      </c>
      <c r="S1093" s="89">
        <f t="shared" si="159"/>
        <v>1.2589254117941641E-11</v>
      </c>
      <c r="T1093" s="136">
        <f t="shared" si="159"/>
        <v>7.9432823472428175E-4</v>
      </c>
      <c r="U1093" s="137">
        <f t="shared" si="160"/>
        <v>3.1622676601999991E-6</v>
      </c>
      <c r="V1093" s="88">
        <f t="shared" si="156"/>
        <v>6.899998626642434</v>
      </c>
      <c r="W1093" s="86">
        <f t="shared" si="161"/>
        <v>6.4000013733575667</v>
      </c>
      <c r="X1093" s="90">
        <f t="shared" si="157"/>
        <v>9.9968377323397997E-3</v>
      </c>
    </row>
    <row r="1094" spans="13:24" x14ac:dyDescent="0.25">
      <c r="M1094" s="91">
        <v>10.91</v>
      </c>
      <c r="N1094" s="89">
        <f t="shared" si="153"/>
        <v>3.09</v>
      </c>
      <c r="O1094" s="89">
        <f t="shared" si="154"/>
        <v>9.5100013420961798</v>
      </c>
      <c r="P1094" s="97">
        <f t="shared" si="155"/>
        <v>4.00000134209618</v>
      </c>
      <c r="Q1094" s="135">
        <f t="shared" si="158"/>
        <v>3.0902858826172362E-10</v>
      </c>
      <c r="R1094" s="89">
        <f t="shared" si="158"/>
        <v>9.9999690971411601E-5</v>
      </c>
      <c r="S1094" s="89">
        <f t="shared" si="159"/>
        <v>1.2302687708123787E-11</v>
      </c>
      <c r="T1094" s="136">
        <f t="shared" si="159"/>
        <v>8.1283051616409872E-4</v>
      </c>
      <c r="U1094" s="137">
        <f t="shared" si="160"/>
        <v>3.0902858826172406E-6</v>
      </c>
      <c r="V1094" s="88">
        <f t="shared" si="156"/>
        <v>6.9099986579038202</v>
      </c>
      <c r="W1094" s="86">
        <f t="shared" si="161"/>
        <v>6.4200013420961799</v>
      </c>
      <c r="X1094" s="90">
        <f t="shared" si="157"/>
        <v>9.9969097141173833E-3</v>
      </c>
    </row>
    <row r="1095" spans="13:24" x14ac:dyDescent="0.25">
      <c r="M1095" s="91">
        <v>10.92</v>
      </c>
      <c r="N1095" s="89">
        <f t="shared" si="153"/>
        <v>3.08</v>
      </c>
      <c r="O1095" s="89">
        <f t="shared" si="154"/>
        <v>9.5200013115463875</v>
      </c>
      <c r="P1095" s="97">
        <f t="shared" si="155"/>
        <v>4.0000013115463871</v>
      </c>
      <c r="Q1095" s="135">
        <f t="shared" si="158"/>
        <v>3.0199426003211566E-10</v>
      </c>
      <c r="R1095" s="89">
        <f t="shared" si="158"/>
        <v>9.9999698005739921E-5</v>
      </c>
      <c r="S1095" s="89">
        <f t="shared" si="159"/>
        <v>1.2022644346174101E-11</v>
      </c>
      <c r="T1095" s="136">
        <f t="shared" si="159"/>
        <v>8.3176377110267033E-4</v>
      </c>
      <c r="U1095" s="137">
        <f t="shared" si="160"/>
        <v>3.0199426003211581E-6</v>
      </c>
      <c r="V1095" s="88">
        <f t="shared" si="156"/>
        <v>6.9199986884536129</v>
      </c>
      <c r="W1095" s="86">
        <f t="shared" si="161"/>
        <v>6.4400013115463874</v>
      </c>
      <c r="X1095" s="90">
        <f t="shared" si="157"/>
        <v>9.9969800573996796E-3</v>
      </c>
    </row>
    <row r="1096" spans="13:24" x14ac:dyDescent="0.25">
      <c r="M1096" s="91">
        <v>10.93</v>
      </c>
      <c r="N1096" s="89">
        <f t="shared" si="153"/>
        <v>3.0700000000000003</v>
      </c>
      <c r="O1096" s="89">
        <f t="shared" si="154"/>
        <v>9.530001281691991</v>
      </c>
      <c r="P1096" s="97">
        <f t="shared" si="155"/>
        <v>4.0000012816919908</v>
      </c>
      <c r="Q1096" s="135">
        <f t="shared" si="158"/>
        <v>2.9512005170561817E-10</v>
      </c>
      <c r="R1096" s="89">
        <f t="shared" si="158"/>
        <v>9.9999704879948236E-5</v>
      </c>
      <c r="S1096" s="89">
        <f t="shared" si="159"/>
        <v>1.1748975549395269E-11</v>
      </c>
      <c r="T1096" s="136">
        <f t="shared" si="159"/>
        <v>8.5113803820237495E-4</v>
      </c>
      <c r="U1096" s="137">
        <f t="shared" si="160"/>
        <v>2.9512005170561836E-6</v>
      </c>
      <c r="V1096" s="88">
        <f t="shared" si="156"/>
        <v>6.929998718308009</v>
      </c>
      <c r="W1096" s="86">
        <f t="shared" si="161"/>
        <v>6.4600012816919907</v>
      </c>
      <c r="X1096" s="90">
        <f t="shared" si="157"/>
        <v>9.9970487994829448E-3</v>
      </c>
    </row>
    <row r="1097" spans="13:24" x14ac:dyDescent="0.25">
      <c r="M1097" s="91">
        <v>10.94</v>
      </c>
      <c r="N1097" s="89">
        <f t="shared" si="153"/>
        <v>3.0600000000000005</v>
      </c>
      <c r="O1097" s="89">
        <f t="shared" si="154"/>
        <v>9.5400012525171611</v>
      </c>
      <c r="P1097" s="97">
        <f t="shared" si="155"/>
        <v>4.0000012525171611</v>
      </c>
      <c r="Q1097" s="135">
        <f t="shared" si="158"/>
        <v>2.8840231855128756E-10</v>
      </c>
      <c r="R1097" s="89">
        <f t="shared" si="158"/>
        <v>9.999971159768139E-5</v>
      </c>
      <c r="S1097" s="89">
        <f t="shared" si="159"/>
        <v>1.1481536214968803E-11</v>
      </c>
      <c r="T1097" s="136">
        <f t="shared" si="159"/>
        <v>8.709635899560791E-4</v>
      </c>
      <c r="U1097" s="137">
        <f t="shared" si="160"/>
        <v>2.8840231855128776E-6</v>
      </c>
      <c r="V1097" s="88">
        <f t="shared" si="156"/>
        <v>6.9399987474828384</v>
      </c>
      <c r="W1097" s="86">
        <f t="shared" si="161"/>
        <v>6.4800012525171606</v>
      </c>
      <c r="X1097" s="90">
        <f t="shared" si="157"/>
        <v>9.9971159768144878E-3</v>
      </c>
    </row>
    <row r="1098" spans="13:24" x14ac:dyDescent="0.25">
      <c r="M1098" s="91">
        <v>10.95</v>
      </c>
      <c r="N1098" s="89">
        <f t="shared" si="153"/>
        <v>3.0500000000000007</v>
      </c>
      <c r="O1098" s="89">
        <f t="shared" si="154"/>
        <v>9.5500012240064294</v>
      </c>
      <c r="P1098" s="97">
        <f t="shared" si="155"/>
        <v>4.0000012240064304</v>
      </c>
      <c r="Q1098" s="135">
        <f t="shared" si="158"/>
        <v>2.818374988004491E-10</v>
      </c>
      <c r="R1098" s="89">
        <f t="shared" si="158"/>
        <v>9.9999718162500947E-5</v>
      </c>
      <c r="S1098" s="89">
        <f t="shared" si="159"/>
        <v>1.1220184543019613E-11</v>
      </c>
      <c r="T1098" s="136">
        <f t="shared" si="159"/>
        <v>8.9125093813374376E-4</v>
      </c>
      <c r="U1098" s="137">
        <f t="shared" si="160"/>
        <v>2.8183749880044981E-6</v>
      </c>
      <c r="V1098" s="88">
        <f t="shared" si="156"/>
        <v>6.9499987759935689</v>
      </c>
      <c r="W1098" s="86">
        <f t="shared" si="161"/>
        <v>6.5000012240064287</v>
      </c>
      <c r="X1098" s="90">
        <f t="shared" si="157"/>
        <v>9.9971816250119961E-3</v>
      </c>
    </row>
    <row r="1099" spans="13:24" x14ac:dyDescent="0.25">
      <c r="M1099" s="91">
        <v>10.96</v>
      </c>
      <c r="N1099" s="89">
        <f t="shared" si="153"/>
        <v>3.0399999999999991</v>
      </c>
      <c r="O1099" s="89">
        <f t="shared" si="154"/>
        <v>9.5600011961446807</v>
      </c>
      <c r="P1099" s="97">
        <f t="shared" si="155"/>
        <v>4.0000011961446802</v>
      </c>
      <c r="Q1099" s="135">
        <f t="shared" si="158"/>
        <v>2.7542211175833018E-10</v>
      </c>
      <c r="R1099" s="89">
        <f t="shared" si="158"/>
        <v>9.9999724577888157E-5</v>
      </c>
      <c r="S1099" s="89">
        <f t="shared" si="159"/>
        <v>1.0964781961431789E-11</v>
      </c>
      <c r="T1099" s="136">
        <f t="shared" si="159"/>
        <v>9.1201083935591115E-4</v>
      </c>
      <c r="U1099" s="137">
        <f t="shared" si="160"/>
        <v>2.7542211175833042E-6</v>
      </c>
      <c r="V1099" s="88">
        <f t="shared" si="156"/>
        <v>6.9599988038553207</v>
      </c>
      <c r="W1099" s="86">
        <f t="shared" si="161"/>
        <v>6.5200011961446815</v>
      </c>
      <c r="X1099" s="90">
        <f t="shared" si="157"/>
        <v>9.997245778882417E-3</v>
      </c>
    </row>
    <row r="1100" spans="13:24" x14ac:dyDescent="0.25">
      <c r="M1100" s="91">
        <v>10.97</v>
      </c>
      <c r="N1100" s="89">
        <f t="shared" si="153"/>
        <v>3.0299999999999994</v>
      </c>
      <c r="O1100" s="89">
        <f t="shared" si="154"/>
        <v>9.5700011689171411</v>
      </c>
      <c r="P1100" s="97">
        <f t="shared" si="155"/>
        <v>4.00000116891714</v>
      </c>
      <c r="Q1100" s="135">
        <f t="shared" si="158"/>
        <v>2.6915275595867986E-10</v>
      </c>
      <c r="R1100" s="89">
        <f t="shared" si="158"/>
        <v>9.9999730847244027E-5</v>
      </c>
      <c r="S1100" s="89">
        <f t="shared" si="159"/>
        <v>1.0715193052376007E-11</v>
      </c>
      <c r="T1100" s="136">
        <f t="shared" si="159"/>
        <v>9.332543007969916E-4</v>
      </c>
      <c r="U1100" s="137">
        <f t="shared" si="160"/>
        <v>2.6915275595867987E-6</v>
      </c>
      <c r="V1100" s="88">
        <f t="shared" si="156"/>
        <v>6.9699988310828607</v>
      </c>
      <c r="W1100" s="86">
        <f t="shared" si="161"/>
        <v>6.5400011689171418</v>
      </c>
      <c r="X1100" s="90">
        <f t="shared" si="157"/>
        <v>9.9973084724404131E-3</v>
      </c>
    </row>
    <row r="1101" spans="13:24" x14ac:dyDescent="0.25">
      <c r="M1101" s="91">
        <v>10.98</v>
      </c>
      <c r="N1101" s="89">
        <f t="shared" si="153"/>
        <v>3.0199999999999996</v>
      </c>
      <c r="O1101" s="89">
        <f t="shared" si="154"/>
        <v>9.5800011423093725</v>
      </c>
      <c r="P1101" s="97">
        <f t="shared" si="155"/>
        <v>4.0000011423093724</v>
      </c>
      <c r="Q1101" s="135">
        <f t="shared" si="158"/>
        <v>2.630261073603868E-10</v>
      </c>
      <c r="R1101" s="89">
        <f t="shared" si="158"/>
        <v>9.9999736973892586E-5</v>
      </c>
      <c r="S1101" s="89">
        <f t="shared" si="159"/>
        <v>1.0471285480508978E-11</v>
      </c>
      <c r="T1101" s="136">
        <f t="shared" si="159"/>
        <v>9.5499258602143634E-4</v>
      </c>
      <c r="U1101" s="137">
        <f t="shared" si="160"/>
        <v>2.6302610736038695E-6</v>
      </c>
      <c r="V1101" s="88">
        <f t="shared" si="156"/>
        <v>6.979998857690628</v>
      </c>
      <c r="W1101" s="86">
        <f t="shared" si="161"/>
        <v>6.5600011423093729</v>
      </c>
      <c r="X1101" s="90">
        <f t="shared" si="157"/>
        <v>9.9973697389263965E-3</v>
      </c>
    </row>
    <row r="1102" spans="13:24" x14ac:dyDescent="0.25">
      <c r="M1102" s="91">
        <v>10.99</v>
      </c>
      <c r="N1102" s="89">
        <f t="shared" si="153"/>
        <v>3.01</v>
      </c>
      <c r="O1102" s="89">
        <f t="shared" si="154"/>
        <v>9.5900011163072705</v>
      </c>
      <c r="P1102" s="97">
        <f t="shared" si="155"/>
        <v>4.0000011163072697</v>
      </c>
      <c r="Q1102" s="135">
        <f t="shared" si="158"/>
        <v>2.5703891758513577E-10</v>
      </c>
      <c r="R1102" s="89">
        <f t="shared" si="158"/>
        <v>9.9999742961082416E-5</v>
      </c>
      <c r="S1102" s="89">
        <f t="shared" si="159"/>
        <v>1.0232929922807526E-11</v>
      </c>
      <c r="T1102" s="136">
        <f t="shared" si="159"/>
        <v>9.7723722095581023E-4</v>
      </c>
      <c r="U1102" s="137">
        <f t="shared" si="160"/>
        <v>2.5703891758513577E-6</v>
      </c>
      <c r="V1102" s="88">
        <f t="shared" si="156"/>
        <v>6.9899988836927305</v>
      </c>
      <c r="W1102" s="86">
        <f t="shared" si="161"/>
        <v>6.5800011163072707</v>
      </c>
      <c r="X1102" s="90">
        <f t="shared" si="157"/>
        <v>9.9974296108241486E-3</v>
      </c>
    </row>
    <row r="1103" spans="13:24" x14ac:dyDescent="0.25">
      <c r="M1103" s="91">
        <v>11</v>
      </c>
      <c r="N1103" s="89">
        <f t="shared" si="153"/>
        <v>3</v>
      </c>
      <c r="O1103" s="89">
        <f t="shared" si="154"/>
        <v>9.600001090897047</v>
      </c>
      <c r="P1103" s="97">
        <f t="shared" si="155"/>
        <v>4.0000010908970465</v>
      </c>
      <c r="Q1103" s="135">
        <f t="shared" si="158"/>
        <v>2.5118801219519721E-10</v>
      </c>
      <c r="R1103" s="89">
        <f t="shared" si="158"/>
        <v>9.9999748811987652E-5</v>
      </c>
      <c r="S1103" s="89">
        <f t="shared" si="159"/>
        <v>9.9999999999999994E-12</v>
      </c>
      <c r="T1103" s="136">
        <f t="shared" si="159"/>
        <v>1E-3</v>
      </c>
      <c r="U1103" s="137">
        <f t="shared" si="160"/>
        <v>2.5118801219519759E-6</v>
      </c>
      <c r="V1103" s="88">
        <f t="shared" si="156"/>
        <v>6.9999989091029535</v>
      </c>
      <c r="W1103" s="86">
        <f t="shared" si="161"/>
        <v>6.600001090897047</v>
      </c>
      <c r="X1103" s="90">
        <f t="shared" si="157"/>
        <v>9.997488119878049E-3</v>
      </c>
    </row>
    <row r="1104" spans="13:24" x14ac:dyDescent="0.25">
      <c r="M1104" s="91">
        <v>11.01</v>
      </c>
      <c r="N1104" s="89">
        <f t="shared" si="153"/>
        <v>2.99</v>
      </c>
      <c r="O1104" s="89">
        <f t="shared" si="154"/>
        <v>9.6100010660652284</v>
      </c>
      <c r="P1104" s="97">
        <f t="shared" si="155"/>
        <v>4.0000010660652281</v>
      </c>
      <c r="Q1104" s="135">
        <f t="shared" si="158"/>
        <v>2.4547028901039578E-10</v>
      </c>
      <c r="R1104" s="89">
        <f t="shared" si="158"/>
        <v>9.9999754529711026E-5</v>
      </c>
      <c r="S1104" s="89">
        <f t="shared" si="159"/>
        <v>9.7723722095580929E-12</v>
      </c>
      <c r="T1104" s="136">
        <f t="shared" si="159"/>
        <v>1.0232929922807533E-3</v>
      </c>
      <c r="U1104" s="137">
        <f t="shared" si="160"/>
        <v>2.4547028901039569E-6</v>
      </c>
      <c r="V1104" s="88">
        <f t="shared" si="156"/>
        <v>7.0099989339347717</v>
      </c>
      <c r="W1104" s="86">
        <f t="shared" si="161"/>
        <v>6.6200010660652282</v>
      </c>
      <c r="X1104" s="90">
        <f t="shared" si="157"/>
        <v>9.9975452971098958E-3</v>
      </c>
    </row>
    <row r="1105" spans="13:24" x14ac:dyDescent="0.25">
      <c r="M1105" s="91">
        <v>11.02</v>
      </c>
      <c r="N1105" s="89">
        <f t="shared" si="153"/>
        <v>2.9800000000000004</v>
      </c>
      <c r="O1105" s="89">
        <f t="shared" si="154"/>
        <v>9.6200010417986501</v>
      </c>
      <c r="P1105" s="97">
        <f t="shared" si="155"/>
        <v>4.00000104179865</v>
      </c>
      <c r="Q1105" s="135">
        <f t="shared" si="158"/>
        <v>2.3988271646339123E-10</v>
      </c>
      <c r="R1105" s="89">
        <f t="shared" si="158"/>
        <v>9.999976011728349E-5</v>
      </c>
      <c r="S1105" s="89">
        <f t="shared" si="159"/>
        <v>9.5499258602143472E-12</v>
      </c>
      <c r="T1105" s="136">
        <f t="shared" si="159"/>
        <v>1.0471285480508979E-3</v>
      </c>
      <c r="U1105" s="137">
        <f t="shared" si="160"/>
        <v>2.3988271646339136E-6</v>
      </c>
      <c r="V1105" s="88">
        <f t="shared" si="156"/>
        <v>7.0199989582013496</v>
      </c>
      <c r="W1105" s="86">
        <f t="shared" si="161"/>
        <v>6.6400010417986497</v>
      </c>
      <c r="X1105" s="90">
        <f t="shared" si="157"/>
        <v>9.9976011728353659E-3</v>
      </c>
    </row>
    <row r="1106" spans="13:24" x14ac:dyDescent="0.25">
      <c r="M1106" s="91">
        <v>11.03</v>
      </c>
      <c r="N1106" s="89">
        <f t="shared" si="153"/>
        <v>2.9700000000000006</v>
      </c>
      <c r="O1106" s="89">
        <f t="shared" si="154"/>
        <v>9.630001018084446</v>
      </c>
      <c r="P1106" s="97">
        <f t="shared" si="155"/>
        <v>4.0000010180844452</v>
      </c>
      <c r="Q1106" s="135">
        <f t="shared" si="158"/>
        <v>2.3442233199240553E-10</v>
      </c>
      <c r="R1106" s="89">
        <f t="shared" si="158"/>
        <v>9.9999765577668022E-5</v>
      </c>
      <c r="S1106" s="89">
        <f t="shared" si="159"/>
        <v>9.3325430079698992E-12</v>
      </c>
      <c r="T1106" s="136">
        <f t="shared" si="159"/>
        <v>1.0715193052376045E-3</v>
      </c>
      <c r="U1106" s="137">
        <f t="shared" si="160"/>
        <v>2.3442233199240549E-6</v>
      </c>
      <c r="V1106" s="88">
        <f t="shared" si="156"/>
        <v>7.0299989819155542</v>
      </c>
      <c r="W1106" s="86">
        <f t="shared" si="161"/>
        <v>6.6600010180844453</v>
      </c>
      <c r="X1106" s="90">
        <f t="shared" si="157"/>
        <v>9.9976557766800755E-3</v>
      </c>
    </row>
    <row r="1107" spans="13:24" x14ac:dyDescent="0.25">
      <c r="M1107" s="91">
        <v>11.04</v>
      </c>
      <c r="N1107" s="89">
        <f t="shared" si="153"/>
        <v>2.9600000000000009</v>
      </c>
      <c r="O1107" s="89">
        <f t="shared" si="154"/>
        <v>9.6400009949100394</v>
      </c>
      <c r="P1107" s="97">
        <f t="shared" si="155"/>
        <v>4.0000009949100406</v>
      </c>
      <c r="Q1107" s="135">
        <f t="shared" si="158"/>
        <v>2.2908624047051975E-10</v>
      </c>
      <c r="R1107" s="89">
        <f t="shared" si="158"/>
        <v>9.9999770913759481E-5</v>
      </c>
      <c r="S1107" s="89">
        <f t="shared" si="159"/>
        <v>9.1201083935590882E-12</v>
      </c>
      <c r="T1107" s="136">
        <f t="shared" si="159"/>
        <v>1.0964781961431819E-3</v>
      </c>
      <c r="U1107" s="137">
        <f t="shared" si="160"/>
        <v>2.2908624047051985E-6</v>
      </c>
      <c r="V1107" s="88">
        <f t="shared" si="156"/>
        <v>7.0399990050899586</v>
      </c>
      <c r="W1107" s="86">
        <f t="shared" si="161"/>
        <v>6.6800009949100385</v>
      </c>
      <c r="X1107" s="90">
        <f t="shared" si="157"/>
        <v>9.997709137595295E-3</v>
      </c>
    </row>
    <row r="1108" spans="13:24" x14ac:dyDescent="0.25">
      <c r="M1108" s="91">
        <v>11.05</v>
      </c>
      <c r="N1108" s="89">
        <f t="shared" si="153"/>
        <v>2.9499999999999993</v>
      </c>
      <c r="O1108" s="89">
        <f t="shared" si="154"/>
        <v>9.6500009722631503</v>
      </c>
      <c r="P1108" s="97">
        <f t="shared" si="155"/>
        <v>4.0000009722631482</v>
      </c>
      <c r="Q1108" s="135">
        <f t="shared" si="158"/>
        <v>2.2387161267072072E-10</v>
      </c>
      <c r="R1108" s="89">
        <f t="shared" si="158"/>
        <v>9.9999776128387418E-5</v>
      </c>
      <c r="S1108" s="89">
        <f t="shared" si="159"/>
        <v>8.9125093813374152E-12</v>
      </c>
      <c r="T1108" s="136">
        <f t="shared" si="159"/>
        <v>1.1220184543019641E-3</v>
      </c>
      <c r="U1108" s="137">
        <f t="shared" si="160"/>
        <v>2.2387161267072053E-6</v>
      </c>
      <c r="V1108" s="88">
        <f t="shared" si="156"/>
        <v>7.0499990277368525</v>
      </c>
      <c r="W1108" s="86">
        <f t="shared" si="161"/>
        <v>6.7000009722631511</v>
      </c>
      <c r="X1108" s="90">
        <f t="shared" si="157"/>
        <v>9.9977612838732938E-3</v>
      </c>
    </row>
    <row r="1109" spans="13:24" x14ac:dyDescent="0.25">
      <c r="M1109" s="91">
        <v>11.06</v>
      </c>
      <c r="N1109" s="89">
        <f t="shared" si="153"/>
        <v>2.9399999999999995</v>
      </c>
      <c r="O1109" s="89">
        <f t="shared" si="154"/>
        <v>9.6600009501317619</v>
      </c>
      <c r="P1109" s="97">
        <f t="shared" si="155"/>
        <v>4.0000009501317617</v>
      </c>
      <c r="Q1109" s="135">
        <f t="shared" si="158"/>
        <v>2.1877568376590971E-10</v>
      </c>
      <c r="R1109" s="89">
        <f t="shared" si="158"/>
        <v>9.9999781224316157E-5</v>
      </c>
      <c r="S1109" s="89">
        <f t="shared" si="159"/>
        <v>8.7096358995607668E-12</v>
      </c>
      <c r="T1109" s="136">
        <f t="shared" si="159"/>
        <v>1.1481536214968835E-3</v>
      </c>
      <c r="U1109" s="137">
        <f t="shared" si="160"/>
        <v>2.1877568376590988E-6</v>
      </c>
      <c r="V1109" s="88">
        <f t="shared" si="156"/>
        <v>7.0599990498682388</v>
      </c>
      <c r="W1109" s="86">
        <f t="shared" si="161"/>
        <v>6.7200009501317624</v>
      </c>
      <c r="X1109" s="90">
        <f t="shared" si="157"/>
        <v>9.997812243162341E-3</v>
      </c>
    </row>
    <row r="1110" spans="13:24" x14ac:dyDescent="0.25">
      <c r="M1110" s="91">
        <v>11.07</v>
      </c>
      <c r="N1110" s="89">
        <f t="shared" si="153"/>
        <v>2.9299999999999997</v>
      </c>
      <c r="O1110" s="89">
        <f t="shared" si="154"/>
        <v>9.6700009285041464</v>
      </c>
      <c r="P1110" s="97">
        <f t="shared" si="155"/>
        <v>4.0000009285041456</v>
      </c>
      <c r="Q1110" s="135">
        <f t="shared" si="158"/>
        <v>2.1379575186301011E-10</v>
      </c>
      <c r="R1110" s="89">
        <f t="shared" si="158"/>
        <v>9.9999786204248083E-5</v>
      </c>
      <c r="S1110" s="89">
        <f t="shared" si="159"/>
        <v>8.5113803820237273E-12</v>
      </c>
      <c r="T1110" s="136">
        <f t="shared" si="159"/>
        <v>1.1748975549395301E-3</v>
      </c>
      <c r="U1110" s="137">
        <f t="shared" si="160"/>
        <v>2.1379575186301023E-6</v>
      </c>
      <c r="V1110" s="88">
        <f t="shared" si="156"/>
        <v>7.0699990714958547</v>
      </c>
      <c r="W1110" s="86">
        <f t="shared" si="161"/>
        <v>6.7400009285041467</v>
      </c>
      <c r="X1110" s="90">
        <f t="shared" si="157"/>
        <v>9.9978620424813706E-3</v>
      </c>
    </row>
    <row r="1111" spans="13:24" x14ac:dyDescent="0.25">
      <c r="M1111" s="91">
        <v>11.08</v>
      </c>
      <c r="N1111" s="89">
        <f t="shared" si="153"/>
        <v>2.92</v>
      </c>
      <c r="O1111" s="89">
        <f t="shared" si="154"/>
        <v>9.680000907368834</v>
      </c>
      <c r="P1111" s="97">
        <f t="shared" si="155"/>
        <v>4.0000009073688325</v>
      </c>
      <c r="Q1111" s="135">
        <f t="shared" si="158"/>
        <v>2.0892917657048257E-10</v>
      </c>
      <c r="R1111" s="89">
        <f t="shared" si="158"/>
        <v>9.9999791070823501E-5</v>
      </c>
      <c r="S1111" s="89">
        <f t="shared" si="159"/>
        <v>8.3176377110266746E-12</v>
      </c>
      <c r="T1111" s="136">
        <f t="shared" si="159"/>
        <v>1.2022644346174124E-3</v>
      </c>
      <c r="U1111" s="137">
        <f t="shared" si="160"/>
        <v>2.0892917657048243E-6</v>
      </c>
      <c r="V1111" s="88">
        <f t="shared" si="156"/>
        <v>7.0799990926311676</v>
      </c>
      <c r="W1111" s="86">
        <f t="shared" si="161"/>
        <v>6.7600009073688341</v>
      </c>
      <c r="X1111" s="90">
        <f t="shared" si="157"/>
        <v>9.9979107082342946E-3</v>
      </c>
    </row>
    <row r="1112" spans="13:24" x14ac:dyDescent="0.25">
      <c r="M1112" s="91">
        <v>11.09</v>
      </c>
      <c r="N1112" s="89">
        <f t="shared" si="153"/>
        <v>2.91</v>
      </c>
      <c r="O1112" s="89">
        <f t="shared" si="154"/>
        <v>9.6900008867146177</v>
      </c>
      <c r="P1112" s="97">
        <f t="shared" si="155"/>
        <v>4.0000008867146173</v>
      </c>
      <c r="Q1112" s="135">
        <f t="shared" si="158"/>
        <v>2.0417337759842046E-10</v>
      </c>
      <c r="R1112" s="89">
        <f t="shared" si="158"/>
        <v>9.9999795826622405E-5</v>
      </c>
      <c r="S1112" s="89">
        <f t="shared" si="159"/>
        <v>8.1283051616409864E-12</v>
      </c>
      <c r="T1112" s="136">
        <f t="shared" si="159"/>
        <v>1.2302687708123808E-3</v>
      </c>
      <c r="U1112" s="137">
        <f t="shared" si="160"/>
        <v>2.0417337759842045E-6</v>
      </c>
      <c r="V1112" s="88">
        <f t="shared" si="156"/>
        <v>7.0899991132853826</v>
      </c>
      <c r="W1112" s="86">
        <f t="shared" si="161"/>
        <v>6.7800008867146175</v>
      </c>
      <c r="X1112" s="90">
        <f t="shared" si="157"/>
        <v>9.9979582662240163E-3</v>
      </c>
    </row>
    <row r="1113" spans="13:24" x14ac:dyDescent="0.25">
      <c r="M1113" s="91">
        <v>11.1</v>
      </c>
      <c r="N1113" s="89">
        <f t="shared" si="153"/>
        <v>2.9000000000000004</v>
      </c>
      <c r="O1113" s="89">
        <f t="shared" si="154"/>
        <v>9.7000008665305479</v>
      </c>
      <c r="P1113" s="97">
        <f t="shared" si="155"/>
        <v>4.0000008665305486</v>
      </c>
      <c r="Q1113" s="135">
        <f t="shared" si="158"/>
        <v>1.9952583339051202E-10</v>
      </c>
      <c r="R1113" s="89">
        <f t="shared" si="158"/>
        <v>9.9999800474166649E-5</v>
      </c>
      <c r="S1113" s="89">
        <f t="shared" si="159"/>
        <v>7.9432823472428101E-12</v>
      </c>
      <c r="T1113" s="136">
        <f t="shared" si="159"/>
        <v>1.2589254117941651E-3</v>
      </c>
      <c r="U1113" s="137">
        <f t="shared" si="160"/>
        <v>1.9952583339051192E-6</v>
      </c>
      <c r="V1113" s="88">
        <f t="shared" si="156"/>
        <v>7.099999133469451</v>
      </c>
      <c r="W1113" s="86">
        <f t="shared" si="161"/>
        <v>6.8000008665305476</v>
      </c>
      <c r="X1113" s="90">
        <f t="shared" si="157"/>
        <v>9.9980047416660944E-3</v>
      </c>
    </row>
    <row r="1114" spans="13:24" x14ac:dyDescent="0.25">
      <c r="M1114" s="91">
        <v>11.11</v>
      </c>
      <c r="N1114" s="89">
        <f t="shared" si="153"/>
        <v>2.8900000000000006</v>
      </c>
      <c r="O1114" s="89">
        <f t="shared" si="154"/>
        <v>9.710000846805924</v>
      </c>
      <c r="P1114" s="97">
        <f t="shared" si="155"/>
        <v>4.0000008468059249</v>
      </c>
      <c r="Q1114" s="135">
        <f t="shared" si="158"/>
        <v>1.9498407978714909E-10</v>
      </c>
      <c r="R1114" s="89">
        <f t="shared" si="158"/>
        <v>9.999980501592003E-5</v>
      </c>
      <c r="S1114" s="89">
        <f t="shared" si="159"/>
        <v>7.762471166286914E-12</v>
      </c>
      <c r="T1114" s="136">
        <f t="shared" si="159"/>
        <v>1.2882495516931317E-3</v>
      </c>
      <c r="U1114" s="137">
        <f t="shared" si="160"/>
        <v>1.9498407978714944E-6</v>
      </c>
      <c r="V1114" s="88">
        <f t="shared" si="156"/>
        <v>7.1099991531940745</v>
      </c>
      <c r="W1114" s="86">
        <f t="shared" si="161"/>
        <v>6.8200008468059234</v>
      </c>
      <c r="X1114" s="90">
        <f t="shared" si="157"/>
        <v>9.9980501592021286E-3</v>
      </c>
    </row>
    <row r="1115" spans="13:24" x14ac:dyDescent="0.25">
      <c r="M1115" s="91">
        <v>11.12</v>
      </c>
      <c r="N1115" s="89">
        <f t="shared" si="153"/>
        <v>2.8800000000000008</v>
      </c>
      <c r="O1115" s="89">
        <f t="shared" si="154"/>
        <v>9.7200008275302867</v>
      </c>
      <c r="P1115" s="97">
        <f t="shared" si="155"/>
        <v>4.000000827530287</v>
      </c>
      <c r="Q1115" s="135">
        <f t="shared" si="158"/>
        <v>1.9054570871896136E-10</v>
      </c>
      <c r="R1115" s="89">
        <f t="shared" si="158"/>
        <v>9.9999809454291101E-5</v>
      </c>
      <c r="S1115" s="89">
        <f t="shared" si="159"/>
        <v>7.585775750291834E-12</v>
      </c>
      <c r="T1115" s="136">
        <f t="shared" si="159"/>
        <v>1.3182567385564036E-3</v>
      </c>
      <c r="U1115" s="137">
        <f t="shared" si="160"/>
        <v>1.9054570871896171E-6</v>
      </c>
      <c r="V1115" s="88">
        <f t="shared" si="156"/>
        <v>7.1199991724697123</v>
      </c>
      <c r="W1115" s="86">
        <f t="shared" si="161"/>
        <v>6.8400008275302859</v>
      </c>
      <c r="X1115" s="90">
        <f t="shared" si="157"/>
        <v>9.998094542912811E-3</v>
      </c>
    </row>
    <row r="1116" spans="13:24" x14ac:dyDescent="0.25">
      <c r="M1116" s="91">
        <v>11.13</v>
      </c>
      <c r="N1116" s="89">
        <f t="shared" si="153"/>
        <v>2.8699999999999992</v>
      </c>
      <c r="O1116" s="89">
        <f t="shared" si="154"/>
        <v>9.7300008086934167</v>
      </c>
      <c r="P1116" s="97">
        <f t="shared" si="155"/>
        <v>4.0000008086934153</v>
      </c>
      <c r="Q1116" s="135">
        <f t="shared" si="158"/>
        <v>1.8620836693008102E-10</v>
      </c>
      <c r="R1116" s="89">
        <f t="shared" si="158"/>
        <v>9.9999813791632974E-5</v>
      </c>
      <c r="S1116" s="89">
        <f t="shared" si="159"/>
        <v>7.4131024130091464E-12</v>
      </c>
      <c r="T1116" s="136">
        <f t="shared" si="159"/>
        <v>1.3489628825916547E-3</v>
      </c>
      <c r="U1116" s="137">
        <f t="shared" si="160"/>
        <v>1.862083669300812E-6</v>
      </c>
      <c r="V1116" s="88">
        <f t="shared" si="156"/>
        <v>7.1299991913065854</v>
      </c>
      <c r="W1116" s="86">
        <f t="shared" si="161"/>
        <v>6.8600008086934174</v>
      </c>
      <c r="X1116" s="90">
        <f t="shared" si="157"/>
        <v>9.9981379163306995E-3</v>
      </c>
    </row>
    <row r="1117" spans="13:24" x14ac:dyDescent="0.25">
      <c r="M1117" s="91">
        <v>11.14</v>
      </c>
      <c r="N1117" s="89">
        <f t="shared" si="153"/>
        <v>2.8599999999999994</v>
      </c>
      <c r="O1117" s="89">
        <f t="shared" si="154"/>
        <v>9.7400007902853236</v>
      </c>
      <c r="P1117" s="97">
        <f t="shared" si="155"/>
        <v>4.0000007902853225</v>
      </c>
      <c r="Q1117" s="135">
        <f t="shared" si="158"/>
        <v>1.8196975473047877E-10</v>
      </c>
      <c r="R1117" s="89">
        <f t="shared" si="158"/>
        <v>9.9999818030245283E-5</v>
      </c>
      <c r="S1117" s="89">
        <f t="shared" si="159"/>
        <v>7.2443596007498734E-12</v>
      </c>
      <c r="T1117" s="136">
        <f t="shared" si="159"/>
        <v>1.3803842646028857E-3</v>
      </c>
      <c r="U1117" s="137">
        <f t="shared" si="160"/>
        <v>1.8196975473047875E-6</v>
      </c>
      <c r="V1117" s="88">
        <f t="shared" si="156"/>
        <v>7.1399992097146781</v>
      </c>
      <c r="W1117" s="86">
        <f t="shared" si="161"/>
        <v>6.8800007902853242</v>
      </c>
      <c r="X1117" s="90">
        <f t="shared" si="157"/>
        <v>9.9981803024526954E-3</v>
      </c>
    </row>
    <row r="1118" spans="13:24" x14ac:dyDescent="0.25">
      <c r="M1118" s="91">
        <v>11.15</v>
      </c>
      <c r="N1118" s="89">
        <f t="shared" si="153"/>
        <v>2.8499999999999996</v>
      </c>
      <c r="O1118" s="89">
        <f t="shared" si="154"/>
        <v>9.7500007722962501</v>
      </c>
      <c r="P1118" s="97">
        <f t="shared" si="155"/>
        <v>4.0000007722962483</v>
      </c>
      <c r="Q1118" s="135">
        <f t="shared" si="158"/>
        <v>1.778276247766878E-10</v>
      </c>
      <c r="R1118" s="89">
        <f t="shared" si="158"/>
        <v>9.9999822172375133E-5</v>
      </c>
      <c r="S1118" s="89">
        <f t="shared" si="159"/>
        <v>7.0794578438413538E-12</v>
      </c>
      <c r="T1118" s="136">
        <f t="shared" si="159"/>
        <v>1.4125375446227553E-3</v>
      </c>
      <c r="U1118" s="137">
        <f t="shared" si="160"/>
        <v>1.7782762477668796E-6</v>
      </c>
      <c r="V1118" s="88">
        <f t="shared" si="156"/>
        <v>7.1499992277037521</v>
      </c>
      <c r="W1118" s="86">
        <f t="shared" si="161"/>
        <v>6.9000007722962504</v>
      </c>
      <c r="X1118" s="90">
        <f t="shared" si="157"/>
        <v>9.9982217237522333E-3</v>
      </c>
    </row>
    <row r="1119" spans="13:24" x14ac:dyDescent="0.25">
      <c r="M1119" s="91">
        <v>11.16</v>
      </c>
      <c r="N1119" s="89">
        <f t="shared" si="153"/>
        <v>2.84</v>
      </c>
      <c r="O1119" s="89">
        <f t="shared" si="154"/>
        <v>9.7600007547166552</v>
      </c>
      <c r="P1119" s="97">
        <f t="shared" si="155"/>
        <v>4.0000007547166545</v>
      </c>
      <c r="Q1119" s="135">
        <f t="shared" si="158"/>
        <v>1.7377978088028969E-10</v>
      </c>
      <c r="R1119" s="89">
        <f t="shared" si="158"/>
        <v>9.9999826220219129E-5</v>
      </c>
      <c r="S1119" s="89">
        <f t="shared" si="159"/>
        <v>6.9183097091893405E-12</v>
      </c>
      <c r="T1119" s="136">
        <f t="shared" si="159"/>
        <v>1.4454397707459271E-3</v>
      </c>
      <c r="U1119" s="137">
        <f t="shared" si="160"/>
        <v>1.7377978088028968E-6</v>
      </c>
      <c r="V1119" s="88">
        <f t="shared" si="156"/>
        <v>7.1599992452833456</v>
      </c>
      <c r="W1119" s="86">
        <f t="shared" si="161"/>
        <v>6.9200007547166553</v>
      </c>
      <c r="X1119" s="90">
        <f t="shared" si="157"/>
        <v>9.9982622021911969E-3</v>
      </c>
    </row>
    <row r="1120" spans="13:24" x14ac:dyDescent="0.25">
      <c r="M1120" s="91">
        <v>11.17</v>
      </c>
      <c r="N1120" s="89">
        <f t="shared" si="153"/>
        <v>2.83</v>
      </c>
      <c r="O1120" s="89">
        <f t="shared" si="154"/>
        <v>9.7700007375372202</v>
      </c>
      <c r="P1120" s="97">
        <f t="shared" si="155"/>
        <v>4.0000007375372206</v>
      </c>
      <c r="Q1120" s="135">
        <f t="shared" si="158"/>
        <v>1.6982407684351383E-10</v>
      </c>
      <c r="R1120" s="89">
        <f t="shared" si="158"/>
        <v>9.9999830175923112E-5</v>
      </c>
      <c r="S1120" s="89">
        <f t="shared" si="159"/>
        <v>6.7608297539197943E-12</v>
      </c>
      <c r="T1120" s="136">
        <f t="shared" si="159"/>
        <v>1.4791083881682066E-3</v>
      </c>
      <c r="U1120" s="137">
        <f t="shared" si="160"/>
        <v>1.698240768435139E-6</v>
      </c>
      <c r="V1120" s="88">
        <f t="shared" si="156"/>
        <v>7.1699992624627793</v>
      </c>
      <c r="W1120" s="86">
        <f t="shared" si="161"/>
        <v>6.9400007375372201</v>
      </c>
      <c r="X1120" s="90">
        <f t="shared" si="157"/>
        <v>9.9983017592315659E-3</v>
      </c>
    </row>
    <row r="1121" spans="13:24" x14ac:dyDescent="0.25">
      <c r="M1121" s="91">
        <v>11.18</v>
      </c>
      <c r="N1121" s="89">
        <f t="shared" si="153"/>
        <v>2.8200000000000003</v>
      </c>
      <c r="O1121" s="89">
        <f t="shared" si="154"/>
        <v>9.7800007207488378</v>
      </c>
      <c r="P1121" s="97">
        <f t="shared" si="155"/>
        <v>4.0000007207488384</v>
      </c>
      <c r="Q1121" s="135">
        <f t="shared" si="158"/>
        <v>1.659584153213427E-10</v>
      </c>
      <c r="R1121" s="89">
        <f t="shared" si="158"/>
        <v>9.9999834041584592E-5</v>
      </c>
      <c r="S1121" s="89">
        <f t="shared" si="159"/>
        <v>6.6069344800759387E-12</v>
      </c>
      <c r="T1121" s="136">
        <f t="shared" si="159"/>
        <v>1.5135612484362059E-3</v>
      </c>
      <c r="U1121" s="137">
        <f t="shared" si="160"/>
        <v>1.6595841532134286E-6</v>
      </c>
      <c r="V1121" s="88">
        <f t="shared" si="156"/>
        <v>7.1799992792511613</v>
      </c>
      <c r="W1121" s="86">
        <f t="shared" si="161"/>
        <v>6.9600007207488375</v>
      </c>
      <c r="X1121" s="90">
        <f t="shared" si="157"/>
        <v>9.9983404158467872E-3</v>
      </c>
    </row>
    <row r="1122" spans="13:24" x14ac:dyDescent="0.25">
      <c r="M1122" s="91">
        <v>11.19</v>
      </c>
      <c r="N1122" s="89">
        <f t="shared" si="153"/>
        <v>2.8100000000000005</v>
      </c>
      <c r="O1122" s="89">
        <f t="shared" si="154"/>
        <v>9.7900007043426047</v>
      </c>
      <c r="P1122" s="97">
        <f t="shared" si="155"/>
        <v>4.0000007043426047</v>
      </c>
      <c r="Q1122" s="135">
        <f t="shared" si="158"/>
        <v>1.6218074670952012E-10</v>
      </c>
      <c r="R1122" s="89">
        <f t="shared" si="158"/>
        <v>9.9999837819253281E-5</v>
      </c>
      <c r="S1122" s="89">
        <f t="shared" si="159"/>
        <v>6.4565422903465579E-12</v>
      </c>
      <c r="T1122" s="136">
        <f t="shared" si="159"/>
        <v>1.5488166189124789E-3</v>
      </c>
      <c r="U1122" s="137">
        <f t="shared" si="160"/>
        <v>1.6218074670952014E-6</v>
      </c>
      <c r="V1122" s="88">
        <f t="shared" si="156"/>
        <v>7.1899992956573948</v>
      </c>
      <c r="W1122" s="86">
        <f t="shared" si="161"/>
        <v>6.9800007043426042</v>
      </c>
      <c r="X1122" s="90">
        <f t="shared" si="157"/>
        <v>9.998378192532905E-3</v>
      </c>
    </row>
    <row r="1123" spans="13:24" x14ac:dyDescent="0.25">
      <c r="M1123" s="91">
        <v>11.2</v>
      </c>
      <c r="N1123" s="89">
        <f t="shared" si="153"/>
        <v>2.8000000000000007</v>
      </c>
      <c r="O1123" s="89">
        <f t="shared" si="154"/>
        <v>9.8000006883098223</v>
      </c>
      <c r="P1123" s="97">
        <f t="shared" si="155"/>
        <v>4.0000006883098225</v>
      </c>
      <c r="Q1123" s="135">
        <f t="shared" si="158"/>
        <v>1.584890680578659E-10</v>
      </c>
      <c r="R1123" s="89">
        <f t="shared" si="158"/>
        <v>9.9999841510931822E-5</v>
      </c>
      <c r="S1123" s="89">
        <f t="shared" si="159"/>
        <v>6.3095734448019345E-12</v>
      </c>
      <c r="T1123" s="136">
        <f t="shared" si="159"/>
        <v>1.5848931924611095E-3</v>
      </c>
      <c r="U1123" s="137">
        <f t="shared" si="160"/>
        <v>1.5848906805786609E-6</v>
      </c>
      <c r="V1123" s="88">
        <f t="shared" si="156"/>
        <v>7.1999993116901768</v>
      </c>
      <c r="W1123" s="86">
        <f t="shared" si="161"/>
        <v>7.0000006883098216</v>
      </c>
      <c r="X1123" s="90">
        <f t="shared" si="157"/>
        <v>9.9984151093194217E-3</v>
      </c>
    </row>
    <row r="1124" spans="13:24" x14ac:dyDescent="0.25">
      <c r="M1124" s="91">
        <v>11.21</v>
      </c>
      <c r="N1124" s="89">
        <f t="shared" si="153"/>
        <v>2.7899999999999991</v>
      </c>
      <c r="O1124" s="89">
        <f t="shared" si="154"/>
        <v>9.8100006726419906</v>
      </c>
      <c r="P1124" s="97">
        <f t="shared" si="155"/>
        <v>4.0000006726419901</v>
      </c>
      <c r="Q1124" s="135">
        <f t="shared" si="158"/>
        <v>1.548814220083275E-10</v>
      </c>
      <c r="R1124" s="89">
        <f t="shared" si="158"/>
        <v>9.9999845118577959E-5</v>
      </c>
      <c r="S1124" s="89">
        <f t="shared" si="159"/>
        <v>6.1659500186148026E-12</v>
      </c>
      <c r="T1124" s="136">
        <f t="shared" si="159"/>
        <v>1.621810097358933E-3</v>
      </c>
      <c r="U1124" s="137">
        <f t="shared" si="160"/>
        <v>1.5488142200832756E-6</v>
      </c>
      <c r="V1124" s="88">
        <f t="shared" si="156"/>
        <v>7.2099993273580107</v>
      </c>
      <c r="W1124" s="86">
        <f t="shared" si="161"/>
        <v>7.0200006726419915</v>
      </c>
      <c r="X1124" s="90">
        <f t="shared" si="157"/>
        <v>9.9984511857799177E-3</v>
      </c>
    </row>
    <row r="1125" spans="13:24" x14ac:dyDescent="0.25">
      <c r="M1125" s="91">
        <v>11.22</v>
      </c>
      <c r="N1125" s="89">
        <f t="shared" si="153"/>
        <v>2.7799999999999994</v>
      </c>
      <c r="O1125" s="89">
        <f t="shared" si="154"/>
        <v>9.8200006573308016</v>
      </c>
      <c r="P1125" s="97">
        <f t="shared" si="155"/>
        <v>4.0000006573308005</v>
      </c>
      <c r="Q1125" s="135">
        <f t="shared" si="158"/>
        <v>1.5135589575720183E-10</v>
      </c>
      <c r="R1125" s="89">
        <f t="shared" si="158"/>
        <v>9.9999848644104238E-5</v>
      </c>
      <c r="S1125" s="89">
        <f t="shared" si="159"/>
        <v>6.0255958607435596E-12</v>
      </c>
      <c r="T1125" s="136">
        <f t="shared" si="159"/>
        <v>1.6595869074375619E-3</v>
      </c>
      <c r="U1125" s="137">
        <f t="shared" si="160"/>
        <v>1.5135589575720184E-6</v>
      </c>
      <c r="V1125" s="88">
        <f t="shared" si="156"/>
        <v>7.2199993426692002</v>
      </c>
      <c r="W1125" s="86">
        <f t="shared" si="161"/>
        <v>7.0400006573308023</v>
      </c>
      <c r="X1125" s="90">
        <f t="shared" si="157"/>
        <v>9.9984864410424274E-3</v>
      </c>
    </row>
    <row r="1126" spans="13:24" x14ac:dyDescent="0.25">
      <c r="M1126" s="91">
        <v>11.23</v>
      </c>
      <c r="N1126" s="89">
        <f t="shared" si="153"/>
        <v>2.7699999999999996</v>
      </c>
      <c r="O1126" s="89">
        <f t="shared" si="154"/>
        <v>9.8300006423681374</v>
      </c>
      <c r="P1126" s="97">
        <f t="shared" si="155"/>
        <v>4.0000006423681365</v>
      </c>
      <c r="Q1126" s="135">
        <f t="shared" si="158"/>
        <v>1.4791062004098122E-10</v>
      </c>
      <c r="R1126" s="89">
        <f t="shared" si="158"/>
        <v>9.999985208937977E-5</v>
      </c>
      <c r="S1126" s="89">
        <f t="shared" si="159"/>
        <v>5.8884365535558725E-12</v>
      </c>
      <c r="T1126" s="136">
        <f t="shared" si="159"/>
        <v>1.6982436524617455E-3</v>
      </c>
      <c r="U1126" s="137">
        <f t="shared" si="160"/>
        <v>1.4791062004098149E-6</v>
      </c>
      <c r="V1126" s="88">
        <f t="shared" si="156"/>
        <v>7.229999357631864</v>
      </c>
      <c r="W1126" s="86">
        <f t="shared" si="161"/>
        <v>7.0600006423681378</v>
      </c>
      <c r="X1126" s="90">
        <f t="shared" si="157"/>
        <v>9.9985208937995902E-3</v>
      </c>
    </row>
    <row r="1127" spans="13:24" x14ac:dyDescent="0.25">
      <c r="M1127" s="91">
        <v>11.24</v>
      </c>
      <c r="N1127" s="89">
        <f t="shared" si="153"/>
        <v>2.76</v>
      </c>
      <c r="O1127" s="89">
        <f t="shared" si="154"/>
        <v>9.840000627746063</v>
      </c>
      <c r="P1127" s="97">
        <f t="shared" si="155"/>
        <v>4.0000006277460622</v>
      </c>
      <c r="Q1127" s="135">
        <f t="shared" si="158"/>
        <v>1.4454376814528128E-10</v>
      </c>
      <c r="R1127" s="89">
        <f t="shared" si="158"/>
        <v>9.9999855456231855E-5</v>
      </c>
      <c r="S1127" s="89">
        <f t="shared" si="159"/>
        <v>5.7543993733715538E-12</v>
      </c>
      <c r="T1127" s="136">
        <f t="shared" si="159"/>
        <v>1.737800828749375E-3</v>
      </c>
      <c r="U1127" s="137">
        <f t="shared" si="160"/>
        <v>1.4454376814528128E-6</v>
      </c>
      <c r="V1127" s="88">
        <f t="shared" si="156"/>
        <v>7.239999372253938</v>
      </c>
      <c r="W1127" s="86">
        <f t="shared" si="161"/>
        <v>7.0800006277460632</v>
      </c>
      <c r="X1127" s="90">
        <f t="shared" si="157"/>
        <v>9.9985545623185474E-3</v>
      </c>
    </row>
    <row r="1128" spans="13:24" x14ac:dyDescent="0.25">
      <c r="M1128" s="91">
        <v>11.25</v>
      </c>
      <c r="N1128" s="89">
        <f t="shared" si="153"/>
        <v>2.75</v>
      </c>
      <c r="O1128" s="89">
        <f t="shared" si="154"/>
        <v>9.8500006134568281</v>
      </c>
      <c r="P1128" s="97">
        <f t="shared" si="155"/>
        <v>4.0000006134568276</v>
      </c>
      <c r="Q1128" s="135">
        <f t="shared" si="158"/>
        <v>1.4125355493632536E-10</v>
      </c>
      <c r="R1128" s="89">
        <f t="shared" si="158"/>
        <v>9.999985874644505E-5</v>
      </c>
      <c r="S1128" s="89">
        <f t="shared" si="159"/>
        <v>5.6234132519034759E-12</v>
      </c>
      <c r="T1128" s="136">
        <f t="shared" si="159"/>
        <v>1.7782794100389223E-3</v>
      </c>
      <c r="U1128" s="137">
        <f t="shared" si="160"/>
        <v>1.4125355493632538E-6</v>
      </c>
      <c r="V1128" s="88">
        <f t="shared" si="156"/>
        <v>7.2499993865431724</v>
      </c>
      <c r="W1128" s="86">
        <f t="shared" si="161"/>
        <v>7.1000006134568281</v>
      </c>
      <c r="X1128" s="90">
        <f t="shared" si="157"/>
        <v>9.9985874644506374E-3</v>
      </c>
    </row>
    <row r="1129" spans="13:24" x14ac:dyDescent="0.25">
      <c r="M1129" s="91">
        <v>11.26</v>
      </c>
      <c r="N1129" s="89">
        <f t="shared" si="153"/>
        <v>2.74</v>
      </c>
      <c r="O1129" s="89">
        <f t="shared" si="154"/>
        <v>9.8600005994928548</v>
      </c>
      <c r="P1129" s="97">
        <f t="shared" si="155"/>
        <v>4.0000005994928554</v>
      </c>
      <c r="Q1129" s="135">
        <f t="shared" si="158"/>
        <v>1.3803823591447975E-10</v>
      </c>
      <c r="R1129" s="89">
        <f t="shared" si="158"/>
        <v>9.9999861961764025E-5</v>
      </c>
      <c r="S1129" s="89">
        <f t="shared" si="159"/>
        <v>5.4954087385762314E-12</v>
      </c>
      <c r="T1129" s="136">
        <f t="shared" si="159"/>
        <v>1.8197008586099809E-3</v>
      </c>
      <c r="U1129" s="137">
        <f t="shared" si="160"/>
        <v>1.3803823591447984E-6</v>
      </c>
      <c r="V1129" s="88">
        <f t="shared" si="156"/>
        <v>7.2599994005071444</v>
      </c>
      <c r="W1129" s="86">
        <f t="shared" si="161"/>
        <v>7.1200005994928546</v>
      </c>
      <c r="X1129" s="90">
        <f t="shared" si="157"/>
        <v>9.9986196176408554E-3</v>
      </c>
    </row>
    <row r="1130" spans="13:24" x14ac:dyDescent="0.25">
      <c r="M1130" s="91">
        <v>11.27</v>
      </c>
      <c r="N1130" s="89">
        <f t="shared" si="153"/>
        <v>2.7300000000000004</v>
      </c>
      <c r="O1130" s="89">
        <f t="shared" si="154"/>
        <v>9.870000585846741</v>
      </c>
      <c r="P1130" s="97">
        <f t="shared" si="155"/>
        <v>4.0000005858467409</v>
      </c>
      <c r="Q1130" s="135">
        <f t="shared" si="158"/>
        <v>1.348961062893247E-10</v>
      </c>
      <c r="R1130" s="89">
        <f t="shared" si="158"/>
        <v>9.9999865103893567E-5</v>
      </c>
      <c r="S1130" s="89">
        <f t="shared" si="159"/>
        <v>5.3703179637025143E-12</v>
      </c>
      <c r="T1130" s="136">
        <f t="shared" si="159"/>
        <v>1.862087136662865E-3</v>
      </c>
      <c r="U1130" s="137">
        <f t="shared" si="160"/>
        <v>1.3489610628932489E-6</v>
      </c>
      <c r="V1130" s="88">
        <f t="shared" si="156"/>
        <v>7.2699994141532587</v>
      </c>
      <c r="W1130" s="86">
        <f t="shared" si="161"/>
        <v>7.1400005858467406</v>
      </c>
      <c r="X1130" s="90">
        <f t="shared" si="157"/>
        <v>9.9986510389371078E-3</v>
      </c>
    </row>
    <row r="1131" spans="13:24" x14ac:dyDescent="0.25">
      <c r="M1131" s="91">
        <v>11.28</v>
      </c>
      <c r="N1131" s="89">
        <f t="shared" si="153"/>
        <v>2.7200000000000006</v>
      </c>
      <c r="O1131" s="89">
        <f t="shared" si="154"/>
        <v>9.8800005725112499</v>
      </c>
      <c r="P1131" s="97">
        <f t="shared" si="155"/>
        <v>4.00000057251125</v>
      </c>
      <c r="Q1131" s="135">
        <f t="shared" si="158"/>
        <v>1.3182550007578682E-10</v>
      </c>
      <c r="R1131" s="89">
        <f t="shared" si="158"/>
        <v>9.9999868174499904E-5</v>
      </c>
      <c r="S1131" s="89">
        <f t="shared" si="159"/>
        <v>5.2480746024977136E-12</v>
      </c>
      <c r="T1131" s="136">
        <f t="shared" si="159"/>
        <v>1.9054607179632428E-3</v>
      </c>
      <c r="U1131" s="137">
        <f t="shared" si="160"/>
        <v>1.3182550007578685E-6</v>
      </c>
      <c r="V1131" s="88">
        <f t="shared" si="156"/>
        <v>7.2799994274887494</v>
      </c>
      <c r="W1131" s="86">
        <f t="shared" si="161"/>
        <v>7.1600005725112492</v>
      </c>
      <c r="X1131" s="90">
        <f t="shared" si="157"/>
        <v>9.9986817449992417E-3</v>
      </c>
    </row>
    <row r="1132" spans="13:24" x14ac:dyDescent="0.25">
      <c r="M1132" s="91">
        <v>11.29</v>
      </c>
      <c r="N1132" s="89">
        <f t="shared" si="153"/>
        <v>2.7100000000000009</v>
      </c>
      <c r="O1132" s="89">
        <f t="shared" si="154"/>
        <v>9.8900005594793114</v>
      </c>
      <c r="P1132" s="97">
        <f t="shared" si="155"/>
        <v>4.0000005594793109</v>
      </c>
      <c r="Q1132" s="135">
        <f t="shared" si="158"/>
        <v>1.2882478921083626E-10</v>
      </c>
      <c r="R1132" s="89">
        <f t="shared" si="158"/>
        <v>9.9999871175210695E-5</v>
      </c>
      <c r="S1132" s="89">
        <f t="shared" si="159"/>
        <v>5.128613839913655E-12</v>
      </c>
      <c r="T1132" s="136">
        <f t="shared" si="159"/>
        <v>1.9498445997580402E-3</v>
      </c>
      <c r="U1132" s="137">
        <f t="shared" si="160"/>
        <v>1.2882478921083638E-6</v>
      </c>
      <c r="V1132" s="88">
        <f t="shared" si="156"/>
        <v>7.2899994405206883</v>
      </c>
      <c r="W1132" s="86">
        <f t="shared" si="161"/>
        <v>7.1800005594793106</v>
      </c>
      <c r="X1132" s="90">
        <f t="shared" si="157"/>
        <v>9.998711752107892E-3</v>
      </c>
    </row>
    <row r="1133" spans="13:24" x14ac:dyDescent="0.25">
      <c r="M1133" s="91">
        <v>11.3</v>
      </c>
      <c r="N1133" s="89">
        <f t="shared" si="153"/>
        <v>2.6999999999999993</v>
      </c>
      <c r="O1133" s="89">
        <f t="shared" si="154"/>
        <v>9.9000005467440158</v>
      </c>
      <c r="P1133" s="97">
        <f t="shared" si="155"/>
        <v>4.0000005467440154</v>
      </c>
      <c r="Q1133" s="135">
        <f t="shared" si="158"/>
        <v>1.2589238269029678E-10</v>
      </c>
      <c r="R1133" s="89">
        <f t="shared" si="158"/>
        <v>9.9999874107617196E-5</v>
      </c>
      <c r="S1133" s="89">
        <f t="shared" si="159"/>
        <v>5.0118723362726945E-12</v>
      </c>
      <c r="T1133" s="136">
        <f t="shared" si="159"/>
        <v>1.9952623149688815E-3</v>
      </c>
      <c r="U1133" s="137">
        <f t="shared" si="160"/>
        <v>1.2589238269029693E-6</v>
      </c>
      <c r="V1133" s="88">
        <f t="shared" si="156"/>
        <v>7.2999994532559853</v>
      </c>
      <c r="W1133" s="86">
        <f t="shared" si="161"/>
        <v>7.2000005467440165</v>
      </c>
      <c r="X1133" s="90">
        <f t="shared" si="157"/>
        <v>9.9987410761730976E-3</v>
      </c>
    </row>
    <row r="1134" spans="13:24" x14ac:dyDescent="0.25">
      <c r="M1134" s="91">
        <v>11.31</v>
      </c>
      <c r="N1134" s="89">
        <f t="shared" si="153"/>
        <v>2.6899999999999995</v>
      </c>
      <c r="O1134" s="89">
        <f t="shared" si="154"/>
        <v>9.9100005342986108</v>
      </c>
      <c r="P1134" s="97">
        <f t="shared" si="155"/>
        <v>4.0000005342986098</v>
      </c>
      <c r="Q1134" s="135">
        <f t="shared" si="158"/>
        <v>1.2302672572529877E-10</v>
      </c>
      <c r="R1134" s="89">
        <f t="shared" si="158"/>
        <v>9.9999876973274222E-5</v>
      </c>
      <c r="S1134" s="89">
        <f t="shared" si="159"/>
        <v>4.8977881936844518E-12</v>
      </c>
      <c r="T1134" s="136">
        <f t="shared" si="159"/>
        <v>2.041737944669531E-3</v>
      </c>
      <c r="U1134" s="137">
        <f t="shared" si="160"/>
        <v>1.2302672572529882E-6</v>
      </c>
      <c r="V1134" s="88">
        <f t="shared" si="156"/>
        <v>7.3099994657013907</v>
      </c>
      <c r="W1134" s="86">
        <f t="shared" si="161"/>
        <v>7.2200005342986113</v>
      </c>
      <c r="X1134" s="90">
        <f t="shared" si="157"/>
        <v>9.9987697327427478E-3</v>
      </c>
    </row>
    <row r="1135" spans="13:24" x14ac:dyDescent="0.25">
      <c r="M1135" s="91">
        <v>11.32</v>
      </c>
      <c r="N1135" s="89">
        <f t="shared" si="153"/>
        <v>2.6799999999999997</v>
      </c>
      <c r="O1135" s="89">
        <f t="shared" si="154"/>
        <v>9.9200005221364957</v>
      </c>
      <c r="P1135" s="97">
        <f t="shared" si="155"/>
        <v>4.0000005221364958</v>
      </c>
      <c r="Q1135" s="135">
        <f t="shared" si="158"/>
        <v>1.2022629891793755E-10</v>
      </c>
      <c r="R1135" s="89">
        <f t="shared" si="158"/>
        <v>9.9999879773700928E-5</v>
      </c>
      <c r="S1135" s="89">
        <f t="shared" si="159"/>
        <v>4.7863009232263738E-12</v>
      </c>
      <c r="T1135" s="136">
        <f t="shared" si="159"/>
        <v>2.089296130854039E-3</v>
      </c>
      <c r="U1135" s="137">
        <f t="shared" si="160"/>
        <v>1.2022629891793774E-6</v>
      </c>
      <c r="V1135" s="88">
        <f t="shared" si="156"/>
        <v>7.3199994778635045</v>
      </c>
      <c r="W1135" s="86">
        <f t="shared" si="161"/>
        <v>7.240000522136496</v>
      </c>
      <c r="X1135" s="90">
        <f t="shared" si="157"/>
        <v>9.9987977370108207E-3</v>
      </c>
    </row>
    <row r="1136" spans="13:24" x14ac:dyDescent="0.25">
      <c r="M1136" s="91">
        <v>11.33</v>
      </c>
      <c r="N1136" s="89">
        <f t="shared" si="153"/>
        <v>2.67</v>
      </c>
      <c r="O1136" s="89">
        <f t="shared" si="154"/>
        <v>9.9300005102512259</v>
      </c>
      <c r="P1136" s="97">
        <f t="shared" si="155"/>
        <v>4.0000005102512253</v>
      </c>
      <c r="Q1136" s="135">
        <f t="shared" si="158"/>
        <v>1.174896174556884E-10</v>
      </c>
      <c r="R1136" s="89">
        <f t="shared" si="158"/>
        <v>9.9999882510382496E-5</v>
      </c>
      <c r="S1136" s="89">
        <f t="shared" si="159"/>
        <v>4.6773514128719737E-12</v>
      </c>
      <c r="T1136" s="136">
        <f t="shared" si="159"/>
        <v>2.1379620895022318E-3</v>
      </c>
      <c r="U1136" s="137">
        <f t="shared" si="160"/>
        <v>1.1748961745568846E-6</v>
      </c>
      <c r="V1136" s="88">
        <f t="shared" si="156"/>
        <v>7.3299994897487748</v>
      </c>
      <c r="W1136" s="86">
        <f t="shared" si="161"/>
        <v>7.2600005102512259</v>
      </c>
      <c r="X1136" s="90">
        <f t="shared" si="157"/>
        <v>9.9988251038254441E-3</v>
      </c>
    </row>
    <row r="1137" spans="13:24" x14ac:dyDescent="0.25">
      <c r="M1137" s="91">
        <v>11.34</v>
      </c>
      <c r="N1137" s="89">
        <f t="shared" si="153"/>
        <v>2.66</v>
      </c>
      <c r="O1137" s="89">
        <f t="shared" si="154"/>
        <v>9.9400004986364952</v>
      </c>
      <c r="P1137" s="97">
        <f t="shared" si="155"/>
        <v>4.0000004986364956</v>
      </c>
      <c r="Q1137" s="135">
        <f t="shared" si="158"/>
        <v>1.148152303241658E-10</v>
      </c>
      <c r="R1137" s="89">
        <f t="shared" si="158"/>
        <v>9.9999885184769711E-5</v>
      </c>
      <c r="S1137" s="89">
        <f t="shared" si="159"/>
        <v>4.5708818961487419E-12</v>
      </c>
      <c r="T1137" s="136">
        <f t="shared" si="159"/>
        <v>2.1877616239495499E-3</v>
      </c>
      <c r="U1137" s="137">
        <f t="shared" si="160"/>
        <v>1.1481523032416576E-6</v>
      </c>
      <c r="V1137" s="88">
        <f t="shared" si="156"/>
        <v>7.3399995013635042</v>
      </c>
      <c r="W1137" s="86">
        <f t="shared" si="161"/>
        <v>7.280000498636495</v>
      </c>
      <c r="X1137" s="90">
        <f t="shared" si="157"/>
        <v>9.9988518476967578E-3</v>
      </c>
    </row>
    <row r="1138" spans="13:24" x14ac:dyDescent="0.25">
      <c r="M1138" s="91">
        <v>11.35</v>
      </c>
      <c r="N1138" s="89">
        <f t="shared" si="153"/>
        <v>2.6500000000000004</v>
      </c>
      <c r="O1138" s="89">
        <f t="shared" si="154"/>
        <v>9.9500004872861503</v>
      </c>
      <c r="P1138" s="97">
        <f t="shared" si="155"/>
        <v>4.0000004872861501</v>
      </c>
      <c r="Q1138" s="135">
        <f t="shared" si="158"/>
        <v>1.1220171953779596E-10</v>
      </c>
      <c r="R1138" s="89">
        <f t="shared" si="158"/>
        <v>9.999988779828041E-5</v>
      </c>
      <c r="S1138" s="89">
        <f t="shared" si="159"/>
        <v>4.4668359215096234E-12</v>
      </c>
      <c r="T1138" s="136">
        <f t="shared" si="159"/>
        <v>2.2387211385683369E-3</v>
      </c>
      <c r="U1138" s="137">
        <f t="shared" si="160"/>
        <v>1.1220171953779601E-6</v>
      </c>
      <c r="V1138" s="88">
        <f t="shared" si="156"/>
        <v>7.3499995127138495</v>
      </c>
      <c r="W1138" s="86">
        <f t="shared" si="161"/>
        <v>7.3000004872861499</v>
      </c>
      <c r="X1138" s="90">
        <f t="shared" si="157"/>
        <v>9.9988779828046222E-3</v>
      </c>
    </row>
    <row r="1139" spans="13:24" x14ac:dyDescent="0.25">
      <c r="M1139" s="91">
        <v>11.36</v>
      </c>
      <c r="N1139" s="89">
        <f t="shared" si="153"/>
        <v>2.6400000000000006</v>
      </c>
      <c r="O1139" s="89">
        <f t="shared" si="154"/>
        <v>9.9600004761941694</v>
      </c>
      <c r="P1139" s="97">
        <f t="shared" si="155"/>
        <v>4.0000004761941694</v>
      </c>
      <c r="Q1139" s="135">
        <f t="shared" si="158"/>
        <v>1.0964769938800659E-10</v>
      </c>
      <c r="R1139" s="89">
        <f t="shared" si="158"/>
        <v>9.9999890352300366E-5</v>
      </c>
      <c r="S1139" s="89">
        <f t="shared" si="159"/>
        <v>4.3651583224016522E-12</v>
      </c>
      <c r="T1139" s="136">
        <f t="shared" si="159"/>
        <v>2.290867652767768E-3</v>
      </c>
      <c r="U1139" s="137">
        <f t="shared" si="160"/>
        <v>1.0964769938800686E-6</v>
      </c>
      <c r="V1139" s="88">
        <f t="shared" si="156"/>
        <v>7.35999952380583</v>
      </c>
      <c r="W1139" s="86">
        <f t="shared" si="161"/>
        <v>7.3200004761941688</v>
      </c>
      <c r="X1139" s="90">
        <f t="shared" si="157"/>
        <v>9.9989035230061193E-3</v>
      </c>
    </row>
    <row r="1140" spans="13:24" x14ac:dyDescent="0.25">
      <c r="M1140" s="91">
        <v>11.37</v>
      </c>
      <c r="N1140" s="89">
        <f t="shared" si="153"/>
        <v>2.6300000000000008</v>
      </c>
      <c r="O1140" s="89">
        <f t="shared" si="154"/>
        <v>9.970000465354671</v>
      </c>
      <c r="P1140" s="97">
        <f t="shared" si="155"/>
        <v>4.0000004653546721</v>
      </c>
      <c r="Q1140" s="135">
        <f t="shared" si="158"/>
        <v>1.0715181570852142E-10</v>
      </c>
      <c r="R1140" s="89">
        <f t="shared" si="158"/>
        <v>9.9999892848184169E-5</v>
      </c>
      <c r="S1140" s="89">
        <f t="shared" si="159"/>
        <v>4.2657951880159207E-12</v>
      </c>
      <c r="T1140" s="136">
        <f t="shared" si="159"/>
        <v>2.3442288153199165E-3</v>
      </c>
      <c r="U1140" s="137">
        <f t="shared" si="160"/>
        <v>1.0715181570852155E-6</v>
      </c>
      <c r="V1140" s="88">
        <f t="shared" si="156"/>
        <v>7.3699995346453271</v>
      </c>
      <c r="W1140" s="86">
        <f t="shared" si="161"/>
        <v>7.3400004653546702</v>
      </c>
      <c r="X1140" s="90">
        <f t="shared" si="157"/>
        <v>9.9989284818429152E-3</v>
      </c>
    </row>
    <row r="1141" spans="13:24" x14ac:dyDescent="0.25">
      <c r="M1141" s="91">
        <v>11.38</v>
      </c>
      <c r="N1141" s="89">
        <f t="shared" si="153"/>
        <v>2.6199999999999992</v>
      </c>
      <c r="O1141" s="89">
        <f t="shared" si="154"/>
        <v>9.9800004547619121</v>
      </c>
      <c r="P1141" s="97">
        <f t="shared" si="155"/>
        <v>4.0000004547619126</v>
      </c>
      <c r="Q1141" s="135">
        <f t="shared" si="158"/>
        <v>1.0471274515738486E-10</v>
      </c>
      <c r="R1141" s="89">
        <f t="shared" si="158"/>
        <v>9.9999895287254708E-5</v>
      </c>
      <c r="S1141" s="89">
        <f t="shared" si="159"/>
        <v>4.1686938347033333E-12</v>
      </c>
      <c r="T1141" s="136">
        <f t="shared" si="159"/>
        <v>2.3988329190194929E-3</v>
      </c>
      <c r="U1141" s="137">
        <f t="shared" si="160"/>
        <v>1.04712745157385E-6</v>
      </c>
      <c r="V1141" s="88">
        <f t="shared" si="156"/>
        <v>7.3799995452380882</v>
      </c>
      <c r="W1141" s="86">
        <f t="shared" si="161"/>
        <v>7.3600004547619129</v>
      </c>
      <c r="X1141" s="90">
        <f t="shared" si="157"/>
        <v>9.9989528725484261E-3</v>
      </c>
    </row>
    <row r="1142" spans="13:24" x14ac:dyDescent="0.25">
      <c r="M1142" s="91">
        <v>11.39</v>
      </c>
      <c r="N1142" s="89">
        <f t="shared" si="153"/>
        <v>2.6099999999999994</v>
      </c>
      <c r="O1142" s="89">
        <f t="shared" si="154"/>
        <v>9.9900004444102724</v>
      </c>
      <c r="P1142" s="97">
        <f t="shared" si="155"/>
        <v>4.0000004444102721</v>
      </c>
      <c r="Q1142" s="135">
        <f t="shared" si="158"/>
        <v>1.0232919451532764E-10</v>
      </c>
      <c r="R1142" s="89">
        <f t="shared" si="158"/>
        <v>9.9999897670805503E-5</v>
      </c>
      <c r="S1142" s="89">
        <f t="shared" si="159"/>
        <v>4.0738027780411076E-12</v>
      </c>
      <c r="T1142" s="136">
        <f t="shared" si="159"/>
        <v>2.4547089156850329E-3</v>
      </c>
      <c r="U1142" s="137">
        <f t="shared" si="160"/>
        <v>1.0232919451532762E-6</v>
      </c>
      <c r="V1142" s="88">
        <f t="shared" si="156"/>
        <v>7.3899995555897284</v>
      </c>
      <c r="W1142" s="86">
        <f t="shared" si="161"/>
        <v>7.3800004444102729</v>
      </c>
      <c r="X1142" s="90">
        <f t="shared" si="157"/>
        <v>9.9989767080548471E-3</v>
      </c>
    </row>
    <row r="1143" spans="13:24" x14ac:dyDescent="0.25">
      <c r="M1143" s="91">
        <v>11.4</v>
      </c>
      <c r="N1143" s="89">
        <f t="shared" si="153"/>
        <v>2.5999999999999996</v>
      </c>
      <c r="O1143" s="89">
        <f t="shared" si="154"/>
        <v>10.000000434294265</v>
      </c>
      <c r="P1143" s="97">
        <f t="shared" si="155"/>
        <v>4.0000004342942646</v>
      </c>
      <c r="Q1143" s="135">
        <f t="shared" si="158"/>
        <v>9.9999900000099944E-11</v>
      </c>
      <c r="R1143" s="89">
        <f t="shared" si="158"/>
        <v>9.9999900000099907E-5</v>
      </c>
      <c r="S1143" s="89">
        <f t="shared" si="159"/>
        <v>3.9810717055349533E-12</v>
      </c>
      <c r="T1143" s="136">
        <f t="shared" si="159"/>
        <v>2.5118864315095799E-3</v>
      </c>
      <c r="U1143" s="137">
        <f t="shared" si="160"/>
        <v>9.9999900000100027E-7</v>
      </c>
      <c r="V1143" s="88">
        <f t="shared" si="156"/>
        <v>7.3999995657057358</v>
      </c>
      <c r="W1143" s="86">
        <f t="shared" si="161"/>
        <v>7.4000004342942649</v>
      </c>
      <c r="X1143" s="90">
        <f t="shared" si="157"/>
        <v>9.9990000009999996E-3</v>
      </c>
    </row>
    <row r="1144" spans="13:24" x14ac:dyDescent="0.25">
      <c r="M1144" s="91">
        <v>11.41</v>
      </c>
      <c r="N1144" s="89">
        <f t="shared" si="153"/>
        <v>2.59</v>
      </c>
      <c r="O1144" s="89">
        <f t="shared" si="154"/>
        <v>10.010000424408526</v>
      </c>
      <c r="P1144" s="97">
        <f t="shared" si="155"/>
        <v>4.0000004244085252</v>
      </c>
      <c r="Q1144" s="135">
        <f t="shared" si="158"/>
        <v>9.7723626596415289E-11</v>
      </c>
      <c r="R1144" s="89">
        <f t="shared" si="158"/>
        <v>9.9999902276373356E-5</v>
      </c>
      <c r="S1144" s="89">
        <f t="shared" si="159"/>
        <v>3.890451449942802E-12</v>
      </c>
      <c r="T1144" s="136">
        <f t="shared" si="159"/>
        <v>2.5703957827688637E-3</v>
      </c>
      <c r="U1144" s="137">
        <f t="shared" si="160"/>
        <v>9.7723626596415334E-7</v>
      </c>
      <c r="V1144" s="88">
        <f t="shared" si="156"/>
        <v>7.4099995755914749</v>
      </c>
      <c r="W1144" s="86">
        <f t="shared" si="161"/>
        <v>7.420000424408526</v>
      </c>
      <c r="X1144" s="90">
        <f t="shared" si="157"/>
        <v>9.9990227637340359E-3</v>
      </c>
    </row>
    <row r="1145" spans="13:24" x14ac:dyDescent="0.25">
      <c r="M1145" s="91">
        <v>11.42</v>
      </c>
      <c r="N1145" s="89">
        <f t="shared" si="153"/>
        <v>2.58</v>
      </c>
      <c r="O1145" s="89">
        <f t="shared" si="154"/>
        <v>10.020000414747813</v>
      </c>
      <c r="P1145" s="97">
        <f t="shared" si="155"/>
        <v>4.0000004147478121</v>
      </c>
      <c r="Q1145" s="135">
        <f t="shared" si="158"/>
        <v>9.5499167401146586E-11</v>
      </c>
      <c r="R1145" s="89">
        <f t="shared" si="158"/>
        <v>9.9999904500832525E-5</v>
      </c>
      <c r="S1145" s="89">
        <f t="shared" si="159"/>
        <v>3.8018939632056084E-12</v>
      </c>
      <c r="T1145" s="136">
        <f t="shared" si="159"/>
        <v>2.6302679918953791E-3</v>
      </c>
      <c r="U1145" s="137">
        <f t="shared" si="160"/>
        <v>9.5499167401146654E-7</v>
      </c>
      <c r="V1145" s="88">
        <f t="shared" si="156"/>
        <v>7.4199995852521878</v>
      </c>
      <c r="W1145" s="86">
        <f t="shared" si="161"/>
        <v>7.4400004147478125</v>
      </c>
      <c r="X1145" s="90">
        <f t="shared" si="157"/>
        <v>9.999045008325989E-3</v>
      </c>
    </row>
    <row r="1146" spans="13:24" x14ac:dyDescent="0.25">
      <c r="M1146" s="91">
        <v>11.43</v>
      </c>
      <c r="N1146" s="89">
        <f t="shared" si="153"/>
        <v>2.5700000000000003</v>
      </c>
      <c r="O1146" s="89">
        <f t="shared" si="154"/>
        <v>10.030000405307003</v>
      </c>
      <c r="P1146" s="97">
        <f t="shared" si="155"/>
        <v>4.000000405307004</v>
      </c>
      <c r="Q1146" s="135">
        <f t="shared" si="158"/>
        <v>9.3325342983421397E-11</v>
      </c>
      <c r="R1146" s="89">
        <f t="shared" si="158"/>
        <v>9.9999906674656919E-5</v>
      </c>
      <c r="S1146" s="89">
        <f t="shared" si="159"/>
        <v>3.7153522909717219E-12</v>
      </c>
      <c r="T1146" s="136">
        <f t="shared" si="159"/>
        <v>2.6915348039269127E-3</v>
      </c>
      <c r="U1146" s="137">
        <f t="shared" si="160"/>
        <v>9.3325342983421498E-7</v>
      </c>
      <c r="V1146" s="88">
        <f t="shared" si="156"/>
        <v>7.4299995946929958</v>
      </c>
      <c r="W1146" s="86">
        <f t="shared" si="161"/>
        <v>7.460000405307003</v>
      </c>
      <c r="X1146" s="90">
        <f t="shared" si="157"/>
        <v>9.999066746570166E-3</v>
      </c>
    </row>
    <row r="1147" spans="13:24" x14ac:dyDescent="0.25">
      <c r="M1147" s="91">
        <v>11.44</v>
      </c>
      <c r="N1147" s="89">
        <f t="shared" si="153"/>
        <v>2.5600000000000005</v>
      </c>
      <c r="O1147" s="89">
        <f t="shared" si="154"/>
        <v>10.040000396081094</v>
      </c>
      <c r="P1147" s="97">
        <f t="shared" si="155"/>
        <v>4.0000003960810941</v>
      </c>
      <c r="Q1147" s="135">
        <f t="shared" si="158"/>
        <v>9.1201000759289623E-11</v>
      </c>
      <c r="R1147" s="89">
        <f t="shared" si="158"/>
        <v>9.9999908798999233E-5</v>
      </c>
      <c r="S1147" s="89">
        <f t="shared" si="159"/>
        <v>3.6307805477010101E-12</v>
      </c>
      <c r="T1147" s="136">
        <f t="shared" si="159"/>
        <v>2.7542287033381629E-3</v>
      </c>
      <c r="U1147" s="137">
        <f t="shared" si="160"/>
        <v>9.1201000759289627E-7</v>
      </c>
      <c r="V1147" s="88">
        <f t="shared" si="156"/>
        <v>7.4399996039189054</v>
      </c>
      <c r="W1147" s="86">
        <f t="shared" si="161"/>
        <v>7.4800003960810937</v>
      </c>
      <c r="X1147" s="90">
        <f t="shared" si="157"/>
        <v>9.9990879899924077E-3</v>
      </c>
    </row>
    <row r="1148" spans="13:24" x14ac:dyDescent="0.25">
      <c r="M1148" s="91">
        <v>11.45</v>
      </c>
      <c r="N1148" s="89">
        <f t="shared" si="153"/>
        <v>2.5500000000000007</v>
      </c>
      <c r="O1148" s="89">
        <f t="shared" si="154"/>
        <v>10.050000387065191</v>
      </c>
      <c r="P1148" s="97">
        <f t="shared" si="155"/>
        <v>4.0000003870651923</v>
      </c>
      <c r="Q1148" s="135">
        <f t="shared" si="158"/>
        <v>8.9125014380621961E-11</v>
      </c>
      <c r="R1148" s="89">
        <f t="shared" si="158"/>
        <v>9.9999910874985453E-5</v>
      </c>
      <c r="S1148" s="89">
        <f t="shared" si="159"/>
        <v>3.5481338923357515E-12</v>
      </c>
      <c r="T1148" s="136">
        <f t="shared" si="159"/>
        <v>2.8183829312644474E-3</v>
      </c>
      <c r="U1148" s="137">
        <f t="shared" si="160"/>
        <v>8.9125014380622113E-7</v>
      </c>
      <c r="V1148" s="88">
        <f t="shared" si="156"/>
        <v>7.4499996129348069</v>
      </c>
      <c r="W1148" s="86">
        <f t="shared" si="161"/>
        <v>7.5000003870651906</v>
      </c>
      <c r="X1148" s="90">
        <f t="shared" si="157"/>
        <v>9.9991087498561941E-3</v>
      </c>
    </row>
    <row r="1149" spans="13:24" x14ac:dyDescent="0.25">
      <c r="M1149" s="91">
        <v>11.46</v>
      </c>
      <c r="N1149" s="89">
        <f t="shared" si="153"/>
        <v>2.5399999999999991</v>
      </c>
      <c r="O1149" s="89">
        <f t="shared" si="154"/>
        <v>10.060000378254518</v>
      </c>
      <c r="P1149" s="97">
        <f t="shared" si="155"/>
        <v>4.0000003782545166</v>
      </c>
      <c r="Q1149" s="135">
        <f t="shared" si="158"/>
        <v>8.7096283137916168E-11</v>
      </c>
      <c r="R1149" s="89">
        <f t="shared" si="158"/>
        <v>9.9999912903716749E-5</v>
      </c>
      <c r="S1149" s="89">
        <f t="shared" si="159"/>
        <v>3.4673685045253019E-12</v>
      </c>
      <c r="T1149" s="136">
        <f t="shared" si="159"/>
        <v>2.884031503126609E-3</v>
      </c>
      <c r="U1149" s="137">
        <f t="shared" si="160"/>
        <v>8.7096283137916272E-7</v>
      </c>
      <c r="V1149" s="88">
        <f t="shared" si="156"/>
        <v>7.4599996217454843</v>
      </c>
      <c r="W1149" s="86">
        <f t="shared" si="161"/>
        <v>7.5200003782545188</v>
      </c>
      <c r="X1149" s="90">
        <f t="shared" si="157"/>
        <v>9.9991290371686213E-3</v>
      </c>
    </row>
    <row r="1150" spans="13:24" x14ac:dyDescent="0.25">
      <c r="M1150" s="91">
        <v>11.47</v>
      </c>
      <c r="N1150" s="89">
        <f t="shared" si="153"/>
        <v>2.5299999999999994</v>
      </c>
      <c r="O1150" s="89">
        <f t="shared" si="154"/>
        <v>10.070000369644397</v>
      </c>
      <c r="P1150" s="97">
        <f t="shared" si="155"/>
        <v>4.000000369644396</v>
      </c>
      <c r="Q1150" s="135">
        <f t="shared" si="158"/>
        <v>8.5113731376702878E-11</v>
      </c>
      <c r="R1150" s="89">
        <f t="shared" si="158"/>
        <v>9.9999914886268539E-5</v>
      </c>
      <c r="S1150" s="89">
        <f t="shared" si="159"/>
        <v>3.3884415613920115E-12</v>
      </c>
      <c r="T1150" s="136">
        <f t="shared" si="159"/>
        <v>2.9512092266663886E-3</v>
      </c>
      <c r="U1150" s="137">
        <f t="shared" si="160"/>
        <v>8.5113731376702955E-7</v>
      </c>
      <c r="V1150" s="88">
        <f t="shared" si="156"/>
        <v>7.4699996303556047</v>
      </c>
      <c r="W1150" s="86">
        <f t="shared" si="161"/>
        <v>7.5400003696443978</v>
      </c>
      <c r="X1150" s="90">
        <f t="shared" si="157"/>
        <v>9.9991488626862326E-3</v>
      </c>
    </row>
    <row r="1151" spans="13:24" x14ac:dyDescent="0.25">
      <c r="M1151" s="91">
        <v>11.48</v>
      </c>
      <c r="N1151" s="89">
        <f t="shared" si="153"/>
        <v>2.5199999999999996</v>
      </c>
      <c r="O1151" s="89">
        <f t="shared" si="154"/>
        <v>10.080000361230267</v>
      </c>
      <c r="P1151" s="97">
        <f t="shared" si="155"/>
        <v>4.0000003612302661</v>
      </c>
      <c r="Q1151" s="135">
        <f t="shared" si="158"/>
        <v>8.3176307927227201E-11</v>
      </c>
      <c r="R1151" s="89">
        <f t="shared" si="158"/>
        <v>9.9999916823691906E-5</v>
      </c>
      <c r="S1151" s="89">
        <f t="shared" si="159"/>
        <v>3.3113112148258976E-12</v>
      </c>
      <c r="T1151" s="136">
        <f t="shared" si="159"/>
        <v>3.0199517204020161E-3</v>
      </c>
      <c r="U1151" s="137">
        <f t="shared" si="160"/>
        <v>8.3176307927227348E-7</v>
      </c>
      <c r="V1151" s="88">
        <f t="shared" si="156"/>
        <v>7.4799996387697343</v>
      </c>
      <c r="W1151" s="86">
        <f t="shared" si="161"/>
        <v>7.5600003612302675</v>
      </c>
      <c r="X1151" s="90">
        <f t="shared" si="157"/>
        <v>9.9991682369207271E-3</v>
      </c>
    </row>
    <row r="1152" spans="13:24" x14ac:dyDescent="0.25">
      <c r="M1152" s="91">
        <v>11.49</v>
      </c>
      <c r="N1152" s="89">
        <f t="shared" si="153"/>
        <v>2.5099999999999998</v>
      </c>
      <c r="O1152" s="89">
        <f t="shared" si="154"/>
        <v>10.090000353007664</v>
      </c>
      <c r="P1152" s="97">
        <f t="shared" si="155"/>
        <v>4.000000353007664</v>
      </c>
      <c r="Q1152" s="135">
        <f t="shared" si="158"/>
        <v>8.1282985547118751E-11</v>
      </c>
      <c r="R1152" s="89">
        <f t="shared" si="158"/>
        <v>9.9999918717014413E-5</v>
      </c>
      <c r="S1152" s="89">
        <f t="shared" si="159"/>
        <v>3.2359365692962695E-12</v>
      </c>
      <c r="T1152" s="136">
        <f t="shared" si="159"/>
        <v>3.0902954325135908E-3</v>
      </c>
      <c r="U1152" s="137">
        <f t="shared" si="160"/>
        <v>8.1282985547118776E-7</v>
      </c>
      <c r="V1152" s="88">
        <f t="shared" si="156"/>
        <v>7.4899996469923362</v>
      </c>
      <c r="W1152" s="86">
        <f t="shared" si="161"/>
        <v>7.5800003530076641</v>
      </c>
      <c r="X1152" s="90">
        <f t="shared" si="157"/>
        <v>9.9991871701445283E-3</v>
      </c>
    </row>
    <row r="1153" spans="13:24" x14ac:dyDescent="0.25">
      <c r="M1153" s="91">
        <v>11.5</v>
      </c>
      <c r="N1153" s="89">
        <f t="shared" si="153"/>
        <v>2.5</v>
      </c>
      <c r="O1153" s="89">
        <f t="shared" si="154"/>
        <v>10.100000344972232</v>
      </c>
      <c r="P1153" s="97">
        <f t="shared" si="155"/>
        <v>4.0000003449722321</v>
      </c>
      <c r="Q1153" s="135">
        <f t="shared" si="158"/>
        <v>7.9432760376743747E-11</v>
      </c>
      <c r="R1153" s="89">
        <f t="shared" si="158"/>
        <v>9.999992056723956E-5</v>
      </c>
      <c r="S1153" s="89">
        <f t="shared" si="159"/>
        <v>3.1622776601683669E-12</v>
      </c>
      <c r="T1153" s="136">
        <f t="shared" si="159"/>
        <v>3.1622776601683764E-3</v>
      </c>
      <c r="U1153" s="137">
        <f t="shared" si="160"/>
        <v>7.9432760376743793E-7</v>
      </c>
      <c r="V1153" s="88">
        <f t="shared" si="156"/>
        <v>7.4999996550277679</v>
      </c>
      <c r="W1153" s="86">
        <f t="shared" si="161"/>
        <v>7.6000003449722318</v>
      </c>
      <c r="X1153" s="90">
        <f t="shared" si="157"/>
        <v>9.999205672396233E-3</v>
      </c>
    </row>
    <row r="1154" spans="13:24" x14ac:dyDescent="0.25">
      <c r="M1154" s="91">
        <v>11.51</v>
      </c>
      <c r="N1154" s="89">
        <f t="shared" si="153"/>
        <v>2.4900000000000002</v>
      </c>
      <c r="O1154" s="89">
        <f t="shared" si="154"/>
        <v>10.110000337119709</v>
      </c>
      <c r="P1154" s="97">
        <f t="shared" si="155"/>
        <v>4.0000003371197081</v>
      </c>
      <c r="Q1154" s="135">
        <f t="shared" si="158"/>
        <v>7.7624651406956915E-11</v>
      </c>
      <c r="R1154" s="89">
        <f t="shared" si="158"/>
        <v>9.9999922375348601E-5</v>
      </c>
      <c r="S1154" s="89">
        <f t="shared" si="159"/>
        <v>3.0902954325135792E-12</v>
      </c>
      <c r="T1154" s="136">
        <f t="shared" si="159"/>
        <v>3.2359365692962794E-3</v>
      </c>
      <c r="U1154" s="137">
        <f t="shared" si="160"/>
        <v>7.7624651406956908E-7</v>
      </c>
      <c r="V1154" s="88">
        <f t="shared" si="156"/>
        <v>7.5099996628802916</v>
      </c>
      <c r="W1154" s="86">
        <f t="shared" si="161"/>
        <v>7.6200003371197091</v>
      </c>
      <c r="X1154" s="90">
        <f t="shared" si="157"/>
        <v>9.9992237534859314E-3</v>
      </c>
    </row>
    <row r="1155" spans="13:24" x14ac:dyDescent="0.25">
      <c r="M1155" s="91">
        <v>11.52</v>
      </c>
      <c r="N1155" s="89">
        <f t="shared" ref="N1155:N1218" si="162">14-M1155</f>
        <v>2.4800000000000004</v>
      </c>
      <c r="O1155" s="89">
        <f t="shared" ref="O1155:O1218" si="163">-LOG(10^-$B$3/(1+10^(M1155-$A$3)))</f>
        <v>10.120000329445929</v>
      </c>
      <c r="P1155" s="97">
        <f t="shared" ref="P1155:P1218" si="164">-LOG(10^-$B$3/(1+10^($A$3-M1155)))</f>
        <v>4.0000003294459301</v>
      </c>
      <c r="Q1155" s="135">
        <f t="shared" si="158"/>
        <v>7.5857699958968159E-11</v>
      </c>
      <c r="R1155" s="89">
        <f t="shared" si="158"/>
        <v>9.9999924142299865E-5</v>
      </c>
      <c r="S1155" s="89">
        <f t="shared" si="159"/>
        <v>3.0199517204020161E-12</v>
      </c>
      <c r="T1155" s="136">
        <f t="shared" si="159"/>
        <v>3.311311214825907E-3</v>
      </c>
      <c r="U1155" s="137">
        <f t="shared" si="160"/>
        <v>7.5857699958968287E-7</v>
      </c>
      <c r="V1155" s="88">
        <f t="shared" ref="V1155:V1218" si="165">ABS(P1155-M1155)</f>
        <v>7.5199996705540695</v>
      </c>
      <c r="W1155" s="86">
        <f t="shared" si="161"/>
        <v>7.6400003294459289</v>
      </c>
      <c r="X1155" s="90">
        <f t="shared" ref="X1155:X1218" si="166">ABS($J$2-U1155)</f>
        <v>9.9992414230004097E-3</v>
      </c>
    </row>
    <row r="1156" spans="13:24" x14ac:dyDescent="0.25">
      <c r="M1156" s="91">
        <v>11.53</v>
      </c>
      <c r="N1156" s="89">
        <f t="shared" si="162"/>
        <v>2.4700000000000006</v>
      </c>
      <c r="O1156" s="89">
        <f t="shared" si="163"/>
        <v>10.130000321946827</v>
      </c>
      <c r="P1156" s="97">
        <f t="shared" si="164"/>
        <v>4.0000003219468274</v>
      </c>
      <c r="Q1156" s="135">
        <f t="shared" ref="Q1156:R1219" si="167">10^-O1156</f>
        <v>7.4130969176045054E-11</v>
      </c>
      <c r="R1156" s="89">
        <f t="shared" si="167"/>
        <v>9.9999925869030765E-5</v>
      </c>
      <c r="S1156" s="89">
        <f t="shared" ref="S1156:T1219" si="168">10^-M1156</f>
        <v>2.9512092266663859E-12</v>
      </c>
      <c r="T1156" s="136">
        <f t="shared" si="168"/>
        <v>3.3884415613920182E-3</v>
      </c>
      <c r="U1156" s="137">
        <f t="shared" ref="U1156:U1219" si="169">Q1156/(Q1156+R1156)</f>
        <v>7.4130969176045104E-7</v>
      </c>
      <c r="V1156" s="88">
        <f t="shared" si="165"/>
        <v>7.5299996780531719</v>
      </c>
      <c r="W1156" s="86">
        <f t="shared" ref="W1156:W1219" si="170">ABS(O1156-N1156)</f>
        <v>7.6600003219468267</v>
      </c>
      <c r="X1156" s="90">
        <f t="shared" si="166"/>
        <v>9.9992586903082398E-3</v>
      </c>
    </row>
    <row r="1157" spans="13:24" x14ac:dyDescent="0.25">
      <c r="M1157" s="91">
        <v>11.54</v>
      </c>
      <c r="N1157" s="89">
        <f t="shared" si="162"/>
        <v>2.4600000000000009</v>
      </c>
      <c r="O1157" s="89">
        <f t="shared" si="163"/>
        <v>10.140000314618424</v>
      </c>
      <c r="P1157" s="97">
        <f t="shared" si="164"/>
        <v>4.0000003146184255</v>
      </c>
      <c r="Q1157" s="135">
        <f t="shared" si="167"/>
        <v>7.2443543526791105E-11</v>
      </c>
      <c r="R1157" s="89">
        <f t="shared" si="167"/>
        <v>9.9999927556456423E-5</v>
      </c>
      <c r="S1157" s="89">
        <f t="shared" si="168"/>
        <v>2.884031503126606E-12</v>
      </c>
      <c r="T1157" s="136">
        <f t="shared" si="168"/>
        <v>3.4673685045253084E-3</v>
      </c>
      <c r="U1157" s="137">
        <f t="shared" si="169"/>
        <v>7.2443543526791144E-7</v>
      </c>
      <c r="V1157" s="88">
        <f t="shared" si="165"/>
        <v>7.5399996853815736</v>
      </c>
      <c r="W1157" s="86">
        <f t="shared" si="170"/>
        <v>7.6800003146184235</v>
      </c>
      <c r="X1157" s="90">
        <f t="shared" si="166"/>
        <v>9.9992755645647319E-3</v>
      </c>
    </row>
    <row r="1158" spans="13:24" x14ac:dyDescent="0.25">
      <c r="M1158" s="91">
        <v>11.55</v>
      </c>
      <c r="N1158" s="89">
        <f t="shared" si="162"/>
        <v>2.4499999999999993</v>
      </c>
      <c r="O1158" s="89">
        <f t="shared" si="163"/>
        <v>10.150000307456839</v>
      </c>
      <c r="P1158" s="97">
        <f t="shared" si="164"/>
        <v>4.0000003074568387</v>
      </c>
      <c r="Q1158" s="135">
        <f t="shared" si="167"/>
        <v>7.0794528319725649E-11</v>
      </c>
      <c r="R1158" s="89">
        <f t="shared" si="167"/>
        <v>9.9999929205471643E-5</v>
      </c>
      <c r="S1158" s="89">
        <f t="shared" si="168"/>
        <v>2.8183829312644444E-12</v>
      </c>
      <c r="T1158" s="136">
        <f t="shared" si="168"/>
        <v>3.5481338923357593E-3</v>
      </c>
      <c r="U1158" s="137">
        <f t="shared" si="169"/>
        <v>7.0794528319725679E-7</v>
      </c>
      <c r="V1158" s="88">
        <f t="shared" si="165"/>
        <v>7.5499996925431621</v>
      </c>
      <c r="W1158" s="86">
        <f t="shared" si="170"/>
        <v>7.7000003074568397</v>
      </c>
      <c r="X1158" s="90">
        <f t="shared" si="166"/>
        <v>9.9992920547168022E-3</v>
      </c>
    </row>
    <row r="1159" spans="13:24" x14ac:dyDescent="0.25">
      <c r="M1159" s="91">
        <v>11.56</v>
      </c>
      <c r="N1159" s="89">
        <f t="shared" si="162"/>
        <v>2.4399999999999995</v>
      </c>
      <c r="O1159" s="89">
        <f t="shared" si="163"/>
        <v>10.16000030045827</v>
      </c>
      <c r="P1159" s="97">
        <f t="shared" si="164"/>
        <v>4.0000003004582689</v>
      </c>
      <c r="Q1159" s="135">
        <f t="shared" si="167"/>
        <v>6.9183049228917126E-11</v>
      </c>
      <c r="R1159" s="89">
        <f t="shared" si="167"/>
        <v>9.9999930816950714E-5</v>
      </c>
      <c r="S1159" s="89">
        <f t="shared" si="168"/>
        <v>2.7542287033381574E-12</v>
      </c>
      <c r="T1159" s="136">
        <f t="shared" si="168"/>
        <v>3.630780547701014E-3</v>
      </c>
      <c r="U1159" s="137">
        <f t="shared" si="169"/>
        <v>6.9183049228917171E-7</v>
      </c>
      <c r="V1159" s="88">
        <f t="shared" si="165"/>
        <v>7.5599996995417316</v>
      </c>
      <c r="W1159" s="86">
        <f t="shared" si="170"/>
        <v>7.7200003004582705</v>
      </c>
      <c r="X1159" s="90">
        <f t="shared" si="166"/>
        <v>9.9993081695077118E-3</v>
      </c>
    </row>
    <row r="1160" spans="13:24" x14ac:dyDescent="0.25">
      <c r="M1160" s="91">
        <v>11.57</v>
      </c>
      <c r="N1160" s="89">
        <f t="shared" si="162"/>
        <v>2.4299999999999997</v>
      </c>
      <c r="O1160" s="89">
        <f t="shared" si="163"/>
        <v>10.170000293619006</v>
      </c>
      <c r="P1160" s="97">
        <f t="shared" si="164"/>
        <v>4.0000002936190064</v>
      </c>
      <c r="Q1160" s="135">
        <f t="shared" si="167"/>
        <v>6.760825183041006E-11</v>
      </c>
      <c r="R1160" s="89">
        <f t="shared" si="167"/>
        <v>9.9999932391748054E-5</v>
      </c>
      <c r="S1160" s="89">
        <f t="shared" si="168"/>
        <v>2.6915348039269074E-12</v>
      </c>
      <c r="T1160" s="136">
        <f t="shared" si="168"/>
        <v>3.7153522909717253E-3</v>
      </c>
      <c r="U1160" s="137">
        <f t="shared" si="169"/>
        <v>6.7608251830410143E-7</v>
      </c>
      <c r="V1160" s="88">
        <f t="shared" si="165"/>
        <v>7.5699997063809938</v>
      </c>
      <c r="W1160" s="86">
        <f t="shared" si="170"/>
        <v>7.7400002936190067</v>
      </c>
      <c r="X1160" s="90">
        <f t="shared" si="166"/>
        <v>9.9993239174816957E-3</v>
      </c>
    </row>
    <row r="1161" spans="13:24" x14ac:dyDescent="0.25">
      <c r="M1161" s="91">
        <v>11.58</v>
      </c>
      <c r="N1161" s="89">
        <f t="shared" si="162"/>
        <v>2.42</v>
      </c>
      <c r="O1161" s="89">
        <f t="shared" si="163"/>
        <v>10.180000286935424</v>
      </c>
      <c r="P1161" s="97">
        <f t="shared" si="164"/>
        <v>4.0000002869354239</v>
      </c>
      <c r="Q1161" s="135">
        <f t="shared" si="167"/>
        <v>6.606930114920494E-11</v>
      </c>
      <c r="R1161" s="89">
        <f t="shared" si="167"/>
        <v>9.9999933930698743E-5</v>
      </c>
      <c r="S1161" s="89">
        <f t="shared" si="168"/>
        <v>2.6302679918953739E-12</v>
      </c>
      <c r="T1161" s="136">
        <f t="shared" si="168"/>
        <v>3.8018939632056123E-3</v>
      </c>
      <c r="U1161" s="137">
        <f t="shared" si="169"/>
        <v>6.6069301149205005E-7</v>
      </c>
      <c r="V1161" s="88">
        <f t="shared" si="165"/>
        <v>7.5799997130645762</v>
      </c>
      <c r="W1161" s="86">
        <f t="shared" si="170"/>
        <v>7.7600002869354245</v>
      </c>
      <c r="X1161" s="90">
        <f t="shared" si="166"/>
        <v>9.9993393069885087E-3</v>
      </c>
    </row>
    <row r="1162" spans="13:24" x14ac:dyDescent="0.25">
      <c r="M1162" s="91">
        <v>11.59</v>
      </c>
      <c r="N1162" s="89">
        <f t="shared" si="162"/>
        <v>2.41</v>
      </c>
      <c r="O1162" s="89">
        <f t="shared" si="163"/>
        <v>10.190000280403979</v>
      </c>
      <c r="P1162" s="97">
        <f t="shared" si="164"/>
        <v>4.0000002804039783</v>
      </c>
      <c r="Q1162" s="135">
        <f t="shared" si="167"/>
        <v>6.4565381216553848E-11</v>
      </c>
      <c r="R1162" s="89">
        <f t="shared" si="167"/>
        <v>9.999993543461867E-5</v>
      </c>
      <c r="S1162" s="89">
        <f t="shared" si="168"/>
        <v>2.5703957827688561E-12</v>
      </c>
      <c r="T1162" s="136">
        <f t="shared" si="168"/>
        <v>3.8904514499428023E-3</v>
      </c>
      <c r="U1162" s="137">
        <f t="shared" si="169"/>
        <v>6.4565381216553922E-7</v>
      </c>
      <c r="V1162" s="88">
        <f t="shared" si="165"/>
        <v>7.5899997195960216</v>
      </c>
      <c r="W1162" s="86">
        <f t="shared" si="170"/>
        <v>7.7800002804039785</v>
      </c>
      <c r="X1162" s="90">
        <f t="shared" si="166"/>
        <v>9.9993543461878338E-3</v>
      </c>
    </row>
    <row r="1163" spans="13:24" x14ac:dyDescent="0.25">
      <c r="M1163" s="91">
        <v>11.6</v>
      </c>
      <c r="N1163" s="89">
        <f t="shared" si="162"/>
        <v>2.4000000000000004</v>
      </c>
      <c r="O1163" s="89">
        <f t="shared" si="163"/>
        <v>10.200000274021207</v>
      </c>
      <c r="P1163" s="97">
        <f t="shared" si="164"/>
        <v>4.0000002740212066</v>
      </c>
      <c r="Q1163" s="135">
        <f t="shared" si="167"/>
        <v>6.309569463732722E-11</v>
      </c>
      <c r="R1163" s="89">
        <f t="shared" si="167"/>
        <v>9.9999936904305212E-5</v>
      </c>
      <c r="S1163" s="89">
        <f t="shared" si="168"/>
        <v>2.5118864315095726E-12</v>
      </c>
      <c r="T1163" s="136">
        <f t="shared" si="168"/>
        <v>3.9810717055349682E-3</v>
      </c>
      <c r="U1163" s="137">
        <f t="shared" si="169"/>
        <v>6.3095694637327309E-7</v>
      </c>
      <c r="V1163" s="88">
        <f t="shared" si="165"/>
        <v>7.599999725978793</v>
      </c>
      <c r="W1163" s="86">
        <f t="shared" si="170"/>
        <v>7.8000002740212064</v>
      </c>
      <c r="X1163" s="90">
        <f t="shared" si="166"/>
        <v>9.9993690430536276E-3</v>
      </c>
    </row>
    <row r="1164" spans="13:24" x14ac:dyDescent="0.25">
      <c r="M1164" s="91">
        <v>11.61</v>
      </c>
      <c r="N1164" s="89">
        <f t="shared" si="162"/>
        <v>2.3900000000000006</v>
      </c>
      <c r="O1164" s="89">
        <f t="shared" si="163"/>
        <v>10.210000267783723</v>
      </c>
      <c r="P1164" s="97">
        <f t="shared" si="164"/>
        <v>4.0000002677837241</v>
      </c>
      <c r="Q1164" s="135">
        <f t="shared" si="167"/>
        <v>6.1659462167231967E-11</v>
      </c>
      <c r="R1164" s="89">
        <f t="shared" si="167"/>
        <v>9.9999938340537855E-5</v>
      </c>
      <c r="S1164" s="89">
        <f t="shared" si="168"/>
        <v>2.4547089156850233E-12</v>
      </c>
      <c r="T1164" s="136">
        <f t="shared" si="168"/>
        <v>4.073802778041119E-3</v>
      </c>
      <c r="U1164" s="137">
        <f t="shared" si="169"/>
        <v>6.1659462167231951E-7</v>
      </c>
      <c r="V1164" s="88">
        <f t="shared" si="165"/>
        <v>7.6099997322162753</v>
      </c>
      <c r="W1164" s="86">
        <f t="shared" si="170"/>
        <v>7.8200002677837226</v>
      </c>
      <c r="X1164" s="90">
        <f t="shared" si="166"/>
        <v>9.9993834053783287E-3</v>
      </c>
    </row>
    <row r="1165" spans="13:24" x14ac:dyDescent="0.25">
      <c r="M1165" s="91">
        <v>11.62</v>
      </c>
      <c r="N1165" s="89">
        <f t="shared" si="162"/>
        <v>2.3800000000000008</v>
      </c>
      <c r="O1165" s="89">
        <f t="shared" si="163"/>
        <v>10.220000261688224</v>
      </c>
      <c r="P1165" s="97">
        <f t="shared" si="164"/>
        <v>4.000000261688224</v>
      </c>
      <c r="Q1165" s="135">
        <f t="shared" si="167"/>
        <v>6.025592229965214E-11</v>
      </c>
      <c r="R1165" s="89">
        <f t="shared" si="167"/>
        <v>9.9999939744077751E-5</v>
      </c>
      <c r="S1165" s="89">
        <f t="shared" si="168"/>
        <v>2.3988329190194925E-12</v>
      </c>
      <c r="T1165" s="136">
        <f t="shared" si="168"/>
        <v>4.1686938347033457E-3</v>
      </c>
      <c r="U1165" s="137">
        <f t="shared" si="169"/>
        <v>6.0255922299652108E-7</v>
      </c>
      <c r="V1165" s="88">
        <f t="shared" si="165"/>
        <v>7.6199997383117752</v>
      </c>
      <c r="W1165" s="86">
        <f t="shared" si="170"/>
        <v>7.8400002616882229</v>
      </c>
      <c r="X1165" s="90">
        <f t="shared" si="166"/>
        <v>9.9993974407770036E-3</v>
      </c>
    </row>
    <row r="1166" spans="13:24" x14ac:dyDescent="0.25">
      <c r="M1166" s="91">
        <v>11.63</v>
      </c>
      <c r="N1166" s="89">
        <f t="shared" si="162"/>
        <v>2.3699999999999992</v>
      </c>
      <c r="O1166" s="89">
        <f t="shared" si="163"/>
        <v>10.230000255731476</v>
      </c>
      <c r="P1166" s="97">
        <f t="shared" si="164"/>
        <v>4.0000002557314751</v>
      </c>
      <c r="Q1166" s="135">
        <f t="shared" si="167"/>
        <v>5.8884330861894035E-11</v>
      </c>
      <c r="R1166" s="89">
        <f t="shared" si="167"/>
        <v>9.9999941115669013E-5</v>
      </c>
      <c r="S1166" s="89">
        <f t="shared" si="168"/>
        <v>2.3442288153199162E-12</v>
      </c>
      <c r="T1166" s="136">
        <f t="shared" si="168"/>
        <v>4.265795188015932E-3</v>
      </c>
      <c r="U1166" s="137">
        <f t="shared" si="169"/>
        <v>5.8884330861894112E-7</v>
      </c>
      <c r="V1166" s="88">
        <f t="shared" si="165"/>
        <v>7.6299997442685257</v>
      </c>
      <c r="W1166" s="86">
        <f t="shared" si="170"/>
        <v>7.8600002557314763</v>
      </c>
      <c r="X1166" s="90">
        <f t="shared" si="166"/>
        <v>9.9994111566913818E-3</v>
      </c>
    </row>
    <row r="1167" spans="13:24" x14ac:dyDescent="0.25">
      <c r="M1167" s="91">
        <v>11.64</v>
      </c>
      <c r="N1167" s="89">
        <f t="shared" si="162"/>
        <v>2.3599999999999994</v>
      </c>
      <c r="O1167" s="89">
        <f t="shared" si="163"/>
        <v>10.240000249910318</v>
      </c>
      <c r="P1167" s="97">
        <f t="shared" si="164"/>
        <v>4.0000002499103173</v>
      </c>
      <c r="Q1167" s="135">
        <f t="shared" si="167"/>
        <v>5.754396062062237E-11</v>
      </c>
      <c r="R1167" s="89">
        <f t="shared" si="167"/>
        <v>9.9999942456039414E-5</v>
      </c>
      <c r="S1167" s="89">
        <f t="shared" si="168"/>
        <v>2.2908676527677675E-12</v>
      </c>
      <c r="T1167" s="136">
        <f t="shared" si="168"/>
        <v>4.3651583224016653E-3</v>
      </c>
      <c r="U1167" s="137">
        <f t="shared" si="169"/>
        <v>5.7543960620622353E-7</v>
      </c>
      <c r="V1167" s="88">
        <f t="shared" si="165"/>
        <v>7.6399997500896832</v>
      </c>
      <c r="W1167" s="86">
        <f t="shared" si="170"/>
        <v>7.880000249910319</v>
      </c>
      <c r="X1167" s="90">
        <f t="shared" si="166"/>
        <v>9.9994245603937937E-3</v>
      </c>
    </row>
    <row r="1168" spans="13:24" x14ac:dyDescent="0.25">
      <c r="M1168" s="91">
        <v>11.65</v>
      </c>
      <c r="N1168" s="89">
        <f t="shared" si="162"/>
        <v>2.3499999999999996</v>
      </c>
      <c r="O1168" s="89">
        <f t="shared" si="163"/>
        <v>10.250000244221667</v>
      </c>
      <c r="P1168" s="97">
        <f t="shared" si="164"/>
        <v>4.000000244221666</v>
      </c>
      <c r="Q1168" s="135">
        <f t="shared" si="167"/>
        <v>5.6234100896275782E-11</v>
      </c>
      <c r="R1168" s="89">
        <f t="shared" si="167"/>
        <v>9.9999943765898984E-5</v>
      </c>
      <c r="S1168" s="89">
        <f t="shared" si="168"/>
        <v>2.2387211385683343E-12</v>
      </c>
      <c r="T1168" s="136">
        <f t="shared" si="168"/>
        <v>4.4668359215096322E-3</v>
      </c>
      <c r="U1168" s="137">
        <f t="shared" si="169"/>
        <v>5.623410089627585E-7</v>
      </c>
      <c r="V1168" s="88">
        <f t="shared" si="165"/>
        <v>7.6499997557783344</v>
      </c>
      <c r="W1168" s="86">
        <f t="shared" si="170"/>
        <v>7.9000002442216672</v>
      </c>
      <c r="X1168" s="90">
        <f t="shared" si="166"/>
        <v>9.999437658991037E-3</v>
      </c>
    </row>
    <row r="1169" spans="13:24" x14ac:dyDescent="0.25">
      <c r="M1169" s="91">
        <v>11.66</v>
      </c>
      <c r="N1169" s="89">
        <f t="shared" si="162"/>
        <v>2.34</v>
      </c>
      <c r="O1169" s="89">
        <f t="shared" si="163"/>
        <v>10.260000238662505</v>
      </c>
      <c r="P1169" s="97">
        <f t="shared" si="164"/>
        <v>4.0000002386625031</v>
      </c>
      <c r="Q1169" s="135">
        <f t="shared" si="167"/>
        <v>5.4954057186261607E-11</v>
      </c>
      <c r="R1169" s="89">
        <f t="shared" si="167"/>
        <v>9.999994504594279E-5</v>
      </c>
      <c r="S1169" s="89">
        <f t="shared" si="168"/>
        <v>2.1877616239495474E-12</v>
      </c>
      <c r="T1169" s="136">
        <f t="shared" si="168"/>
        <v>4.5708818961487504E-3</v>
      </c>
      <c r="U1169" s="137">
        <f t="shared" si="169"/>
        <v>5.4954057186261623E-7</v>
      </c>
      <c r="V1169" s="88">
        <f t="shared" si="165"/>
        <v>7.659999761337497</v>
      </c>
      <c r="W1169" s="86">
        <f t="shared" si="170"/>
        <v>7.9200002386625048</v>
      </c>
      <c r="X1169" s="90">
        <f t="shared" si="166"/>
        <v>9.9994504594281379E-3</v>
      </c>
    </row>
    <row r="1170" spans="13:24" x14ac:dyDescent="0.25">
      <c r="M1170" s="91">
        <v>11.67</v>
      </c>
      <c r="N1170" s="89">
        <f t="shared" si="162"/>
        <v>2.33</v>
      </c>
      <c r="O1170" s="89">
        <f t="shared" si="163"/>
        <v>10.270000233229883</v>
      </c>
      <c r="P1170" s="97">
        <f t="shared" si="164"/>
        <v>4.0000002332298834</v>
      </c>
      <c r="Q1170" s="135">
        <f t="shared" si="167"/>
        <v>5.3703150796725614E-11</v>
      </c>
      <c r="R1170" s="89">
        <f t="shared" si="167"/>
        <v>9.9999946296849043E-5</v>
      </c>
      <c r="S1170" s="89">
        <f t="shared" si="168"/>
        <v>2.1379620895022273E-12</v>
      </c>
      <c r="T1170" s="136">
        <f t="shared" si="168"/>
        <v>4.6773514128719777E-3</v>
      </c>
      <c r="U1170" s="137">
        <f t="shared" si="169"/>
        <v>5.3703150796725694E-7</v>
      </c>
      <c r="V1170" s="88">
        <f t="shared" si="165"/>
        <v>7.6699997667701165</v>
      </c>
      <c r="W1170" s="86">
        <f t="shared" si="170"/>
        <v>7.9400002332298829</v>
      </c>
      <c r="X1170" s="90">
        <f t="shared" si="166"/>
        <v>9.9994629684920337E-3</v>
      </c>
    </row>
    <row r="1171" spans="13:24" x14ac:dyDescent="0.25">
      <c r="M1171" s="91">
        <v>11.68</v>
      </c>
      <c r="N1171" s="89">
        <f t="shared" si="162"/>
        <v>2.3200000000000003</v>
      </c>
      <c r="O1171" s="89">
        <f t="shared" si="163"/>
        <v>10.280000227920924</v>
      </c>
      <c r="P1171" s="97">
        <f t="shared" si="164"/>
        <v>4.0000002279209239</v>
      </c>
      <c r="Q1171" s="135">
        <f t="shared" si="167"/>
        <v>5.2480718482704591E-11</v>
      </c>
      <c r="R1171" s="89">
        <f t="shared" si="167"/>
        <v>9.9999947519281558E-5</v>
      </c>
      <c r="S1171" s="89">
        <f t="shared" si="168"/>
        <v>2.0892961308540349E-12</v>
      </c>
      <c r="T1171" s="136">
        <f t="shared" si="168"/>
        <v>4.7863009232263784E-3</v>
      </c>
      <c r="U1171" s="137">
        <f t="shared" si="169"/>
        <v>5.2480718482704567E-7</v>
      </c>
      <c r="V1171" s="88">
        <f t="shared" si="165"/>
        <v>7.6799997720790758</v>
      </c>
      <c r="W1171" s="86">
        <f t="shared" si="170"/>
        <v>7.9600002279209239</v>
      </c>
      <c r="X1171" s="90">
        <f t="shared" si="166"/>
        <v>9.9994751928151725E-3</v>
      </c>
    </row>
    <row r="1172" spans="13:24" x14ac:dyDescent="0.25">
      <c r="M1172" s="91">
        <v>11.69</v>
      </c>
      <c r="N1172" s="89">
        <f t="shared" si="162"/>
        <v>2.3100000000000005</v>
      </c>
      <c r="O1172" s="89">
        <f t="shared" si="163"/>
        <v>10.290000222732811</v>
      </c>
      <c r="P1172" s="97">
        <f t="shared" si="164"/>
        <v>4.0000002227328117</v>
      </c>
      <c r="Q1172" s="135">
        <f t="shared" si="167"/>
        <v>5.1286112096470006E-11</v>
      </c>
      <c r="R1172" s="89">
        <f t="shared" si="167"/>
        <v>9.9999948713887848E-5</v>
      </c>
      <c r="S1172" s="89">
        <f t="shared" si="168"/>
        <v>2.0417379446695251E-12</v>
      </c>
      <c r="T1172" s="136">
        <f t="shared" si="168"/>
        <v>4.8977881936844523E-3</v>
      </c>
      <c r="U1172" s="137">
        <f t="shared" si="169"/>
        <v>5.1286112096470032E-7</v>
      </c>
      <c r="V1172" s="88">
        <f t="shared" si="165"/>
        <v>7.6899997772671878</v>
      </c>
      <c r="W1172" s="86">
        <f t="shared" si="170"/>
        <v>7.9800002227328104</v>
      </c>
      <c r="X1172" s="90">
        <f t="shared" si="166"/>
        <v>9.9994871388790364E-3</v>
      </c>
    </row>
    <row r="1173" spans="13:24" x14ac:dyDescent="0.25">
      <c r="M1173" s="91">
        <v>11.7</v>
      </c>
      <c r="N1173" s="89">
        <f t="shared" si="162"/>
        <v>2.3000000000000007</v>
      </c>
      <c r="O1173" s="89">
        <f t="shared" si="163"/>
        <v>10.300000217662795</v>
      </c>
      <c r="P1173" s="97">
        <f t="shared" si="164"/>
        <v>4.0000002176627953</v>
      </c>
      <c r="Q1173" s="135">
        <f t="shared" si="167"/>
        <v>5.0118698243875368E-11</v>
      </c>
      <c r="R1173" s="89">
        <f t="shared" si="167"/>
        <v>9.9999949881301683E-5</v>
      </c>
      <c r="S1173" s="89">
        <f t="shared" si="168"/>
        <v>1.9952623149688759E-12</v>
      </c>
      <c r="T1173" s="136">
        <f t="shared" si="168"/>
        <v>5.0118723362727125E-3</v>
      </c>
      <c r="U1173" s="137">
        <f t="shared" si="169"/>
        <v>5.0118698243875403E-7</v>
      </c>
      <c r="V1173" s="88">
        <f t="shared" si="165"/>
        <v>7.6999997823372039</v>
      </c>
      <c r="W1173" s="86">
        <f t="shared" si="170"/>
        <v>8.0000002176627945</v>
      </c>
      <c r="X1173" s="90">
        <f t="shared" si="166"/>
        <v>9.999498813017562E-3</v>
      </c>
    </row>
    <row r="1174" spans="13:24" x14ac:dyDescent="0.25">
      <c r="M1174" s="91">
        <v>11.71</v>
      </c>
      <c r="N1174" s="89">
        <f t="shared" si="162"/>
        <v>2.2899999999999991</v>
      </c>
      <c r="O1174" s="89">
        <f t="shared" si="163"/>
        <v>10.310000212708188</v>
      </c>
      <c r="P1174" s="97">
        <f t="shared" si="164"/>
        <v>4.0000002127081862</v>
      </c>
      <c r="Q1174" s="135">
        <f t="shared" si="167"/>
        <v>4.897785794852696E-11</v>
      </c>
      <c r="R1174" s="89">
        <f t="shared" si="167"/>
        <v>9.9999951022141967E-5</v>
      </c>
      <c r="S1174" s="89">
        <f t="shared" si="168"/>
        <v>1.9498445997580347E-12</v>
      </c>
      <c r="T1174" s="136">
        <f t="shared" si="168"/>
        <v>5.1286138399136566E-3</v>
      </c>
      <c r="U1174" s="137">
        <f t="shared" si="169"/>
        <v>4.8977857948527001E-7</v>
      </c>
      <c r="V1174" s="88">
        <f t="shared" si="165"/>
        <v>7.7099997872918147</v>
      </c>
      <c r="W1174" s="86">
        <f t="shared" si="170"/>
        <v>8.0200002127081884</v>
      </c>
      <c r="X1174" s="90">
        <f t="shared" si="166"/>
        <v>9.9995102214205153E-3</v>
      </c>
    </row>
    <row r="1175" spans="13:24" x14ac:dyDescent="0.25">
      <c r="M1175" s="91">
        <v>11.72</v>
      </c>
      <c r="N1175" s="89">
        <f t="shared" si="162"/>
        <v>2.2799999999999994</v>
      </c>
      <c r="O1175" s="89">
        <f t="shared" si="163"/>
        <v>10.320000207866359</v>
      </c>
      <c r="P1175" s="97">
        <f t="shared" si="164"/>
        <v>4.0000002078663579</v>
      </c>
      <c r="Q1175" s="135">
        <f t="shared" si="167"/>
        <v>4.7862986323598027E-11</v>
      </c>
      <c r="R1175" s="89">
        <f t="shared" si="167"/>
        <v>9.9999952137013698E-5</v>
      </c>
      <c r="S1175" s="89">
        <f t="shared" si="168"/>
        <v>1.905460717963237E-12</v>
      </c>
      <c r="T1175" s="136">
        <f t="shared" si="168"/>
        <v>5.2480746024977333E-3</v>
      </c>
      <c r="U1175" s="137">
        <f t="shared" si="169"/>
        <v>4.7862986323598017E-7</v>
      </c>
      <c r="V1175" s="88">
        <f t="shared" si="165"/>
        <v>7.7199997921336427</v>
      </c>
      <c r="W1175" s="86">
        <f t="shared" si="170"/>
        <v>8.0400002078663597</v>
      </c>
      <c r="X1175" s="90">
        <f t="shared" si="166"/>
        <v>9.9995213701367641E-3</v>
      </c>
    </row>
    <row r="1176" spans="13:24" x14ac:dyDescent="0.25">
      <c r="M1176" s="91">
        <v>11.73</v>
      </c>
      <c r="N1176" s="89">
        <f t="shared" si="162"/>
        <v>2.2699999999999996</v>
      </c>
      <c r="O1176" s="89">
        <f t="shared" si="163"/>
        <v>10.330000203134745</v>
      </c>
      <c r="P1176" s="97">
        <f t="shared" si="164"/>
        <v>4.0000002031347437</v>
      </c>
      <c r="Q1176" s="135">
        <f t="shared" si="167"/>
        <v>4.6773492251113645E-11</v>
      </c>
      <c r="R1176" s="89">
        <f t="shared" si="167"/>
        <v>9.9999953226507563E-5</v>
      </c>
      <c r="S1176" s="89">
        <f t="shared" si="168"/>
        <v>1.8620871366628578E-12</v>
      </c>
      <c r="T1176" s="136">
        <f t="shared" si="168"/>
        <v>5.3703179637025287E-3</v>
      </c>
      <c r="U1176" s="137">
        <f t="shared" si="169"/>
        <v>4.677349225111373E-7</v>
      </c>
      <c r="V1176" s="88">
        <f t="shared" si="165"/>
        <v>7.7299997968652567</v>
      </c>
      <c r="W1176" s="86">
        <f t="shared" si="170"/>
        <v>8.0600002031347451</v>
      </c>
      <c r="X1176" s="90">
        <f t="shared" si="166"/>
        <v>9.9995322650774897E-3</v>
      </c>
    </row>
    <row r="1177" spans="13:24" x14ac:dyDescent="0.25">
      <c r="M1177" s="91">
        <v>11.74</v>
      </c>
      <c r="N1177" s="89">
        <f t="shared" si="162"/>
        <v>2.2599999999999998</v>
      </c>
      <c r="O1177" s="89">
        <f t="shared" si="163"/>
        <v>10.340000198510834</v>
      </c>
      <c r="P1177" s="97">
        <f t="shared" si="164"/>
        <v>4.0000001985108327</v>
      </c>
      <c r="Q1177" s="135">
        <f t="shared" si="167"/>
        <v>4.5708798068535572E-11</v>
      </c>
      <c r="R1177" s="89">
        <f t="shared" si="167"/>
        <v>9.9999954291201889E-5</v>
      </c>
      <c r="S1177" s="89">
        <f t="shared" si="168"/>
        <v>1.8197008586099809E-12</v>
      </c>
      <c r="T1177" s="136">
        <f t="shared" si="168"/>
        <v>5.4954087385762473E-3</v>
      </c>
      <c r="U1177" s="137">
        <f t="shared" si="169"/>
        <v>4.5708798068535591E-7</v>
      </c>
      <c r="V1177" s="88">
        <f t="shared" si="165"/>
        <v>7.7399998014891676</v>
      </c>
      <c r="W1177" s="86">
        <f t="shared" si="170"/>
        <v>8.0800001985108345</v>
      </c>
      <c r="X1177" s="90">
        <f t="shared" si="166"/>
        <v>9.9995429120193144E-3</v>
      </c>
    </row>
    <row r="1178" spans="13:24" x14ac:dyDescent="0.25">
      <c r="M1178" s="91">
        <v>11.75</v>
      </c>
      <c r="N1178" s="89">
        <f t="shared" si="162"/>
        <v>2.25</v>
      </c>
      <c r="O1178" s="89">
        <f t="shared" si="163"/>
        <v>10.350000193992175</v>
      </c>
      <c r="P1178" s="97">
        <f t="shared" si="164"/>
        <v>4.0000001939921761</v>
      </c>
      <c r="Q1178" s="135">
        <f t="shared" si="167"/>
        <v>4.4668339262482144E-11</v>
      </c>
      <c r="R1178" s="89">
        <f t="shared" si="167"/>
        <v>9.9999955331660692E-5</v>
      </c>
      <c r="S1178" s="89">
        <f t="shared" si="168"/>
        <v>1.7782794100389204E-12</v>
      </c>
      <c r="T1178" s="136">
        <f t="shared" si="168"/>
        <v>5.6234132519034866E-3</v>
      </c>
      <c r="U1178" s="137">
        <f t="shared" si="169"/>
        <v>4.4668339262482168E-7</v>
      </c>
      <c r="V1178" s="88">
        <f t="shared" si="165"/>
        <v>7.7499998060078239</v>
      </c>
      <c r="W1178" s="86">
        <f t="shared" si="170"/>
        <v>8.1000001939921749</v>
      </c>
      <c r="X1178" s="90">
        <f t="shared" si="166"/>
        <v>9.9995533166073753E-3</v>
      </c>
    </row>
    <row r="1179" spans="13:24" x14ac:dyDescent="0.25">
      <c r="M1179" s="91">
        <v>11.76</v>
      </c>
      <c r="N1179" s="89">
        <f t="shared" si="162"/>
        <v>2.2400000000000002</v>
      </c>
      <c r="O1179" s="89">
        <f t="shared" si="163"/>
        <v>10.360000189576375</v>
      </c>
      <c r="P1179" s="97">
        <f t="shared" si="164"/>
        <v>4.0000001895763759</v>
      </c>
      <c r="Q1179" s="135">
        <f t="shared" si="167"/>
        <v>4.3651564169417696E-11</v>
      </c>
      <c r="R1179" s="89">
        <f t="shared" si="167"/>
        <v>9.9999956348435708E-5</v>
      </c>
      <c r="S1179" s="89">
        <f t="shared" si="168"/>
        <v>1.737800828749373E-12</v>
      </c>
      <c r="T1179" s="136">
        <f t="shared" si="168"/>
        <v>5.7543993733715649E-3</v>
      </c>
      <c r="U1179" s="137">
        <f t="shared" si="169"/>
        <v>4.3651564169417745E-7</v>
      </c>
      <c r="V1179" s="88">
        <f t="shared" si="165"/>
        <v>7.7599998104236239</v>
      </c>
      <c r="W1179" s="86">
        <f t="shared" si="170"/>
        <v>8.1200001895763751</v>
      </c>
      <c r="X1179" s="90">
        <f t="shared" si="166"/>
        <v>9.9995634843583064E-3</v>
      </c>
    </row>
    <row r="1180" spans="13:24" x14ac:dyDescent="0.25">
      <c r="M1180" s="91">
        <v>11.77</v>
      </c>
      <c r="N1180" s="89">
        <f t="shared" si="162"/>
        <v>2.2300000000000004</v>
      </c>
      <c r="O1180" s="89">
        <f t="shared" si="163"/>
        <v>10.370000185261091</v>
      </c>
      <c r="P1180" s="97">
        <f t="shared" si="164"/>
        <v>4.0000001852610918</v>
      </c>
      <c r="Q1180" s="135">
        <f t="shared" si="167"/>
        <v>4.2657933683158348E-11</v>
      </c>
      <c r="R1180" s="89">
        <f t="shared" si="167"/>
        <v>9.9999957342066233E-5</v>
      </c>
      <c r="S1180" s="89">
        <f t="shared" si="168"/>
        <v>1.6982436524617421E-12</v>
      </c>
      <c r="T1180" s="136">
        <f t="shared" si="168"/>
        <v>5.8884365535558786E-3</v>
      </c>
      <c r="U1180" s="137">
        <f t="shared" si="169"/>
        <v>4.2657933683158389E-7</v>
      </c>
      <c r="V1180" s="88">
        <f t="shared" si="165"/>
        <v>7.7699998147389078</v>
      </c>
      <c r="W1180" s="86">
        <f t="shared" si="170"/>
        <v>8.1400001852610906</v>
      </c>
      <c r="X1180" s="90">
        <f t="shared" si="166"/>
        <v>9.9995734206631687E-3</v>
      </c>
    </row>
    <row r="1181" spans="13:24" x14ac:dyDescent="0.25">
      <c r="M1181" s="91">
        <v>11.78</v>
      </c>
      <c r="N1181" s="89">
        <f t="shared" si="162"/>
        <v>2.2200000000000006</v>
      </c>
      <c r="O1181" s="89">
        <f t="shared" si="163"/>
        <v>10.380000181044036</v>
      </c>
      <c r="P1181" s="97">
        <f t="shared" si="164"/>
        <v>4.0000001810440349</v>
      </c>
      <c r="Q1181" s="135">
        <f t="shared" si="167"/>
        <v>4.1686920969032419E-11</v>
      </c>
      <c r="R1181" s="89">
        <f t="shared" si="167"/>
        <v>9.9999958313078959E-5</v>
      </c>
      <c r="S1181" s="89">
        <f t="shared" si="168"/>
        <v>1.6595869074375588E-12</v>
      </c>
      <c r="T1181" s="136">
        <f t="shared" si="168"/>
        <v>6.0255958607435666E-3</v>
      </c>
      <c r="U1181" s="137">
        <f t="shared" si="169"/>
        <v>4.1686920969032454E-7</v>
      </c>
      <c r="V1181" s="88">
        <f t="shared" si="165"/>
        <v>7.7799998189559645</v>
      </c>
      <c r="W1181" s="86">
        <f t="shared" si="170"/>
        <v>8.160000181044035</v>
      </c>
      <c r="X1181" s="90">
        <f t="shared" si="166"/>
        <v>9.9995831307903103E-3</v>
      </c>
    </row>
    <row r="1182" spans="13:24" x14ac:dyDescent="0.25">
      <c r="M1182" s="91">
        <v>11.79</v>
      </c>
      <c r="N1182" s="89">
        <f t="shared" si="162"/>
        <v>2.2100000000000009</v>
      </c>
      <c r="O1182" s="89">
        <f t="shared" si="163"/>
        <v>10.390000176922971</v>
      </c>
      <c r="P1182" s="97">
        <f t="shared" si="164"/>
        <v>4.0000001769229705</v>
      </c>
      <c r="Q1182" s="135">
        <f t="shared" si="167"/>
        <v>4.0738011184548785E-11</v>
      </c>
      <c r="R1182" s="89">
        <f t="shared" si="167"/>
        <v>9.9999959261988665E-5</v>
      </c>
      <c r="S1182" s="89">
        <f t="shared" si="168"/>
        <v>1.6218100973589284E-12</v>
      </c>
      <c r="T1182" s="136">
        <f t="shared" si="168"/>
        <v>6.165950018614804E-3</v>
      </c>
      <c r="U1182" s="137">
        <f t="shared" si="169"/>
        <v>4.0738011184548845E-7</v>
      </c>
      <c r="V1182" s="88">
        <f t="shared" si="165"/>
        <v>7.7899998230770287</v>
      </c>
      <c r="W1182" s="86">
        <f t="shared" si="170"/>
        <v>8.1800001769229702</v>
      </c>
      <c r="X1182" s="90">
        <f t="shared" si="166"/>
        <v>9.9995926198881546E-3</v>
      </c>
    </row>
    <row r="1183" spans="13:24" x14ac:dyDescent="0.25">
      <c r="M1183" s="91">
        <v>11.8</v>
      </c>
      <c r="N1183" s="89">
        <f t="shared" si="162"/>
        <v>2.1999999999999993</v>
      </c>
      <c r="O1183" s="89">
        <f t="shared" si="163"/>
        <v>10.400000172895714</v>
      </c>
      <c r="P1183" s="97">
        <f t="shared" si="164"/>
        <v>4.0000001728957129</v>
      </c>
      <c r="Q1183" s="135">
        <f t="shared" si="167"/>
        <v>3.9810701206423859E-11</v>
      </c>
      <c r="R1183" s="89">
        <f t="shared" si="167"/>
        <v>9.9999960189298801E-5</v>
      </c>
      <c r="S1183" s="89">
        <f t="shared" si="168"/>
        <v>1.5848931924611065E-12</v>
      </c>
      <c r="T1183" s="136">
        <f t="shared" si="168"/>
        <v>6.3095734448019424E-3</v>
      </c>
      <c r="U1183" s="137">
        <f t="shared" si="169"/>
        <v>3.9810701206423858E-7</v>
      </c>
      <c r="V1183" s="88">
        <f t="shared" si="165"/>
        <v>7.7999998271042879</v>
      </c>
      <c r="W1183" s="86">
        <f t="shared" si="170"/>
        <v>8.2000001728957148</v>
      </c>
      <c r="X1183" s="90">
        <f t="shared" si="166"/>
        <v>9.9996018929879357E-3</v>
      </c>
    </row>
    <row r="1184" spans="13:24" x14ac:dyDescent="0.25">
      <c r="M1184" s="91">
        <v>11.81</v>
      </c>
      <c r="N1184" s="89">
        <f t="shared" si="162"/>
        <v>2.1899999999999995</v>
      </c>
      <c r="O1184" s="89">
        <f t="shared" si="163"/>
        <v>10.410000168960128</v>
      </c>
      <c r="P1184" s="97">
        <f t="shared" si="164"/>
        <v>4.0000001689601268</v>
      </c>
      <c r="Q1184" s="135">
        <f t="shared" si="167"/>
        <v>3.89044993638213E-11</v>
      </c>
      <c r="R1184" s="89">
        <f t="shared" si="167"/>
        <v>9.9999961095500496E-5</v>
      </c>
      <c r="S1184" s="89">
        <f t="shared" si="168"/>
        <v>1.5488166189124747E-12</v>
      </c>
      <c r="T1184" s="136">
        <f t="shared" si="168"/>
        <v>6.4565422903465584E-3</v>
      </c>
      <c r="U1184" s="137">
        <f t="shared" si="169"/>
        <v>3.8904499363821355E-7</v>
      </c>
      <c r="V1184" s="88">
        <f t="shared" si="165"/>
        <v>7.8099998310398737</v>
      </c>
      <c r="W1184" s="86">
        <f t="shared" si="170"/>
        <v>8.2200001689601283</v>
      </c>
      <c r="X1184" s="90">
        <f t="shared" si="166"/>
        <v>9.9996109550063612E-3</v>
      </c>
    </row>
    <row r="1185" spans="13:24" x14ac:dyDescent="0.25">
      <c r="M1185" s="91">
        <v>11.82</v>
      </c>
      <c r="N1185" s="89">
        <f t="shared" si="162"/>
        <v>2.1799999999999997</v>
      </c>
      <c r="O1185" s="89">
        <f t="shared" si="163"/>
        <v>10.420000165114127</v>
      </c>
      <c r="P1185" s="97">
        <f t="shared" si="164"/>
        <v>4.0000001651141259</v>
      </c>
      <c r="Q1185" s="135">
        <f t="shared" si="167"/>
        <v>3.8018925177663656E-11</v>
      </c>
      <c r="R1185" s="89">
        <f t="shared" si="167"/>
        <v>9.9999961981074608E-5</v>
      </c>
      <c r="S1185" s="89">
        <f t="shared" si="168"/>
        <v>1.5135612484362015E-12</v>
      </c>
      <c r="T1185" s="136">
        <f t="shared" si="168"/>
        <v>6.6069344800759626E-3</v>
      </c>
      <c r="U1185" s="137">
        <f t="shared" si="169"/>
        <v>3.8018925177663736E-7</v>
      </c>
      <c r="V1185" s="88">
        <f t="shared" si="165"/>
        <v>7.8199998348858744</v>
      </c>
      <c r="W1185" s="86">
        <f t="shared" si="170"/>
        <v>8.240000165114127</v>
      </c>
      <c r="X1185" s="90">
        <f t="shared" si="166"/>
        <v>9.9996198107482233E-3</v>
      </c>
    </row>
    <row r="1186" spans="13:24" x14ac:dyDescent="0.25">
      <c r="M1186" s="91">
        <v>11.83</v>
      </c>
      <c r="N1186" s="89">
        <f t="shared" si="162"/>
        <v>2.17</v>
      </c>
      <c r="O1186" s="89">
        <f t="shared" si="163"/>
        <v>10.43000016135567</v>
      </c>
      <c r="P1186" s="97">
        <f t="shared" si="164"/>
        <v>4.0000001613556702</v>
      </c>
      <c r="Q1186" s="135">
        <f t="shared" si="167"/>
        <v>3.7153509105879679E-11</v>
      </c>
      <c r="R1186" s="89">
        <f t="shared" si="167"/>
        <v>9.9999962846490813E-5</v>
      </c>
      <c r="S1186" s="89">
        <f t="shared" si="168"/>
        <v>1.4791083881682012E-12</v>
      </c>
      <c r="T1186" s="136">
        <f t="shared" si="168"/>
        <v>6.7608297539198132E-3</v>
      </c>
      <c r="U1186" s="137">
        <f t="shared" si="169"/>
        <v>3.7153509105879709E-7</v>
      </c>
      <c r="V1186" s="88">
        <f t="shared" si="165"/>
        <v>7.8299998386443299</v>
      </c>
      <c r="W1186" s="86">
        <f t="shared" si="170"/>
        <v>8.2600001613556699</v>
      </c>
      <c r="X1186" s="90">
        <f t="shared" si="166"/>
        <v>9.9996284649089412E-3</v>
      </c>
    </row>
    <row r="1187" spans="13:24" x14ac:dyDescent="0.25">
      <c r="M1187" s="91">
        <v>11.84</v>
      </c>
      <c r="N1187" s="89">
        <f t="shared" si="162"/>
        <v>2.16</v>
      </c>
      <c r="O1187" s="89">
        <f t="shared" si="163"/>
        <v>10.440000157682768</v>
      </c>
      <c r="P1187" s="97">
        <f t="shared" si="164"/>
        <v>4.0000001576827673</v>
      </c>
      <c r="Q1187" s="135">
        <f t="shared" si="167"/>
        <v>3.6307792294447347E-11</v>
      </c>
      <c r="R1187" s="89">
        <f t="shared" si="167"/>
        <v>9.9999963692207593E-5</v>
      </c>
      <c r="S1187" s="89">
        <f t="shared" si="168"/>
        <v>1.4454397707459267E-12</v>
      </c>
      <c r="T1187" s="136">
        <f t="shared" si="168"/>
        <v>6.9183097091893601E-3</v>
      </c>
      <c r="U1187" s="137">
        <f t="shared" si="169"/>
        <v>3.630779229444739E-7</v>
      </c>
      <c r="V1187" s="88">
        <f t="shared" si="165"/>
        <v>7.8399998423172326</v>
      </c>
      <c r="W1187" s="86">
        <f t="shared" si="170"/>
        <v>8.2800001576827675</v>
      </c>
      <c r="X1187" s="90">
        <f t="shared" si="166"/>
        <v>9.9996369220770563E-3</v>
      </c>
    </row>
    <row r="1188" spans="13:24" x14ac:dyDescent="0.25">
      <c r="M1188" s="91">
        <v>11.85</v>
      </c>
      <c r="N1188" s="89">
        <f t="shared" si="162"/>
        <v>2.1500000000000004</v>
      </c>
      <c r="O1188" s="89">
        <f t="shared" si="163"/>
        <v>10.45000015409347</v>
      </c>
      <c r="P1188" s="97">
        <f t="shared" si="164"/>
        <v>4.0000001540934695</v>
      </c>
      <c r="Q1188" s="135">
        <f t="shared" si="167"/>
        <v>3.5481326334107878E-11</v>
      </c>
      <c r="R1188" s="89">
        <f t="shared" si="167"/>
        <v>9.9999964518673659E-5</v>
      </c>
      <c r="S1188" s="89">
        <f t="shared" si="168"/>
        <v>1.4125375446227535E-12</v>
      </c>
      <c r="T1188" s="136">
        <f t="shared" si="168"/>
        <v>7.0794578438413682E-3</v>
      </c>
      <c r="U1188" s="137">
        <f t="shared" si="169"/>
        <v>3.548132633410788E-7</v>
      </c>
      <c r="V1188" s="88">
        <f t="shared" si="165"/>
        <v>7.8499998459065301</v>
      </c>
      <c r="W1188" s="86">
        <f t="shared" si="170"/>
        <v>8.3000001540934694</v>
      </c>
      <c r="X1188" s="90">
        <f t="shared" si="166"/>
        <v>9.9996451867366588E-3</v>
      </c>
    </row>
    <row r="1189" spans="13:24" x14ac:dyDescent="0.25">
      <c r="M1189" s="91">
        <v>11.86</v>
      </c>
      <c r="N1189" s="89">
        <f t="shared" si="162"/>
        <v>2.1400000000000006</v>
      </c>
      <c r="O1189" s="89">
        <f t="shared" si="163"/>
        <v>10.460000150585874</v>
      </c>
      <c r="P1189" s="97">
        <f t="shared" si="164"/>
        <v>4.0000001505858744</v>
      </c>
      <c r="Q1189" s="135">
        <f t="shared" si="167"/>
        <v>3.4673673022613E-11</v>
      </c>
      <c r="R1189" s="89">
        <f t="shared" si="167"/>
        <v>9.9999965326326892E-5</v>
      </c>
      <c r="S1189" s="89">
        <f t="shared" si="168"/>
        <v>1.3803842646028842E-12</v>
      </c>
      <c r="T1189" s="136">
        <f t="shared" si="168"/>
        <v>7.2443596007498879E-3</v>
      </c>
      <c r="U1189" s="137">
        <f t="shared" si="169"/>
        <v>3.4673673022613031E-7</v>
      </c>
      <c r="V1189" s="88">
        <f t="shared" si="165"/>
        <v>7.859999849414125</v>
      </c>
      <c r="W1189" s="86">
        <f t="shared" si="170"/>
        <v>8.3200001505858729</v>
      </c>
      <c r="X1189" s="90">
        <f t="shared" si="166"/>
        <v>9.9996532632697747E-3</v>
      </c>
    </row>
    <row r="1190" spans="13:24" x14ac:dyDescent="0.25">
      <c r="M1190" s="91">
        <v>11.87</v>
      </c>
      <c r="N1190" s="89">
        <f t="shared" si="162"/>
        <v>2.1300000000000008</v>
      </c>
      <c r="O1190" s="89">
        <f t="shared" si="163"/>
        <v>10.470000147158121</v>
      </c>
      <c r="P1190" s="97">
        <f t="shared" si="164"/>
        <v>4.0000001471581221</v>
      </c>
      <c r="Q1190" s="135">
        <f t="shared" si="167"/>
        <v>3.3884404132387924E-11</v>
      </c>
      <c r="R1190" s="89">
        <f t="shared" si="167"/>
        <v>9.9999966115595892E-5</v>
      </c>
      <c r="S1190" s="89">
        <f t="shared" si="168"/>
        <v>1.3489628825916532E-12</v>
      </c>
      <c r="T1190" s="136">
        <f t="shared" si="168"/>
        <v>7.413102413009162E-3</v>
      </c>
      <c r="U1190" s="137">
        <f t="shared" si="169"/>
        <v>3.3884404132387917E-7</v>
      </c>
      <c r="V1190" s="88">
        <f t="shared" si="165"/>
        <v>7.8699998528418771</v>
      </c>
      <c r="W1190" s="86">
        <f t="shared" si="170"/>
        <v>8.3400001471581202</v>
      </c>
      <c r="X1190" s="90">
        <f t="shared" si="166"/>
        <v>9.9996611559586765E-3</v>
      </c>
    </row>
    <row r="1191" spans="13:24" x14ac:dyDescent="0.25">
      <c r="M1191" s="91">
        <v>11.88</v>
      </c>
      <c r="N1191" s="89">
        <f t="shared" si="162"/>
        <v>2.1199999999999992</v>
      </c>
      <c r="O1191" s="89">
        <f t="shared" si="163"/>
        <v>10.480000143808397</v>
      </c>
      <c r="P1191" s="97">
        <f t="shared" si="164"/>
        <v>4.0000001438083954</v>
      </c>
      <c r="Q1191" s="135">
        <f t="shared" si="167"/>
        <v>3.3113101183480598E-11</v>
      </c>
      <c r="R1191" s="89">
        <f t="shared" si="167"/>
        <v>9.9999966886898646E-5</v>
      </c>
      <c r="S1191" s="89">
        <f t="shared" si="168"/>
        <v>1.3182567385564021E-12</v>
      </c>
      <c r="T1191" s="136">
        <f t="shared" si="168"/>
        <v>7.5857757502918498E-3</v>
      </c>
      <c r="U1191" s="137">
        <f t="shared" si="169"/>
        <v>3.3113101183480655E-7</v>
      </c>
      <c r="V1191" s="88">
        <f t="shared" si="165"/>
        <v>7.8799998561916054</v>
      </c>
      <c r="W1191" s="86">
        <f t="shared" si="170"/>
        <v>8.3600001438083975</v>
      </c>
      <c r="X1191" s="90">
        <f t="shared" si="166"/>
        <v>9.9996688689881659E-3</v>
      </c>
    </row>
    <row r="1192" spans="13:24" x14ac:dyDescent="0.25">
      <c r="M1192" s="91">
        <v>11.89</v>
      </c>
      <c r="N1192" s="89">
        <f t="shared" si="162"/>
        <v>2.1099999999999994</v>
      </c>
      <c r="O1192" s="89">
        <f t="shared" si="163"/>
        <v>10.490000140534917</v>
      </c>
      <c r="P1192" s="97">
        <f t="shared" si="164"/>
        <v>4.000000140534917</v>
      </c>
      <c r="Q1192" s="135">
        <f t="shared" si="167"/>
        <v>3.2359355221680676E-11</v>
      </c>
      <c r="R1192" s="89">
        <f t="shared" si="167"/>
        <v>9.9999967640644616E-5</v>
      </c>
      <c r="S1192" s="89">
        <f t="shared" si="168"/>
        <v>1.2882495516931293E-12</v>
      </c>
      <c r="T1192" s="136">
        <f t="shared" si="168"/>
        <v>7.7624711662869226E-3</v>
      </c>
      <c r="U1192" s="137">
        <f t="shared" si="169"/>
        <v>3.2359355221680726E-7</v>
      </c>
      <c r="V1192" s="88">
        <f t="shared" si="165"/>
        <v>7.8899998594650835</v>
      </c>
      <c r="W1192" s="86">
        <f t="shared" si="170"/>
        <v>8.3800001405349178</v>
      </c>
      <c r="X1192" s="90">
        <f t="shared" si="166"/>
        <v>9.9996764064477842E-3</v>
      </c>
    </row>
    <row r="1193" spans="13:24" x14ac:dyDescent="0.25">
      <c r="M1193" s="91">
        <v>11.9</v>
      </c>
      <c r="N1193" s="89">
        <f t="shared" si="162"/>
        <v>2.0999999999999996</v>
      </c>
      <c r="O1193" s="89">
        <f t="shared" si="163"/>
        <v>10.500000137335952</v>
      </c>
      <c r="P1193" s="97">
        <f t="shared" si="164"/>
        <v>4.0000001373359524</v>
      </c>
      <c r="Q1193" s="135">
        <f t="shared" si="167"/>
        <v>3.1622766601686871E-11</v>
      </c>
      <c r="R1193" s="89">
        <f t="shared" si="167"/>
        <v>9.9999968377233303E-5</v>
      </c>
      <c r="S1193" s="89">
        <f t="shared" si="168"/>
        <v>1.2589254117941629E-12</v>
      </c>
      <c r="T1193" s="136">
        <f t="shared" si="168"/>
        <v>7.943282347242819E-3</v>
      </c>
      <c r="U1193" s="137">
        <f t="shared" si="169"/>
        <v>3.16227666016869E-7</v>
      </c>
      <c r="V1193" s="88">
        <f t="shared" si="165"/>
        <v>7.899999862664048</v>
      </c>
      <c r="W1193" s="86">
        <f t="shared" si="170"/>
        <v>8.4000001373359527</v>
      </c>
      <c r="X1193" s="90">
        <f t="shared" si="166"/>
        <v>9.9996837723339838E-3</v>
      </c>
    </row>
    <row r="1194" spans="13:24" x14ac:dyDescent="0.25">
      <c r="M1194" s="91">
        <v>11.91</v>
      </c>
      <c r="N1194" s="89">
        <f t="shared" si="162"/>
        <v>2.09</v>
      </c>
      <c r="O1194" s="89">
        <f t="shared" si="163"/>
        <v>10.510000134209806</v>
      </c>
      <c r="P1194" s="97">
        <f t="shared" si="164"/>
        <v>4.000000134209805</v>
      </c>
      <c r="Q1194" s="135">
        <f t="shared" si="167"/>
        <v>3.0902944775212814E-11</v>
      </c>
      <c r="R1194" s="89">
        <f t="shared" si="167"/>
        <v>9.999996909705498E-5</v>
      </c>
      <c r="S1194" s="89">
        <f t="shared" si="168"/>
        <v>1.2302687708123772E-12</v>
      </c>
      <c r="T1194" s="136">
        <f t="shared" si="168"/>
        <v>8.1283051616409894E-3</v>
      </c>
      <c r="U1194" s="137">
        <f t="shared" si="169"/>
        <v>3.090294477521289E-7</v>
      </c>
      <c r="V1194" s="88">
        <f t="shared" si="165"/>
        <v>7.9099998657901951</v>
      </c>
      <c r="W1194" s="86">
        <f t="shared" si="170"/>
        <v>8.4200001342098059</v>
      </c>
      <c r="X1194" s="90">
        <f t="shared" si="166"/>
        <v>9.9996909705522483E-3</v>
      </c>
    </row>
    <row r="1195" spans="13:24" x14ac:dyDescent="0.25">
      <c r="M1195" s="91">
        <v>11.92</v>
      </c>
      <c r="N1195" s="89">
        <f t="shared" si="162"/>
        <v>2.08</v>
      </c>
      <c r="O1195" s="89">
        <f t="shared" si="163"/>
        <v>10.520000131154816</v>
      </c>
      <c r="P1195" s="97">
        <f t="shared" si="164"/>
        <v>4.0000001311548168</v>
      </c>
      <c r="Q1195" s="135">
        <f t="shared" si="167"/>
        <v>3.0199508083914465E-11</v>
      </c>
      <c r="R1195" s="89">
        <f t="shared" si="167"/>
        <v>9.9999969800491895E-5</v>
      </c>
      <c r="S1195" s="89">
        <f t="shared" si="168"/>
        <v>1.2022644346174088E-12</v>
      </c>
      <c r="T1195" s="136">
        <f t="shared" si="168"/>
        <v>8.3176377110267055E-3</v>
      </c>
      <c r="U1195" s="137">
        <f t="shared" si="169"/>
        <v>3.0199508083914471E-7</v>
      </c>
      <c r="V1195" s="88">
        <f t="shared" si="165"/>
        <v>7.9199998688451831</v>
      </c>
      <c r="W1195" s="86">
        <f t="shared" si="170"/>
        <v>8.4400001311548163</v>
      </c>
      <c r="X1195" s="90">
        <f t="shared" si="166"/>
        <v>9.9996980049191619E-3</v>
      </c>
    </row>
    <row r="1196" spans="13:24" x14ac:dyDescent="0.25">
      <c r="M1196" s="91">
        <v>11.93</v>
      </c>
      <c r="N1196" s="89">
        <f t="shared" si="162"/>
        <v>2.0700000000000003</v>
      </c>
      <c r="O1196" s="89">
        <f t="shared" si="163"/>
        <v>10.53000012816937</v>
      </c>
      <c r="P1196" s="97">
        <f t="shared" si="164"/>
        <v>4.0000001281693693</v>
      </c>
      <c r="Q1196" s="135">
        <f t="shared" si="167"/>
        <v>2.9512083557030414E-11</v>
      </c>
      <c r="R1196" s="89">
        <f t="shared" si="167"/>
        <v>9.9999970487916378E-5</v>
      </c>
      <c r="S1196" s="89">
        <f t="shared" si="168"/>
        <v>1.1748975549395258E-12</v>
      </c>
      <c r="T1196" s="136">
        <f t="shared" si="168"/>
        <v>8.5113803820237519E-3</v>
      </c>
      <c r="U1196" s="137">
        <f t="shared" si="169"/>
        <v>2.9512083557030434E-7</v>
      </c>
      <c r="V1196" s="88">
        <f t="shared" si="165"/>
        <v>7.9299998718306304</v>
      </c>
      <c r="W1196" s="86">
        <f t="shared" si="170"/>
        <v>8.4600001281693693</v>
      </c>
      <c r="X1196" s="90">
        <f t="shared" si="166"/>
        <v>9.9997048791644304E-3</v>
      </c>
    </row>
    <row r="1197" spans="13:24" x14ac:dyDescent="0.25">
      <c r="M1197" s="91">
        <v>11.94</v>
      </c>
      <c r="N1197" s="89">
        <f t="shared" si="162"/>
        <v>2.0600000000000005</v>
      </c>
      <c r="O1197" s="89">
        <f t="shared" si="163"/>
        <v>10.540000125251879</v>
      </c>
      <c r="P1197" s="97">
        <f t="shared" si="164"/>
        <v>4.0000001252518782</v>
      </c>
      <c r="Q1197" s="135">
        <f t="shared" si="167"/>
        <v>2.8840306713630612E-11</v>
      </c>
      <c r="R1197" s="89">
        <f t="shared" si="167"/>
        <v>9.9999971159693316E-5</v>
      </c>
      <c r="S1197" s="89">
        <f t="shared" si="168"/>
        <v>1.1481536214968792E-12</v>
      </c>
      <c r="T1197" s="136">
        <f t="shared" si="168"/>
        <v>8.7096358995607925E-3</v>
      </c>
      <c r="U1197" s="137">
        <f t="shared" si="169"/>
        <v>2.8840306713630605E-7</v>
      </c>
      <c r="V1197" s="88">
        <f t="shared" si="165"/>
        <v>7.9399998747481213</v>
      </c>
      <c r="W1197" s="86">
        <f t="shared" si="170"/>
        <v>8.4800001252518786</v>
      </c>
      <c r="X1197" s="90">
        <f t="shared" si="166"/>
        <v>9.9997115969328639E-3</v>
      </c>
    </row>
    <row r="1198" spans="13:24" x14ac:dyDescent="0.25">
      <c r="M1198" s="91">
        <v>11.95</v>
      </c>
      <c r="N1198" s="89">
        <f t="shared" si="162"/>
        <v>2.0500000000000007</v>
      </c>
      <c r="O1198" s="89">
        <f t="shared" si="163"/>
        <v>10.550000122400798</v>
      </c>
      <c r="P1198" s="97">
        <f t="shared" si="164"/>
        <v>4.0000001224007979</v>
      </c>
      <c r="Q1198" s="135">
        <f t="shared" si="167"/>
        <v>2.8183821369364347E-11</v>
      </c>
      <c r="R1198" s="89">
        <f t="shared" si="167"/>
        <v>9.9999971816178653E-5</v>
      </c>
      <c r="S1198" s="89">
        <f t="shared" si="168"/>
        <v>1.122018454301964E-12</v>
      </c>
      <c r="T1198" s="136">
        <f t="shared" si="168"/>
        <v>8.9125093813374398E-3</v>
      </c>
      <c r="U1198" s="137">
        <f t="shared" si="169"/>
        <v>2.818382136936434E-7</v>
      </c>
      <c r="V1198" s="88">
        <f t="shared" si="165"/>
        <v>7.9499998775992013</v>
      </c>
      <c r="W1198" s="86">
        <f t="shared" si="170"/>
        <v>8.5000001224007971</v>
      </c>
      <c r="X1198" s="90">
        <f t="shared" si="166"/>
        <v>9.999718161786306E-3</v>
      </c>
    </row>
    <row r="1199" spans="13:24" x14ac:dyDescent="0.25">
      <c r="M1199" s="91">
        <v>11.96</v>
      </c>
      <c r="N1199" s="89">
        <f t="shared" si="162"/>
        <v>2.0399999999999991</v>
      </c>
      <c r="O1199" s="89">
        <f t="shared" si="163"/>
        <v>10.560000119614617</v>
      </c>
      <c r="P1199" s="97">
        <f t="shared" si="164"/>
        <v>4.000000119614616</v>
      </c>
      <c r="Q1199" s="135">
        <f t="shared" si="167"/>
        <v>2.7542279447607879E-11</v>
      </c>
      <c r="R1199" s="89">
        <f t="shared" si="167"/>
        <v>9.999997245772058E-5</v>
      </c>
      <c r="S1199" s="89">
        <f t="shared" si="168"/>
        <v>1.0964781961431817E-12</v>
      </c>
      <c r="T1199" s="136">
        <f t="shared" si="168"/>
        <v>9.1201083935591142E-3</v>
      </c>
      <c r="U1199" s="137">
        <f t="shared" si="169"/>
        <v>2.7542279447607872E-7</v>
      </c>
      <c r="V1199" s="88">
        <f t="shared" si="165"/>
        <v>7.9599998803853849</v>
      </c>
      <c r="W1199" s="86">
        <f t="shared" si="170"/>
        <v>8.5200001196146182</v>
      </c>
      <c r="X1199" s="90">
        <f t="shared" si="166"/>
        <v>9.9997245772055245E-3</v>
      </c>
    </row>
    <row r="1200" spans="13:24" x14ac:dyDescent="0.25">
      <c r="M1200" s="91">
        <v>11.97</v>
      </c>
      <c r="N1200" s="89">
        <f t="shared" si="162"/>
        <v>2.0299999999999994</v>
      </c>
      <c r="O1200" s="89">
        <f t="shared" si="163"/>
        <v>10.570000116891856</v>
      </c>
      <c r="P1200" s="97">
        <f t="shared" si="164"/>
        <v>4.0000001168918553</v>
      </c>
      <c r="Q1200" s="135">
        <f t="shared" si="167"/>
        <v>2.6915340794911396E-11</v>
      </c>
      <c r="R1200" s="89">
        <f t="shared" si="167"/>
        <v>9.9999973084659267E-5</v>
      </c>
      <c r="S1200" s="89">
        <f t="shared" si="168"/>
        <v>1.0715193052376033E-12</v>
      </c>
      <c r="T1200" s="136">
        <f t="shared" si="168"/>
        <v>9.3325430079699168E-3</v>
      </c>
      <c r="U1200" s="137">
        <f t="shared" si="169"/>
        <v>2.6915340794911378E-7</v>
      </c>
      <c r="V1200" s="88">
        <f t="shared" si="165"/>
        <v>7.9699998831081453</v>
      </c>
      <c r="W1200" s="86">
        <f t="shared" si="170"/>
        <v>8.5400001168918571</v>
      </c>
      <c r="X1200" s="90">
        <f t="shared" si="166"/>
        <v>9.9997308465920517E-3</v>
      </c>
    </row>
    <row r="1201" spans="13:24" x14ac:dyDescent="0.25">
      <c r="M1201" s="91">
        <v>11.98</v>
      </c>
      <c r="N1201" s="89">
        <f t="shared" si="162"/>
        <v>2.0199999999999996</v>
      </c>
      <c r="O1201" s="89">
        <f t="shared" si="163"/>
        <v>10.580000114231073</v>
      </c>
      <c r="P1201" s="97">
        <f t="shared" si="164"/>
        <v>4.0000001142310726</v>
      </c>
      <c r="Q1201" s="135">
        <f t="shared" si="167"/>
        <v>2.6302673000645828E-11</v>
      </c>
      <c r="R1201" s="89">
        <f t="shared" si="167"/>
        <v>9.9999973697326885E-5</v>
      </c>
      <c r="S1201" s="89">
        <f t="shared" si="168"/>
        <v>1.0471285480508967E-12</v>
      </c>
      <c r="T1201" s="136">
        <f t="shared" si="168"/>
        <v>9.5499258602143658E-3</v>
      </c>
      <c r="U1201" s="137">
        <f t="shared" si="169"/>
        <v>2.6302673000645862E-7</v>
      </c>
      <c r="V1201" s="88">
        <f t="shared" si="165"/>
        <v>7.9799998857689278</v>
      </c>
      <c r="W1201" s="86">
        <f t="shared" si="170"/>
        <v>8.5600001142310731</v>
      </c>
      <c r="X1201" s="90">
        <f t="shared" si="166"/>
        <v>9.9997369732699945E-3</v>
      </c>
    </row>
    <row r="1202" spans="13:24" x14ac:dyDescent="0.25">
      <c r="M1202" s="91">
        <v>11.99</v>
      </c>
      <c r="N1202" s="89">
        <f t="shared" si="162"/>
        <v>2.0099999999999998</v>
      </c>
      <c r="O1202" s="89">
        <f t="shared" si="163"/>
        <v>10.590000111630857</v>
      </c>
      <c r="P1202" s="97">
        <f t="shared" si="164"/>
        <v>4.0000001116308557</v>
      </c>
      <c r="Q1202" s="135">
        <f t="shared" si="167"/>
        <v>2.5703951220755718E-11</v>
      </c>
      <c r="R1202" s="89">
        <f t="shared" si="167"/>
        <v>9.9999974296048884E-5</v>
      </c>
      <c r="S1202" s="89">
        <f t="shared" si="168"/>
        <v>1.0232929922807514E-12</v>
      </c>
      <c r="T1202" s="136">
        <f t="shared" si="168"/>
        <v>9.7723722095581049E-3</v>
      </c>
      <c r="U1202" s="137">
        <f t="shared" si="169"/>
        <v>2.5703951220755691E-7</v>
      </c>
      <c r="V1202" s="88">
        <f t="shared" si="165"/>
        <v>7.9899998883691445</v>
      </c>
      <c r="W1202" s="86">
        <f t="shared" si="170"/>
        <v>8.5800001116308575</v>
      </c>
      <c r="X1202" s="90">
        <f t="shared" si="166"/>
        <v>9.9997429604877924E-3</v>
      </c>
    </row>
    <row r="1203" spans="13:24" x14ac:dyDescent="0.25">
      <c r="M1203" s="91">
        <v>12</v>
      </c>
      <c r="N1203" s="89">
        <f t="shared" si="162"/>
        <v>2</v>
      </c>
      <c r="O1203" s="89">
        <f t="shared" si="163"/>
        <v>10.600000109089828</v>
      </c>
      <c r="P1203" s="97">
        <f t="shared" si="164"/>
        <v>4.0000001090898278</v>
      </c>
      <c r="Q1203" s="135">
        <f t="shared" si="167"/>
        <v>2.511885800552386E-11</v>
      </c>
      <c r="R1203" s="89">
        <f t="shared" si="167"/>
        <v>9.9999974881141948E-5</v>
      </c>
      <c r="S1203" s="89">
        <f t="shared" si="168"/>
        <v>9.9999999999999998E-13</v>
      </c>
      <c r="T1203" s="136">
        <f t="shared" si="168"/>
        <v>0.01</v>
      </c>
      <c r="U1203" s="137">
        <f t="shared" si="169"/>
        <v>2.5118858005523872E-7</v>
      </c>
      <c r="V1203" s="88">
        <f t="shared" si="165"/>
        <v>7.9999998909101722</v>
      </c>
      <c r="W1203" s="86">
        <f t="shared" si="170"/>
        <v>8.6000001090898284</v>
      </c>
      <c r="X1203" s="90">
        <f t="shared" si="166"/>
        <v>9.9997488114199444E-3</v>
      </c>
    </row>
    <row r="1204" spans="13:24" x14ac:dyDescent="0.25">
      <c r="M1204" s="91">
        <v>12.01</v>
      </c>
      <c r="N1204" s="89">
        <f t="shared" si="162"/>
        <v>1.9900000000000002</v>
      </c>
      <c r="O1204" s="89">
        <f t="shared" si="163"/>
        <v>10.610000106606641</v>
      </c>
      <c r="P1204" s="97">
        <f t="shared" si="164"/>
        <v>4.0000001066066408</v>
      </c>
      <c r="Q1204" s="135">
        <f t="shared" si="167"/>
        <v>2.4547083131255796E-11</v>
      </c>
      <c r="R1204" s="89">
        <f t="shared" si="167"/>
        <v>9.9999975452916794E-5</v>
      </c>
      <c r="S1204" s="89">
        <f t="shared" si="168"/>
        <v>9.7723722095580816E-13</v>
      </c>
      <c r="T1204" s="136">
        <f t="shared" si="168"/>
        <v>1.0232929922807535E-2</v>
      </c>
      <c r="U1204" s="137">
        <f t="shared" si="169"/>
        <v>2.4547083131255816E-7</v>
      </c>
      <c r="V1204" s="88">
        <f t="shared" si="165"/>
        <v>8.0099998933933598</v>
      </c>
      <c r="W1204" s="86">
        <f t="shared" si="170"/>
        <v>8.620000106606641</v>
      </c>
      <c r="X1204" s="90">
        <f t="shared" si="166"/>
        <v>9.9997545291686876E-3</v>
      </c>
    </row>
    <row r="1205" spans="13:24" x14ac:dyDescent="0.25">
      <c r="M1205" s="91">
        <v>12.02</v>
      </c>
      <c r="N1205" s="89">
        <f t="shared" si="162"/>
        <v>1.9800000000000004</v>
      </c>
      <c r="O1205" s="89">
        <f t="shared" si="163"/>
        <v>10.620000104179978</v>
      </c>
      <c r="P1205" s="97">
        <f t="shared" si="164"/>
        <v>4.0000001041799775</v>
      </c>
      <c r="Q1205" s="135">
        <f t="shared" si="167"/>
        <v>2.3988323435796865E-11</v>
      </c>
      <c r="R1205" s="89">
        <f t="shared" si="167"/>
        <v>9.9999976011676457E-5</v>
      </c>
      <c r="S1205" s="89">
        <f t="shared" si="168"/>
        <v>9.5499258602143367E-13</v>
      </c>
      <c r="T1205" s="136">
        <f t="shared" si="168"/>
        <v>1.047128548050898E-2</v>
      </c>
      <c r="U1205" s="137">
        <f t="shared" si="169"/>
        <v>2.3988323435796891E-7</v>
      </c>
      <c r="V1205" s="88">
        <f t="shared" si="165"/>
        <v>8.0199998958200212</v>
      </c>
      <c r="W1205" s="86">
        <f t="shared" si="170"/>
        <v>8.6400001041799772</v>
      </c>
      <c r="X1205" s="90">
        <f t="shared" si="166"/>
        <v>9.9997601167656422E-3</v>
      </c>
    </row>
    <row r="1206" spans="13:24" x14ac:dyDescent="0.25">
      <c r="M1206" s="91">
        <v>12.03</v>
      </c>
      <c r="N1206" s="89">
        <f t="shared" si="162"/>
        <v>1.9700000000000006</v>
      </c>
      <c r="O1206" s="89">
        <f t="shared" si="163"/>
        <v>10.630000101808552</v>
      </c>
      <c r="P1206" s="97">
        <f t="shared" si="164"/>
        <v>4.0000001018085518</v>
      </c>
      <c r="Q1206" s="135">
        <f t="shared" si="167"/>
        <v>2.3442282657791766E-11</v>
      </c>
      <c r="R1206" s="89">
        <f t="shared" si="167"/>
        <v>9.9999976557717222E-5</v>
      </c>
      <c r="S1206" s="89">
        <f t="shared" si="168"/>
        <v>9.3325430079698887E-13</v>
      </c>
      <c r="T1206" s="136">
        <f t="shared" si="168"/>
        <v>1.0715193052376046E-2</v>
      </c>
      <c r="U1206" s="137">
        <f t="shared" si="169"/>
        <v>2.3442282657791794E-7</v>
      </c>
      <c r="V1206" s="88">
        <f t="shared" si="165"/>
        <v>8.0299998981914484</v>
      </c>
      <c r="W1206" s="86">
        <f t="shared" si="170"/>
        <v>8.6600001018085511</v>
      </c>
      <c r="X1206" s="90">
        <f t="shared" si="166"/>
        <v>9.9997655771734226E-3</v>
      </c>
    </row>
    <row r="1207" spans="13:24" x14ac:dyDescent="0.25">
      <c r="M1207" s="91">
        <v>12.04</v>
      </c>
      <c r="N1207" s="89">
        <f t="shared" si="162"/>
        <v>1.9600000000000009</v>
      </c>
      <c r="O1207" s="89">
        <f t="shared" si="163"/>
        <v>10.640000099491106</v>
      </c>
      <c r="P1207" s="97">
        <f t="shared" si="164"/>
        <v>4.0000000994911069</v>
      </c>
      <c r="Q1207" s="135">
        <f t="shared" si="167"/>
        <v>2.2908671279604344E-11</v>
      </c>
      <c r="R1207" s="89">
        <f t="shared" si="167"/>
        <v>9.9999977091328653E-5</v>
      </c>
      <c r="S1207" s="89">
        <f t="shared" si="168"/>
        <v>9.1201083935590769E-13</v>
      </c>
      <c r="T1207" s="136">
        <f t="shared" si="168"/>
        <v>1.0964781961431821E-2</v>
      </c>
      <c r="U1207" s="137">
        <f t="shared" si="169"/>
        <v>2.2908671279604358E-7</v>
      </c>
      <c r="V1207" s="88">
        <f t="shared" si="165"/>
        <v>8.0399999005088922</v>
      </c>
      <c r="W1207" s="86">
        <f t="shared" si="170"/>
        <v>8.6800000994911048</v>
      </c>
      <c r="X1207" s="90">
        <f t="shared" si="166"/>
        <v>9.9997709132872044E-3</v>
      </c>
    </row>
    <row r="1208" spans="13:24" x14ac:dyDescent="0.25">
      <c r="M1208" s="91">
        <v>12.05</v>
      </c>
      <c r="N1208" s="89">
        <f t="shared" si="162"/>
        <v>1.9499999999999993</v>
      </c>
      <c r="O1208" s="89">
        <f t="shared" si="163"/>
        <v>10.650000097226414</v>
      </c>
      <c r="P1208" s="97">
        <f t="shared" si="164"/>
        <v>4.0000000972264127</v>
      </c>
      <c r="Q1208" s="135">
        <f t="shared" si="167"/>
        <v>2.2387206373812069E-11</v>
      </c>
      <c r="R1208" s="89">
        <f t="shared" si="167"/>
        <v>9.9999977612793523E-5</v>
      </c>
      <c r="S1208" s="89">
        <f t="shared" si="168"/>
        <v>8.9125093813374051E-13</v>
      </c>
      <c r="T1208" s="136">
        <f t="shared" si="168"/>
        <v>1.1220184543019644E-2</v>
      </c>
      <c r="U1208" s="137">
        <f t="shared" si="169"/>
        <v>2.2387206373812092E-7</v>
      </c>
      <c r="V1208" s="88">
        <f t="shared" si="165"/>
        <v>8.0499999027735889</v>
      </c>
      <c r="W1208" s="86">
        <f t="shared" si="170"/>
        <v>8.7000000972264147</v>
      </c>
      <c r="X1208" s="90">
        <f t="shared" si="166"/>
        <v>9.9997761279362624E-3</v>
      </c>
    </row>
    <row r="1209" spans="13:24" x14ac:dyDescent="0.25">
      <c r="M1209" s="91">
        <v>12.06</v>
      </c>
      <c r="N1209" s="89">
        <f t="shared" si="162"/>
        <v>1.9399999999999995</v>
      </c>
      <c r="O1209" s="89">
        <f t="shared" si="163"/>
        <v>10.66000009501327</v>
      </c>
      <c r="P1209" s="97">
        <f t="shared" si="164"/>
        <v>4.0000000950132693</v>
      </c>
      <c r="Q1209" s="135">
        <f t="shared" si="167"/>
        <v>2.1877611453195585E-11</v>
      </c>
      <c r="R1209" s="89">
        <f t="shared" si="167"/>
        <v>9.9999978122388629E-5</v>
      </c>
      <c r="S1209" s="89">
        <f t="shared" si="168"/>
        <v>8.7096358995607888E-13</v>
      </c>
      <c r="T1209" s="136">
        <f t="shared" si="168"/>
        <v>1.1481536214968837E-2</v>
      </c>
      <c r="U1209" s="137">
        <f t="shared" si="169"/>
        <v>2.1877611453195566E-7</v>
      </c>
      <c r="V1209" s="88">
        <f t="shared" si="165"/>
        <v>8.0599999049867321</v>
      </c>
      <c r="W1209" s="86">
        <f t="shared" si="170"/>
        <v>8.7200000950132708</v>
      </c>
      <c r="X1209" s="90">
        <f t="shared" si="166"/>
        <v>9.9997812238854684E-3</v>
      </c>
    </row>
    <row r="1210" spans="13:24" x14ac:dyDescent="0.25">
      <c r="M1210" s="91">
        <v>12.07</v>
      </c>
      <c r="N1210" s="89">
        <f t="shared" si="162"/>
        <v>1.9299999999999997</v>
      </c>
      <c r="O1210" s="89">
        <f t="shared" si="163"/>
        <v>10.670000092850504</v>
      </c>
      <c r="P1210" s="97">
        <f t="shared" si="164"/>
        <v>4.0000000928505042</v>
      </c>
      <c r="Q1210" s="135">
        <f t="shared" si="167"/>
        <v>2.137961632414134E-11</v>
      </c>
      <c r="R1210" s="89">
        <f t="shared" si="167"/>
        <v>9.9999978620383598E-5</v>
      </c>
      <c r="S1210" s="89">
        <f t="shared" si="168"/>
        <v>8.5113803820237492E-13</v>
      </c>
      <c r="T1210" s="136">
        <f t="shared" si="168"/>
        <v>1.1748975549395304E-2</v>
      </c>
      <c r="U1210" s="137">
        <f t="shared" si="169"/>
        <v>2.1379616324141357E-7</v>
      </c>
      <c r="V1210" s="88">
        <f t="shared" si="165"/>
        <v>8.0699999071494961</v>
      </c>
      <c r="W1210" s="86">
        <f t="shared" si="170"/>
        <v>8.7400000928505044</v>
      </c>
      <c r="X1210" s="90">
        <f t="shared" si="166"/>
        <v>9.9997862038367583E-3</v>
      </c>
    </row>
    <row r="1211" spans="13:24" x14ac:dyDescent="0.25">
      <c r="M1211" s="91">
        <v>12.08</v>
      </c>
      <c r="N1211" s="89">
        <f t="shared" si="162"/>
        <v>1.92</v>
      </c>
      <c r="O1211" s="89">
        <f t="shared" si="163"/>
        <v>10.680000090736968</v>
      </c>
      <c r="P1211" s="97">
        <f t="shared" si="164"/>
        <v>4.0000000907369682</v>
      </c>
      <c r="Q1211" s="135">
        <f t="shared" si="167"/>
        <v>2.0892956943382953E-11</v>
      </c>
      <c r="R1211" s="89">
        <f t="shared" si="167"/>
        <v>9.9999979107043085E-5</v>
      </c>
      <c r="S1211" s="89">
        <f t="shared" si="168"/>
        <v>8.3176377110266952E-13</v>
      </c>
      <c r="T1211" s="136">
        <f t="shared" si="168"/>
        <v>1.2022644346174125E-2</v>
      </c>
      <c r="U1211" s="137">
        <f t="shared" si="169"/>
        <v>2.0892956943382947E-7</v>
      </c>
      <c r="V1211" s="88">
        <f t="shared" si="165"/>
        <v>8.0799999092630319</v>
      </c>
      <c r="W1211" s="86">
        <f t="shared" si="170"/>
        <v>8.7600000907369679</v>
      </c>
      <c r="X1211" s="90">
        <f t="shared" si="166"/>
        <v>9.9997910704305668E-3</v>
      </c>
    </row>
    <row r="1212" spans="13:24" x14ac:dyDescent="0.25">
      <c r="M1212" s="91">
        <v>12.09</v>
      </c>
      <c r="N1212" s="89">
        <f t="shared" si="162"/>
        <v>1.9100000000000001</v>
      </c>
      <c r="O1212" s="89">
        <f t="shared" si="163"/>
        <v>10.690000088671542</v>
      </c>
      <c r="P1212" s="97">
        <f t="shared" si="164"/>
        <v>4.000000088671543</v>
      </c>
      <c r="Q1212" s="135">
        <f t="shared" si="167"/>
        <v>2.0417375278002304E-11</v>
      </c>
      <c r="R1212" s="89">
        <f t="shared" si="167"/>
        <v>9.9999979582624695E-5</v>
      </c>
      <c r="S1212" s="89">
        <f t="shared" si="168"/>
        <v>8.1283051616409777E-13</v>
      </c>
      <c r="T1212" s="136">
        <f t="shared" si="168"/>
        <v>1.2302687708123809E-2</v>
      </c>
      <c r="U1212" s="137">
        <f t="shared" si="169"/>
        <v>2.0417375278002307E-7</v>
      </c>
      <c r="V1212" s="88">
        <f t="shared" si="165"/>
        <v>8.0899999113284569</v>
      </c>
      <c r="W1212" s="86">
        <f t="shared" si="170"/>
        <v>8.7800000886715424</v>
      </c>
      <c r="X1212" s="90">
        <f t="shared" si="166"/>
        <v>9.9997958262472205E-3</v>
      </c>
    </row>
    <row r="1213" spans="13:24" x14ac:dyDescent="0.25">
      <c r="M1213" s="91">
        <v>12.1</v>
      </c>
      <c r="N1213" s="89">
        <f t="shared" si="162"/>
        <v>1.9000000000000004</v>
      </c>
      <c r="O1213" s="89">
        <f t="shared" si="163"/>
        <v>10.700000086653132</v>
      </c>
      <c r="P1213" s="97">
        <f t="shared" si="164"/>
        <v>4.0000000866531327</v>
      </c>
      <c r="Q1213" s="135">
        <f t="shared" si="167"/>
        <v>1.9952619168617853E-11</v>
      </c>
      <c r="R1213" s="89">
        <f t="shared" si="167"/>
        <v>9.9999980047380831E-5</v>
      </c>
      <c r="S1213" s="89">
        <f t="shared" si="168"/>
        <v>7.9432823472428024E-13</v>
      </c>
      <c r="T1213" s="136">
        <f t="shared" si="168"/>
        <v>1.2589254117941656E-2</v>
      </c>
      <c r="U1213" s="137">
        <f t="shared" si="169"/>
        <v>1.9952619168617852E-7</v>
      </c>
      <c r="V1213" s="88">
        <f t="shared" si="165"/>
        <v>8.099999913346867</v>
      </c>
      <c r="W1213" s="86">
        <f t="shared" si="170"/>
        <v>8.8000000866531316</v>
      </c>
      <c r="X1213" s="90">
        <f t="shared" si="166"/>
        <v>9.9998004738083134E-3</v>
      </c>
    </row>
    <row r="1214" spans="13:24" x14ac:dyDescent="0.25">
      <c r="M1214" s="91">
        <v>12.11</v>
      </c>
      <c r="N1214" s="89">
        <f t="shared" si="162"/>
        <v>1.8900000000000006</v>
      </c>
      <c r="O1214" s="89">
        <f t="shared" si="163"/>
        <v>10.710000084680667</v>
      </c>
      <c r="P1214" s="97">
        <f t="shared" si="164"/>
        <v>4.0000000846806669</v>
      </c>
      <c r="Q1214" s="135">
        <f t="shared" si="167"/>
        <v>1.9498442195687144E-11</v>
      </c>
      <c r="R1214" s="89">
        <f t="shared" si="167"/>
        <v>9.9999980501557715E-5</v>
      </c>
      <c r="S1214" s="89">
        <f t="shared" si="168"/>
        <v>7.7624711662869047E-13</v>
      </c>
      <c r="T1214" s="136">
        <f t="shared" si="168"/>
        <v>1.2882495516931321E-2</v>
      </c>
      <c r="U1214" s="137">
        <f t="shared" si="169"/>
        <v>1.9498442195687161E-7</v>
      </c>
      <c r="V1214" s="88">
        <f t="shared" si="165"/>
        <v>8.1099999153193316</v>
      </c>
      <c r="W1214" s="86">
        <f t="shared" si="170"/>
        <v>8.8200000846806663</v>
      </c>
      <c r="X1214" s="90">
        <f t="shared" si="166"/>
        <v>9.9998050155780428E-3</v>
      </c>
    </row>
    <row r="1215" spans="13:24" x14ac:dyDescent="0.25">
      <c r="M1215" s="91">
        <v>12.12</v>
      </c>
      <c r="N1215" s="89">
        <f t="shared" si="162"/>
        <v>1.8800000000000008</v>
      </c>
      <c r="O1215" s="89">
        <f t="shared" si="163"/>
        <v>10.720000082753099</v>
      </c>
      <c r="P1215" s="97">
        <f t="shared" si="164"/>
        <v>4.0000000827530995</v>
      </c>
      <c r="Q1215" s="135">
        <f t="shared" si="167"/>
        <v>1.9054603548852605E-11</v>
      </c>
      <c r="R1215" s="89">
        <f t="shared" si="167"/>
        <v>9.999998094539638E-5</v>
      </c>
      <c r="S1215" s="89">
        <f t="shared" si="168"/>
        <v>7.5857757502918275E-13</v>
      </c>
      <c r="T1215" s="136">
        <f t="shared" si="168"/>
        <v>1.318256738556404E-2</v>
      </c>
      <c r="U1215" s="137">
        <f t="shared" si="169"/>
        <v>1.9054603548852619E-7</v>
      </c>
      <c r="V1215" s="88">
        <f t="shared" si="165"/>
        <v>8.1199999172469006</v>
      </c>
      <c r="W1215" s="86">
        <f t="shared" si="170"/>
        <v>8.8400000827530985</v>
      </c>
      <c r="X1215" s="90">
        <f t="shared" si="166"/>
        <v>9.9998094539645119E-3</v>
      </c>
    </row>
    <row r="1216" spans="13:24" x14ac:dyDescent="0.25">
      <c r="M1216" s="91">
        <v>12.13</v>
      </c>
      <c r="N1216" s="89">
        <f t="shared" si="162"/>
        <v>1.8699999999999992</v>
      </c>
      <c r="O1216" s="89">
        <f t="shared" si="163"/>
        <v>10.730000080869411</v>
      </c>
      <c r="P1216" s="97">
        <f t="shared" si="164"/>
        <v>4.0000000808694089</v>
      </c>
      <c r="Q1216" s="135">
        <f t="shared" si="167"/>
        <v>1.8620867899260704E-11</v>
      </c>
      <c r="R1216" s="89">
        <f t="shared" si="167"/>
        <v>9.9999981379132177E-5</v>
      </c>
      <c r="S1216" s="89">
        <f t="shared" si="168"/>
        <v>7.4131024130091393E-13</v>
      </c>
      <c r="T1216" s="136">
        <f t="shared" si="168"/>
        <v>1.348962882591655E-2</v>
      </c>
      <c r="U1216" s="137">
        <f t="shared" si="169"/>
        <v>1.8620867899260691E-7</v>
      </c>
      <c r="V1216" s="88">
        <f t="shared" si="165"/>
        <v>8.1299999191305918</v>
      </c>
      <c r="W1216" s="86">
        <f t="shared" si="170"/>
        <v>8.8600000808694119</v>
      </c>
      <c r="X1216" s="90">
        <f t="shared" si="166"/>
        <v>9.9998137913210067E-3</v>
      </c>
    </row>
    <row r="1217" spans="13:24" x14ac:dyDescent="0.25">
      <c r="M1217" s="91">
        <v>12.14</v>
      </c>
      <c r="N1217" s="89">
        <f t="shared" si="162"/>
        <v>1.8599999999999994</v>
      </c>
      <c r="O1217" s="89">
        <f t="shared" si="163"/>
        <v>10.740000079028597</v>
      </c>
      <c r="P1217" s="97">
        <f t="shared" si="164"/>
        <v>4.000000079028597</v>
      </c>
      <c r="Q1217" s="135">
        <f t="shared" si="167"/>
        <v>1.819700527478915E-11</v>
      </c>
      <c r="R1217" s="89">
        <f t="shared" si="167"/>
        <v>9.9999981802994647E-5</v>
      </c>
      <c r="S1217" s="89">
        <f t="shared" si="168"/>
        <v>7.2443596007498653E-13</v>
      </c>
      <c r="T1217" s="136">
        <f t="shared" si="168"/>
        <v>1.3803842646028861E-2</v>
      </c>
      <c r="U1217" s="137">
        <f t="shared" si="169"/>
        <v>1.8197005274789164E-7</v>
      </c>
      <c r="V1217" s="88">
        <f t="shared" si="165"/>
        <v>8.1399999209714036</v>
      </c>
      <c r="W1217" s="86">
        <f t="shared" si="170"/>
        <v>8.8800000790285978</v>
      </c>
      <c r="X1217" s="90">
        <f t="shared" si="166"/>
        <v>9.9998180299472519E-3</v>
      </c>
    </row>
    <row r="1218" spans="13:24" x14ac:dyDescent="0.25">
      <c r="M1218" s="91">
        <v>12.15</v>
      </c>
      <c r="N1218" s="89">
        <f t="shared" si="162"/>
        <v>1.8499999999999996</v>
      </c>
      <c r="O1218" s="89">
        <f t="shared" si="163"/>
        <v>10.750000077229688</v>
      </c>
      <c r="P1218" s="97">
        <f t="shared" si="164"/>
        <v>4.0000000772296866</v>
      </c>
      <c r="Q1218" s="135">
        <f t="shared" si="167"/>
        <v>1.778279093811207E-11</v>
      </c>
      <c r="R1218" s="89">
        <f t="shared" si="167"/>
        <v>9.9999982217209018E-5</v>
      </c>
      <c r="S1218" s="89">
        <f t="shared" si="168"/>
        <v>7.0794578438413455E-13</v>
      </c>
      <c r="T1218" s="136">
        <f t="shared" si="168"/>
        <v>1.4125375446227554E-2</v>
      </c>
      <c r="U1218" s="137">
        <f t="shared" si="169"/>
        <v>1.7782790938112079E-7</v>
      </c>
      <c r="V1218" s="88">
        <f t="shared" si="165"/>
        <v>8.1499999227703128</v>
      </c>
      <c r="W1218" s="86">
        <f t="shared" si="170"/>
        <v>8.9000000772296879</v>
      </c>
      <c r="X1218" s="90">
        <f t="shared" si="166"/>
        <v>9.9998221720906198E-3</v>
      </c>
    </row>
    <row r="1219" spans="13:24" x14ac:dyDescent="0.25">
      <c r="M1219" s="91">
        <v>12.16</v>
      </c>
      <c r="N1219" s="89">
        <f t="shared" ref="N1219:N1282" si="171">14-M1219</f>
        <v>1.8399999999999999</v>
      </c>
      <c r="O1219" s="89">
        <f t="shared" ref="O1219:O1282" si="172">-LOG(10^-$B$3/(1+10^(M1219-$A$3)))</f>
        <v>10.760000075471725</v>
      </c>
      <c r="P1219" s="97">
        <f t="shared" ref="P1219:P1282" si="173">-LOG(10^-$B$3/(1+10^($A$3-M1219)))</f>
        <v>4.0000000754717249</v>
      </c>
      <c r="Q1219" s="135">
        <f t="shared" si="167"/>
        <v>1.7378005267542526E-11</v>
      </c>
      <c r="R1219" s="89">
        <f t="shared" si="167"/>
        <v>9.9999982621994476E-5</v>
      </c>
      <c r="S1219" s="89">
        <f t="shared" si="168"/>
        <v>6.9183097091893335E-13</v>
      </c>
      <c r="T1219" s="136">
        <f t="shared" si="168"/>
        <v>1.4454397707459272E-2</v>
      </c>
      <c r="U1219" s="137">
        <f t="shared" si="169"/>
        <v>1.737800526754257E-7</v>
      </c>
      <c r="V1219" s="88">
        <f t="shared" ref="V1219:V1282" si="174">ABS(P1219-M1219)</f>
        <v>8.1599999245282753</v>
      </c>
      <c r="W1219" s="86">
        <f t="shared" si="170"/>
        <v>8.9200000754717248</v>
      </c>
      <c r="X1219" s="90">
        <f t="shared" ref="X1219:X1282" si="175">ABS($J$2-U1219)</f>
        <v>9.9998262199473241E-3</v>
      </c>
    </row>
    <row r="1220" spans="13:24" x14ac:dyDescent="0.25">
      <c r="M1220" s="91">
        <v>12.17</v>
      </c>
      <c r="N1220" s="89">
        <f t="shared" si="171"/>
        <v>1.83</v>
      </c>
      <c r="O1220" s="89">
        <f t="shared" si="172"/>
        <v>10.77000007375378</v>
      </c>
      <c r="P1220" s="97">
        <f t="shared" si="173"/>
        <v>4.0000000737537782</v>
      </c>
      <c r="Q1220" s="135">
        <f t="shared" ref="Q1220:R1283" si="176">10^-O1220</f>
        <v>1.698243364058632E-11</v>
      </c>
      <c r="R1220" s="89">
        <f t="shared" si="176"/>
        <v>9.9999983017566343E-5</v>
      </c>
      <c r="S1220" s="89">
        <f t="shared" ref="S1220:T1283" si="177">10^-M1220</f>
        <v>6.7608297539198111E-13</v>
      </c>
      <c r="T1220" s="136">
        <f t="shared" si="177"/>
        <v>1.4791083881682071E-2</v>
      </c>
      <c r="U1220" s="137">
        <f t="shared" ref="U1220:U1283" si="178">Q1220/(Q1220+R1220)</f>
        <v>1.6982433640586322E-7</v>
      </c>
      <c r="V1220" s="88">
        <f t="shared" si="174"/>
        <v>8.1699999262462217</v>
      </c>
      <c r="W1220" s="86">
        <f t="shared" ref="W1220:W1283" si="179">ABS(O1220-N1220)</f>
        <v>8.9400000737537795</v>
      </c>
      <c r="X1220" s="90">
        <f t="shared" si="175"/>
        <v>9.9998301756635943E-3</v>
      </c>
    </row>
    <row r="1221" spans="13:24" x14ac:dyDescent="0.25">
      <c r="M1221" s="91">
        <v>12.18</v>
      </c>
      <c r="N1221" s="89">
        <f t="shared" si="171"/>
        <v>1.8200000000000003</v>
      </c>
      <c r="O1221" s="89">
        <f t="shared" si="172"/>
        <v>10.780000072074937</v>
      </c>
      <c r="P1221" s="97">
        <f t="shared" si="173"/>
        <v>4.000000072074938</v>
      </c>
      <c r="Q1221" s="135">
        <f t="shared" si="176"/>
        <v>1.6595866320147342E-11</v>
      </c>
      <c r="R1221" s="89">
        <f t="shared" si="176"/>
        <v>9.9999983404133492E-5</v>
      </c>
      <c r="S1221" s="89">
        <f t="shared" si="177"/>
        <v>6.606934480075954E-13</v>
      </c>
      <c r="T1221" s="136">
        <f t="shared" si="177"/>
        <v>1.5135612484362064E-2</v>
      </c>
      <c r="U1221" s="137">
        <f t="shared" si="178"/>
        <v>1.6595866320147373E-7</v>
      </c>
      <c r="V1221" s="88">
        <f t="shared" si="174"/>
        <v>8.1799999279250617</v>
      </c>
      <c r="W1221" s="86">
        <f t="shared" si="179"/>
        <v>8.9600000720749371</v>
      </c>
      <c r="X1221" s="90">
        <f t="shared" si="175"/>
        <v>9.9998340413367994E-3</v>
      </c>
    </row>
    <row r="1222" spans="13:24" x14ac:dyDescent="0.25">
      <c r="M1222" s="91">
        <v>12.19</v>
      </c>
      <c r="N1222" s="89">
        <f t="shared" si="171"/>
        <v>1.8100000000000005</v>
      </c>
      <c r="O1222" s="89">
        <f t="shared" si="172"/>
        <v>10.790000070434312</v>
      </c>
      <c r="P1222" s="97">
        <f t="shared" si="173"/>
        <v>4.0000000704343117</v>
      </c>
      <c r="Q1222" s="135">
        <f t="shared" si="176"/>
        <v>1.6218098343321692E-11</v>
      </c>
      <c r="R1222" s="89">
        <f t="shared" si="176"/>
        <v>9.9999983781901662E-5</v>
      </c>
      <c r="S1222" s="89">
        <f t="shared" si="177"/>
        <v>6.4565422903465492E-13</v>
      </c>
      <c r="T1222" s="136">
        <f t="shared" si="177"/>
        <v>1.5488166189124792E-2</v>
      </c>
      <c r="U1222" s="137">
        <f t="shared" si="178"/>
        <v>1.6218098343321691E-7</v>
      </c>
      <c r="V1222" s="88">
        <f t="shared" si="174"/>
        <v>8.1899999295656869</v>
      </c>
      <c r="W1222" s="86">
        <f t="shared" si="179"/>
        <v>8.9800000704343113</v>
      </c>
      <c r="X1222" s="90">
        <f t="shared" si="175"/>
        <v>9.9998378190165674E-3</v>
      </c>
    </row>
    <row r="1223" spans="13:24" x14ac:dyDescent="0.25">
      <c r="M1223" s="91">
        <v>12.2</v>
      </c>
      <c r="N1223" s="89">
        <f t="shared" si="171"/>
        <v>1.8000000000000007</v>
      </c>
      <c r="O1223" s="89">
        <f t="shared" si="172"/>
        <v>10.80000006883103</v>
      </c>
      <c r="P1223" s="97">
        <f t="shared" si="173"/>
        <v>4.0000000688310315</v>
      </c>
      <c r="Q1223" s="135">
        <f t="shared" si="176"/>
        <v>1.5848929412725099E-11</v>
      </c>
      <c r="R1223" s="89">
        <f t="shared" si="176"/>
        <v>9.9999984151070455E-5</v>
      </c>
      <c r="S1223" s="89">
        <f t="shared" si="177"/>
        <v>6.3095734448019283E-13</v>
      </c>
      <c r="T1223" s="136">
        <f t="shared" si="177"/>
        <v>1.58489319246111E-2</v>
      </c>
      <c r="U1223" s="137">
        <f t="shared" si="178"/>
        <v>1.5848929412725121E-7</v>
      </c>
      <c r="V1223" s="88">
        <f t="shared" si="174"/>
        <v>8.1999999311689677</v>
      </c>
      <c r="W1223" s="86">
        <f t="shared" si="179"/>
        <v>9.0000000688310298</v>
      </c>
      <c r="X1223" s="90">
        <f t="shared" si="175"/>
        <v>9.9998415107058723E-3</v>
      </c>
    </row>
    <row r="1224" spans="13:24" x14ac:dyDescent="0.25">
      <c r="M1224" s="91">
        <v>12.21</v>
      </c>
      <c r="N1224" s="89">
        <f t="shared" si="171"/>
        <v>1.7899999999999991</v>
      </c>
      <c r="O1224" s="89">
        <f t="shared" si="172"/>
        <v>10.810000067264246</v>
      </c>
      <c r="P1224" s="97">
        <f t="shared" si="173"/>
        <v>4.0000000672642457</v>
      </c>
      <c r="Q1224" s="135">
        <f t="shared" si="176"/>
        <v>1.5488163790292205E-11</v>
      </c>
      <c r="R1224" s="89">
        <f t="shared" si="176"/>
        <v>9.9999984511836221E-5</v>
      </c>
      <c r="S1224" s="89">
        <f t="shared" si="177"/>
        <v>6.1659500186147956E-13</v>
      </c>
      <c r="T1224" s="136">
        <f t="shared" si="177"/>
        <v>1.6218100973589333E-2</v>
      </c>
      <c r="U1224" s="137">
        <f t="shared" si="178"/>
        <v>1.5488163790292204E-7</v>
      </c>
      <c r="V1224" s="88">
        <f t="shared" si="174"/>
        <v>8.2099999327357551</v>
      </c>
      <c r="W1224" s="86">
        <f t="shared" si="179"/>
        <v>9.0200000672642471</v>
      </c>
      <c r="X1224" s="90">
        <f t="shared" si="175"/>
        <v>9.9998451183620964E-3</v>
      </c>
    </row>
    <row r="1225" spans="13:24" x14ac:dyDescent="0.25">
      <c r="M1225" s="91">
        <v>12.22</v>
      </c>
      <c r="N1225" s="89">
        <f t="shared" si="171"/>
        <v>1.7799999999999994</v>
      </c>
      <c r="O1225" s="89">
        <f t="shared" si="172"/>
        <v>10.820000065733126</v>
      </c>
      <c r="P1225" s="97">
        <f t="shared" si="173"/>
        <v>4.0000000657331247</v>
      </c>
      <c r="Q1225" s="135">
        <f t="shared" si="176"/>
        <v>1.5135610193494701E-11</v>
      </c>
      <c r="R1225" s="89">
        <f t="shared" si="176"/>
        <v>9.999998486438971E-5</v>
      </c>
      <c r="S1225" s="89">
        <f t="shared" si="177"/>
        <v>6.025595860743553E-13</v>
      </c>
      <c r="T1225" s="136">
        <f t="shared" si="177"/>
        <v>1.6595869074375623E-2</v>
      </c>
      <c r="U1225" s="137">
        <f t="shared" si="178"/>
        <v>1.5135610193494715E-7</v>
      </c>
      <c r="V1225" s="88">
        <f t="shared" si="174"/>
        <v>8.2199999342668768</v>
      </c>
      <c r="W1225" s="86">
        <f t="shared" si="179"/>
        <v>9.0400000657331265</v>
      </c>
      <c r="X1225" s="90">
        <f t="shared" si="175"/>
        <v>9.9998486438980655E-3</v>
      </c>
    </row>
    <row r="1226" spans="13:24" x14ac:dyDescent="0.25">
      <c r="M1226" s="91">
        <v>12.23</v>
      </c>
      <c r="N1226" s="89">
        <f t="shared" si="171"/>
        <v>1.7699999999999996</v>
      </c>
      <c r="O1226" s="89">
        <f t="shared" si="172"/>
        <v>10.830000064236858</v>
      </c>
      <c r="P1226" s="97">
        <f t="shared" si="173"/>
        <v>4.0000000642368567</v>
      </c>
      <c r="Q1226" s="135">
        <f t="shared" si="176"/>
        <v>1.4791081693920719E-11</v>
      </c>
      <c r="R1226" s="89">
        <f t="shared" si="176"/>
        <v>9.9999985208918153E-5</v>
      </c>
      <c r="S1226" s="89">
        <f t="shared" si="177"/>
        <v>5.8884365535558666E-13</v>
      </c>
      <c r="T1226" s="136">
        <f t="shared" si="177"/>
        <v>1.6982436524617461E-2</v>
      </c>
      <c r="U1226" s="137">
        <f t="shared" si="178"/>
        <v>1.4791081693920742E-7</v>
      </c>
      <c r="V1226" s="88">
        <f t="shared" si="174"/>
        <v>8.2299999357631428</v>
      </c>
      <c r="W1226" s="86">
        <f t="shared" si="179"/>
        <v>9.0600000642368581</v>
      </c>
      <c r="X1226" s="90">
        <f t="shared" si="175"/>
        <v>9.9998520891830603E-3</v>
      </c>
    </row>
    <row r="1227" spans="13:24" x14ac:dyDescent="0.25">
      <c r="M1227" s="91">
        <v>12.24</v>
      </c>
      <c r="N1227" s="89">
        <f t="shared" si="171"/>
        <v>1.7599999999999998</v>
      </c>
      <c r="O1227" s="89">
        <f t="shared" si="172"/>
        <v>10.840000062774648</v>
      </c>
      <c r="P1227" s="97">
        <f t="shared" si="173"/>
        <v>4.0000000627746468</v>
      </c>
      <c r="Q1227" s="135">
        <f t="shared" si="176"/>
        <v>1.4454395618163382E-11</v>
      </c>
      <c r="R1227" s="89">
        <f t="shared" si="176"/>
        <v>9.9999985545604344E-5</v>
      </c>
      <c r="S1227" s="89">
        <f t="shared" si="177"/>
        <v>5.7543993733715476E-13</v>
      </c>
      <c r="T1227" s="136">
        <f t="shared" si="177"/>
        <v>1.7378008287493755E-2</v>
      </c>
      <c r="U1227" s="137">
        <f t="shared" si="178"/>
        <v>1.4454395618163388E-7</v>
      </c>
      <c r="V1227" s="88">
        <f t="shared" si="174"/>
        <v>8.2399999372253525</v>
      </c>
      <c r="W1227" s="86">
        <f t="shared" si="179"/>
        <v>9.0800000627746478</v>
      </c>
      <c r="X1227" s="90">
        <f t="shared" si="175"/>
        <v>9.9998554560438192E-3</v>
      </c>
    </row>
    <row r="1228" spans="13:24" x14ac:dyDescent="0.25">
      <c r="M1228" s="91">
        <v>12.25</v>
      </c>
      <c r="N1228" s="89">
        <f t="shared" si="171"/>
        <v>1.75</v>
      </c>
      <c r="O1228" s="89">
        <f t="shared" si="172"/>
        <v>10.850000061345721</v>
      </c>
      <c r="P1228" s="97">
        <f t="shared" si="173"/>
        <v>4.0000000613457214</v>
      </c>
      <c r="Q1228" s="135">
        <f t="shared" si="176"/>
        <v>1.412537345096549E-11</v>
      </c>
      <c r="R1228" s="89">
        <f t="shared" si="176"/>
        <v>9.9999985874626608E-5</v>
      </c>
      <c r="S1228" s="89">
        <f t="shared" si="177"/>
        <v>5.6234132519034702E-13</v>
      </c>
      <c r="T1228" s="136">
        <f t="shared" si="177"/>
        <v>1.7782794100389226E-2</v>
      </c>
      <c r="U1228" s="137">
        <f t="shared" si="178"/>
        <v>1.4125373450965482E-7</v>
      </c>
      <c r="V1228" s="88">
        <f t="shared" si="174"/>
        <v>8.2499999386542786</v>
      </c>
      <c r="W1228" s="86">
        <f t="shared" si="179"/>
        <v>9.100000061345721</v>
      </c>
      <c r="X1228" s="90">
        <f t="shared" si="175"/>
        <v>9.9998587462654907E-3</v>
      </c>
    </row>
    <row r="1229" spans="13:24" x14ac:dyDescent="0.25">
      <c r="M1229" s="91">
        <v>12.26</v>
      </c>
      <c r="N1229" s="89">
        <f t="shared" si="171"/>
        <v>1.7400000000000002</v>
      </c>
      <c r="O1229" s="89">
        <f t="shared" si="172"/>
        <v>10.860000059949323</v>
      </c>
      <c r="P1229" s="97">
        <f t="shared" si="173"/>
        <v>4.0000000599493228</v>
      </c>
      <c r="Q1229" s="135">
        <f t="shared" si="176"/>
        <v>1.3803840740568365E-11</v>
      </c>
      <c r="R1229" s="89">
        <f t="shared" si="176"/>
        <v>9.9999986196159244E-5</v>
      </c>
      <c r="S1229" s="89">
        <f t="shared" si="177"/>
        <v>5.4954087385762248E-13</v>
      </c>
      <c r="T1229" s="136">
        <f t="shared" si="177"/>
        <v>1.8197008586099812E-2</v>
      </c>
      <c r="U1229" s="137">
        <f t="shared" si="178"/>
        <v>1.3803840740568365E-7</v>
      </c>
      <c r="V1229" s="88">
        <f t="shared" si="174"/>
        <v>8.2599999400506761</v>
      </c>
      <c r="W1229" s="86">
        <f t="shared" si="179"/>
        <v>9.1200000599493229</v>
      </c>
      <c r="X1229" s="90">
        <f t="shared" si="175"/>
        <v>9.9998619615925943E-3</v>
      </c>
    </row>
    <row r="1230" spans="13:24" x14ac:dyDescent="0.25">
      <c r="M1230" s="91">
        <v>12.27</v>
      </c>
      <c r="N1230" s="89">
        <f t="shared" si="171"/>
        <v>1.7300000000000004</v>
      </c>
      <c r="O1230" s="89">
        <f t="shared" si="172"/>
        <v>10.87000005858471</v>
      </c>
      <c r="P1230" s="97">
        <f t="shared" si="173"/>
        <v>4.0000000585847095</v>
      </c>
      <c r="Q1230" s="135">
        <f t="shared" si="176"/>
        <v>1.3489627006215887E-11</v>
      </c>
      <c r="R1230" s="89">
        <f t="shared" si="176"/>
        <v>9.9999986510372906E-5</v>
      </c>
      <c r="S1230" s="89">
        <f t="shared" si="177"/>
        <v>5.3703179637025273E-13</v>
      </c>
      <c r="T1230" s="136">
        <f t="shared" si="177"/>
        <v>1.8620871366628652E-2</v>
      </c>
      <c r="U1230" s="137">
        <f t="shared" si="178"/>
        <v>1.34896270062159E-7</v>
      </c>
      <c r="V1230" s="88">
        <f t="shared" si="174"/>
        <v>8.2699999414152892</v>
      </c>
      <c r="W1230" s="86">
        <f t="shared" si="179"/>
        <v>9.1400000585847092</v>
      </c>
      <c r="X1230" s="90">
        <f t="shared" si="175"/>
        <v>9.999865103729938E-3</v>
      </c>
    </row>
    <row r="1231" spans="13:24" x14ac:dyDescent="0.25">
      <c r="M1231" s="91">
        <v>12.28</v>
      </c>
      <c r="N1231" s="89">
        <f t="shared" si="171"/>
        <v>1.7200000000000006</v>
      </c>
      <c r="O1231" s="89">
        <f t="shared" si="172"/>
        <v>10.880000057251159</v>
      </c>
      <c r="P1231" s="97">
        <f t="shared" si="173"/>
        <v>4.0000000572511594</v>
      </c>
      <c r="Q1231" s="135">
        <f t="shared" si="176"/>
        <v>1.3182565647763439E-11</v>
      </c>
      <c r="R1231" s="89">
        <f t="shared" si="176"/>
        <v>9.9999986817434099E-5</v>
      </c>
      <c r="S1231" s="89">
        <f t="shared" si="177"/>
        <v>5.2480746024977259E-13</v>
      </c>
      <c r="T1231" s="136">
        <f t="shared" si="177"/>
        <v>1.9054607179632439E-2</v>
      </c>
      <c r="U1231" s="137">
        <f t="shared" si="178"/>
        <v>1.3182565647763473E-7</v>
      </c>
      <c r="V1231" s="88">
        <f t="shared" si="174"/>
        <v>8.2799999427488409</v>
      </c>
      <c r="W1231" s="86">
        <f t="shared" si="179"/>
        <v>9.1600000572511586</v>
      </c>
      <c r="X1231" s="90">
        <f t="shared" si="175"/>
        <v>9.9998681743435226E-3</v>
      </c>
    </row>
    <row r="1232" spans="13:24" x14ac:dyDescent="0.25">
      <c r="M1232" s="91">
        <v>12.29</v>
      </c>
      <c r="N1232" s="89">
        <f t="shared" si="171"/>
        <v>1.7100000000000009</v>
      </c>
      <c r="O1232" s="89">
        <f t="shared" si="172"/>
        <v>10.890000055947963</v>
      </c>
      <c r="P1232" s="97">
        <f t="shared" si="173"/>
        <v>4.0000000559479636</v>
      </c>
      <c r="Q1232" s="135">
        <f t="shared" si="176"/>
        <v>1.2882493857344608E-11</v>
      </c>
      <c r="R1232" s="89">
        <f t="shared" si="176"/>
        <v>9.9999987117506024E-5</v>
      </c>
      <c r="S1232" s="89">
        <f t="shared" si="177"/>
        <v>5.1286138399136499E-13</v>
      </c>
      <c r="T1232" s="136">
        <f t="shared" si="177"/>
        <v>1.9498445997580407E-2</v>
      </c>
      <c r="U1232" s="137">
        <f t="shared" si="178"/>
        <v>1.2882493857344623E-7</v>
      </c>
      <c r="V1232" s="88">
        <f t="shared" si="174"/>
        <v>8.2899999440520347</v>
      </c>
      <c r="W1232" s="86">
        <f t="shared" si="179"/>
        <v>9.1800000559479624</v>
      </c>
      <c r="X1232" s="90">
        <f t="shared" si="175"/>
        <v>9.9998711750614276E-3</v>
      </c>
    </row>
    <row r="1233" spans="13:24" x14ac:dyDescent="0.25">
      <c r="M1233" s="91">
        <v>12.3</v>
      </c>
      <c r="N1233" s="89">
        <f t="shared" si="171"/>
        <v>1.6999999999999993</v>
      </c>
      <c r="O1233" s="89">
        <f t="shared" si="172"/>
        <v>10.900000054674432</v>
      </c>
      <c r="P1233" s="97">
        <f t="shared" si="173"/>
        <v>4.0000000546744321</v>
      </c>
      <c r="Q1233" s="135">
        <f t="shared" si="176"/>
        <v>1.2589252533048641E-11</v>
      </c>
      <c r="R1233" s="89">
        <f t="shared" si="176"/>
        <v>9.9999987410747515E-5</v>
      </c>
      <c r="S1233" s="89">
        <f t="shared" si="177"/>
        <v>5.0118723362727066E-13</v>
      </c>
      <c r="T1233" s="136">
        <f t="shared" si="177"/>
        <v>1.9952623149688816E-2</v>
      </c>
      <c r="U1233" s="137">
        <f t="shared" si="178"/>
        <v>1.2589252533048637E-7</v>
      </c>
      <c r="V1233" s="88">
        <f t="shared" si="174"/>
        <v>8.2999999453255686</v>
      </c>
      <c r="W1233" s="86">
        <f t="shared" si="179"/>
        <v>9.2000000546744332</v>
      </c>
      <c r="X1233" s="90">
        <f t="shared" si="175"/>
        <v>9.9998741074746704E-3</v>
      </c>
    </row>
    <row r="1234" spans="13:24" x14ac:dyDescent="0.25">
      <c r="M1234" s="91">
        <v>12.31</v>
      </c>
      <c r="N1234" s="89">
        <f t="shared" si="171"/>
        <v>1.6899999999999995</v>
      </c>
      <c r="O1234" s="89">
        <f t="shared" si="172"/>
        <v>10.910000053429892</v>
      </c>
      <c r="P1234" s="97">
        <f t="shared" si="173"/>
        <v>4.0000000534298907</v>
      </c>
      <c r="Q1234" s="135">
        <f t="shared" si="176"/>
        <v>1.230268619456269E-11</v>
      </c>
      <c r="R1234" s="89">
        <f t="shared" si="176"/>
        <v>9.9999987697313629E-5</v>
      </c>
      <c r="S1234" s="89">
        <f t="shared" si="177"/>
        <v>4.8977881936844462E-13</v>
      </c>
      <c r="T1234" s="136">
        <f t="shared" si="177"/>
        <v>2.0417379446695305E-2</v>
      </c>
      <c r="U1234" s="137">
        <f t="shared" si="178"/>
        <v>1.2302686194562711E-7</v>
      </c>
      <c r="V1234" s="88">
        <f t="shared" si="174"/>
        <v>8.3099999465701089</v>
      </c>
      <c r="W1234" s="86">
        <f t="shared" si="179"/>
        <v>9.2200000534298923</v>
      </c>
      <c r="X1234" s="90">
        <f t="shared" si="175"/>
        <v>9.9998769731380541E-3</v>
      </c>
    </row>
    <row r="1235" spans="13:24" x14ac:dyDescent="0.25">
      <c r="M1235" s="91">
        <v>12.32</v>
      </c>
      <c r="N1235" s="89">
        <f t="shared" si="171"/>
        <v>1.6799999999999997</v>
      </c>
      <c r="O1235" s="89">
        <f t="shared" si="172"/>
        <v>10.920000052213679</v>
      </c>
      <c r="P1235" s="97">
        <f t="shared" si="173"/>
        <v>4.0000000522136778</v>
      </c>
      <c r="Q1235" s="135">
        <f t="shared" si="176"/>
        <v>1.2022642900734476E-11</v>
      </c>
      <c r="R1235" s="89">
        <f t="shared" si="176"/>
        <v>9.9999987977356951E-5</v>
      </c>
      <c r="S1235" s="89">
        <f t="shared" si="177"/>
        <v>4.7863009232263685E-13</v>
      </c>
      <c r="T1235" s="136">
        <f t="shared" si="177"/>
        <v>2.0892961308540403E-2</v>
      </c>
      <c r="U1235" s="137">
        <f t="shared" si="178"/>
        <v>1.2022642900734494E-7</v>
      </c>
      <c r="V1235" s="88">
        <f t="shared" si="174"/>
        <v>8.3199999477863216</v>
      </c>
      <c r="W1235" s="86">
        <f t="shared" si="179"/>
        <v>9.2400000522136789</v>
      </c>
      <c r="X1235" s="90">
        <f t="shared" si="175"/>
        <v>9.9998797735709934E-3</v>
      </c>
    </row>
    <row r="1236" spans="13:24" x14ac:dyDescent="0.25">
      <c r="M1236" s="91">
        <v>12.33</v>
      </c>
      <c r="N1236" s="89">
        <f t="shared" si="171"/>
        <v>1.67</v>
      </c>
      <c r="O1236" s="89">
        <f t="shared" si="172"/>
        <v>10.93000005102515</v>
      </c>
      <c r="P1236" s="97">
        <f t="shared" si="173"/>
        <v>4.0000000510251494</v>
      </c>
      <c r="Q1236" s="135">
        <f t="shared" si="176"/>
        <v>1.1748974169011138E-11</v>
      </c>
      <c r="R1236" s="89">
        <f t="shared" si="176"/>
        <v>9.9999988251025843E-5</v>
      </c>
      <c r="S1236" s="89">
        <f t="shared" si="177"/>
        <v>4.6773514128719676E-13</v>
      </c>
      <c r="T1236" s="136">
        <f t="shared" si="177"/>
        <v>2.1379620895022322E-2</v>
      </c>
      <c r="U1236" s="137">
        <f t="shared" si="178"/>
        <v>1.1748974169011137E-7</v>
      </c>
      <c r="V1236" s="88">
        <f t="shared" si="174"/>
        <v>8.3299999489748515</v>
      </c>
      <c r="W1236" s="86">
        <f t="shared" si="179"/>
        <v>9.2600000510251501</v>
      </c>
      <c r="X1236" s="90">
        <f t="shared" si="175"/>
        <v>9.9998825102583094E-3</v>
      </c>
    </row>
    <row r="1237" spans="13:24" x14ac:dyDescent="0.25">
      <c r="M1237" s="91">
        <v>12.34</v>
      </c>
      <c r="N1237" s="89">
        <f t="shared" si="171"/>
        <v>1.6600000000000001</v>
      </c>
      <c r="O1237" s="89">
        <f t="shared" si="172"/>
        <v>10.940000049863675</v>
      </c>
      <c r="P1237" s="97">
        <f t="shared" si="173"/>
        <v>4.000000049863675</v>
      </c>
      <c r="Q1237" s="135">
        <f t="shared" si="176"/>
        <v>1.1481534896712199E-11</v>
      </c>
      <c r="R1237" s="89">
        <f t="shared" si="176"/>
        <v>9.999998851846503E-5</v>
      </c>
      <c r="S1237" s="89">
        <f t="shared" si="177"/>
        <v>4.5708818961487372E-13</v>
      </c>
      <c r="T1237" s="136">
        <f t="shared" si="177"/>
        <v>2.1877616239495513E-2</v>
      </c>
      <c r="U1237" s="137">
        <f t="shared" si="178"/>
        <v>1.1481534896712208E-7</v>
      </c>
      <c r="V1237" s="88">
        <f t="shared" si="174"/>
        <v>8.339999950136324</v>
      </c>
      <c r="W1237" s="86">
        <f t="shared" si="179"/>
        <v>9.2800000498636752</v>
      </c>
      <c r="X1237" s="90">
        <f t="shared" si="175"/>
        <v>9.9998851846510323E-3</v>
      </c>
    </row>
    <row r="1238" spans="13:24" x14ac:dyDescent="0.25">
      <c r="M1238" s="91">
        <v>12.35</v>
      </c>
      <c r="N1238" s="89">
        <f t="shared" si="171"/>
        <v>1.6500000000000004</v>
      </c>
      <c r="O1238" s="89">
        <f t="shared" si="172"/>
        <v>10.95000004872864</v>
      </c>
      <c r="P1238" s="97">
        <f t="shared" si="173"/>
        <v>4.0000000487286398</v>
      </c>
      <c r="Q1238" s="135">
        <f t="shared" si="176"/>
        <v>1.1220183284094345E-11</v>
      </c>
      <c r="R1238" s="89">
        <f t="shared" si="176"/>
        <v>9.9999988779816653E-5</v>
      </c>
      <c r="S1238" s="89">
        <f t="shared" si="177"/>
        <v>4.4668359215096191E-13</v>
      </c>
      <c r="T1238" s="136">
        <f t="shared" si="177"/>
        <v>2.2387211385683371E-2</v>
      </c>
      <c r="U1238" s="137">
        <f t="shared" si="178"/>
        <v>1.1220183284094352E-7</v>
      </c>
      <c r="V1238" s="88">
        <f t="shared" si="174"/>
        <v>8.3499999512713607</v>
      </c>
      <c r="W1238" s="86">
        <f t="shared" si="179"/>
        <v>9.3000000487286396</v>
      </c>
      <c r="X1238" s="90">
        <f t="shared" si="175"/>
        <v>9.9998877981671598E-3</v>
      </c>
    </row>
    <row r="1239" spans="13:24" x14ac:dyDescent="0.25">
      <c r="M1239" s="91">
        <v>12.36</v>
      </c>
      <c r="N1239" s="89">
        <f t="shared" si="171"/>
        <v>1.6400000000000006</v>
      </c>
      <c r="O1239" s="89">
        <f t="shared" si="172"/>
        <v>10.960000047619442</v>
      </c>
      <c r="P1239" s="97">
        <f t="shared" si="173"/>
        <v>4.0000000476194408</v>
      </c>
      <c r="Q1239" s="135">
        <f t="shared" si="176"/>
        <v>1.096478075916748E-11</v>
      </c>
      <c r="R1239" s="89">
        <f t="shared" si="176"/>
        <v>9.9999989035219082E-5</v>
      </c>
      <c r="S1239" s="89">
        <f t="shared" si="177"/>
        <v>4.3651583224016479E-13</v>
      </c>
      <c r="T1239" s="136">
        <f t="shared" si="177"/>
        <v>2.2908676527677693E-2</v>
      </c>
      <c r="U1239" s="137">
        <f t="shared" si="178"/>
        <v>1.0964780759167498E-7</v>
      </c>
      <c r="V1239" s="88">
        <f t="shared" si="174"/>
        <v>8.3599999523805586</v>
      </c>
      <c r="W1239" s="86">
        <f t="shared" si="179"/>
        <v>9.3200000476194411</v>
      </c>
      <c r="X1239" s="90">
        <f t="shared" si="175"/>
        <v>9.999890352192408E-3</v>
      </c>
    </row>
    <row r="1240" spans="13:24" x14ac:dyDescent="0.25">
      <c r="M1240" s="91">
        <v>12.37</v>
      </c>
      <c r="N1240" s="89">
        <f t="shared" si="171"/>
        <v>1.6300000000000008</v>
      </c>
      <c r="O1240" s="89">
        <f t="shared" si="172"/>
        <v>10.970000046535489</v>
      </c>
      <c r="P1240" s="97">
        <f t="shared" si="173"/>
        <v>4.0000000465354892</v>
      </c>
      <c r="Q1240" s="135">
        <f t="shared" si="176"/>
        <v>1.0715191904222566E-11</v>
      </c>
      <c r="R1240" s="89">
        <f t="shared" si="176"/>
        <v>9.999998928480802E-5</v>
      </c>
      <c r="S1240" s="89">
        <f t="shared" si="177"/>
        <v>4.2657951880159156E-13</v>
      </c>
      <c r="T1240" s="136">
        <f t="shared" si="177"/>
        <v>2.3442288153199171E-2</v>
      </c>
      <c r="U1240" s="137">
        <f t="shared" si="178"/>
        <v>1.0715191904222575E-7</v>
      </c>
      <c r="V1240" s="88">
        <f t="shared" si="174"/>
        <v>8.3699999534645109</v>
      </c>
      <c r="W1240" s="86">
        <f t="shared" si="179"/>
        <v>9.3400000465354882</v>
      </c>
      <c r="X1240" s="90">
        <f t="shared" si="175"/>
        <v>9.9998928480809577E-3</v>
      </c>
    </row>
    <row r="1241" spans="13:24" x14ac:dyDescent="0.25">
      <c r="M1241" s="91">
        <v>12.38</v>
      </c>
      <c r="N1241" s="89">
        <f t="shared" si="171"/>
        <v>1.6199999999999992</v>
      </c>
      <c r="O1241" s="89">
        <f t="shared" si="172"/>
        <v>10.980000045476213</v>
      </c>
      <c r="P1241" s="97">
        <f t="shared" si="173"/>
        <v>4.000000045476213</v>
      </c>
      <c r="Q1241" s="135">
        <f t="shared" si="176"/>
        <v>1.0471284384030854E-11</v>
      </c>
      <c r="R1241" s="89">
        <f t="shared" si="176"/>
        <v>9.999998952871548E-5</v>
      </c>
      <c r="S1241" s="89">
        <f t="shared" si="177"/>
        <v>4.1686938347033292E-13</v>
      </c>
      <c r="T1241" s="136">
        <f t="shared" si="177"/>
        <v>2.3988329190194935E-2</v>
      </c>
      <c r="U1241" s="137">
        <f t="shared" si="178"/>
        <v>1.0471284384030868E-7</v>
      </c>
      <c r="V1241" s="88">
        <f t="shared" si="174"/>
        <v>8.3799999545237878</v>
      </c>
      <c r="W1241" s="86">
        <f t="shared" si="179"/>
        <v>9.3600000454762142</v>
      </c>
      <c r="X1241" s="90">
        <f t="shared" si="175"/>
        <v>9.9998952871561599E-3</v>
      </c>
    </row>
    <row r="1242" spans="13:24" x14ac:dyDescent="0.25">
      <c r="M1242" s="91">
        <v>12.39</v>
      </c>
      <c r="N1242" s="89">
        <f t="shared" si="171"/>
        <v>1.6099999999999994</v>
      </c>
      <c r="O1242" s="89">
        <f t="shared" si="172"/>
        <v>10.990000044441048</v>
      </c>
      <c r="P1242" s="97">
        <f t="shared" si="173"/>
        <v>4.0000000444410482</v>
      </c>
      <c r="Q1242" s="135">
        <f t="shared" si="176"/>
        <v>1.0232928875679072E-11</v>
      </c>
      <c r="R1242" s="89">
        <f t="shared" si="176"/>
        <v>9.9999989767070904E-5</v>
      </c>
      <c r="S1242" s="89">
        <f t="shared" si="177"/>
        <v>4.0738027780411177E-13</v>
      </c>
      <c r="T1242" s="136">
        <f t="shared" si="177"/>
        <v>2.4547089156850332E-2</v>
      </c>
      <c r="U1242" s="137">
        <f t="shared" si="178"/>
        <v>1.0232928875679095E-7</v>
      </c>
      <c r="V1242" s="88">
        <f t="shared" si="174"/>
        <v>8.3899999555589524</v>
      </c>
      <c r="W1242" s="86">
        <f t="shared" si="179"/>
        <v>9.380000044441049</v>
      </c>
      <c r="X1242" s="90">
        <f t="shared" si="175"/>
        <v>9.9998976707112441E-3</v>
      </c>
    </row>
    <row r="1243" spans="13:24" x14ac:dyDescent="0.25">
      <c r="M1243" s="91">
        <v>12.4</v>
      </c>
      <c r="N1243" s="89">
        <f t="shared" si="171"/>
        <v>1.5999999999999996</v>
      </c>
      <c r="O1243" s="89">
        <f t="shared" si="172"/>
        <v>11.000000043429447</v>
      </c>
      <c r="P1243" s="97">
        <f t="shared" si="173"/>
        <v>4.0000000434294458</v>
      </c>
      <c r="Q1243" s="135">
        <f t="shared" si="176"/>
        <v>9.9999990000000586E-12</v>
      </c>
      <c r="R1243" s="89">
        <f t="shared" si="176"/>
        <v>9.9999990000000993E-5</v>
      </c>
      <c r="S1243" s="89">
        <f t="shared" si="177"/>
        <v>3.9810717055349631E-13</v>
      </c>
      <c r="T1243" s="136">
        <f t="shared" si="177"/>
        <v>2.5118864315095819E-2</v>
      </c>
      <c r="U1243" s="137">
        <f t="shared" si="178"/>
        <v>9.9999990000000594E-8</v>
      </c>
      <c r="V1243" s="88">
        <f t="shared" si="174"/>
        <v>8.3999999565705536</v>
      </c>
      <c r="W1243" s="86">
        <f t="shared" si="179"/>
        <v>9.4000000434294471</v>
      </c>
      <c r="X1243" s="90">
        <f t="shared" si="175"/>
        <v>9.9999000000099997E-3</v>
      </c>
    </row>
    <row r="1244" spans="13:24" x14ac:dyDescent="0.25">
      <c r="M1244" s="91">
        <v>12.41</v>
      </c>
      <c r="N1244" s="89">
        <f t="shared" si="171"/>
        <v>1.5899999999999999</v>
      </c>
      <c r="O1244" s="89">
        <f t="shared" si="172"/>
        <v>11.010000042440872</v>
      </c>
      <c r="P1244" s="97">
        <f t="shared" si="173"/>
        <v>4.0000000424408713</v>
      </c>
      <c r="Q1244" s="135">
        <f t="shared" si="176"/>
        <v>9.7723712545655679E-12</v>
      </c>
      <c r="R1244" s="89">
        <f t="shared" si="176"/>
        <v>9.9999990227628684E-5</v>
      </c>
      <c r="S1244" s="89">
        <f t="shared" si="177"/>
        <v>3.8904514499427974E-13</v>
      </c>
      <c r="T1244" s="136">
        <f t="shared" si="177"/>
        <v>2.5703957827688643E-2</v>
      </c>
      <c r="U1244" s="137">
        <f t="shared" si="178"/>
        <v>9.7723712545655736E-8</v>
      </c>
      <c r="V1244" s="88">
        <f t="shared" si="174"/>
        <v>8.4099999575591298</v>
      </c>
      <c r="W1244" s="86">
        <f t="shared" si="179"/>
        <v>9.4200000424408721</v>
      </c>
      <c r="X1244" s="90">
        <f t="shared" si="175"/>
        <v>9.9999022762874545E-3</v>
      </c>
    </row>
    <row r="1245" spans="13:24" x14ac:dyDescent="0.25">
      <c r="M1245" s="91">
        <v>12.42</v>
      </c>
      <c r="N1245" s="89">
        <f t="shared" si="171"/>
        <v>1.58</v>
      </c>
      <c r="O1245" s="89">
        <f t="shared" si="172"/>
        <v>11.0200000414748</v>
      </c>
      <c r="P1245" s="97">
        <f t="shared" si="173"/>
        <v>4.0000000414747987</v>
      </c>
      <c r="Q1245" s="135">
        <f t="shared" si="176"/>
        <v>9.5499249482035711E-12</v>
      </c>
      <c r="R1245" s="89">
        <f t="shared" si="176"/>
        <v>9.9999990450075081E-5</v>
      </c>
      <c r="S1245" s="89">
        <f t="shared" si="177"/>
        <v>3.8018939632056036E-13</v>
      </c>
      <c r="T1245" s="136">
        <f t="shared" si="177"/>
        <v>2.6302679918953804E-2</v>
      </c>
      <c r="U1245" s="137">
        <f t="shared" si="178"/>
        <v>9.5499249482035681E-8</v>
      </c>
      <c r="V1245" s="88">
        <f t="shared" si="174"/>
        <v>8.4199999585252012</v>
      </c>
      <c r="W1245" s="86">
        <f t="shared" si="179"/>
        <v>9.4400000414748</v>
      </c>
      <c r="X1245" s="90">
        <f t="shared" si="175"/>
        <v>9.9999045007505179E-3</v>
      </c>
    </row>
    <row r="1246" spans="13:24" x14ac:dyDescent="0.25">
      <c r="M1246" s="91">
        <v>12.43</v>
      </c>
      <c r="N1246" s="89">
        <f t="shared" si="171"/>
        <v>1.5700000000000003</v>
      </c>
      <c r="O1246" s="89">
        <f t="shared" si="172"/>
        <v>11.030000040530718</v>
      </c>
      <c r="P1246" s="97">
        <f t="shared" si="173"/>
        <v>4.0000000405307174</v>
      </c>
      <c r="Q1246" s="135">
        <f t="shared" si="176"/>
        <v>9.3325421370063583E-12</v>
      </c>
      <c r="R1246" s="89">
        <f t="shared" si="176"/>
        <v>9.9999990667457779E-5</v>
      </c>
      <c r="S1246" s="89">
        <f t="shared" si="177"/>
        <v>3.7153522909717175E-13</v>
      </c>
      <c r="T1246" s="136">
        <f t="shared" si="177"/>
        <v>2.6915348039269132E-2</v>
      </c>
      <c r="U1246" s="137">
        <f t="shared" si="178"/>
        <v>9.3325421370063667E-8</v>
      </c>
      <c r="V1246" s="88">
        <f t="shared" si="174"/>
        <v>8.4299999594692814</v>
      </c>
      <c r="W1246" s="86">
        <f t="shared" si="179"/>
        <v>9.4600000405307174</v>
      </c>
      <c r="X1246" s="90">
        <f t="shared" si="175"/>
        <v>9.9999066745786302E-3</v>
      </c>
    </row>
    <row r="1247" spans="13:24" x14ac:dyDescent="0.25">
      <c r="M1247" s="91">
        <v>12.44</v>
      </c>
      <c r="N1247" s="89">
        <f t="shared" si="171"/>
        <v>1.5600000000000005</v>
      </c>
      <c r="O1247" s="89">
        <f t="shared" si="172"/>
        <v>11.040000039608126</v>
      </c>
      <c r="P1247" s="97">
        <f t="shared" si="173"/>
        <v>4.0000000396081257</v>
      </c>
      <c r="Q1247" s="135">
        <f t="shared" si="176"/>
        <v>9.1201075617953861E-12</v>
      </c>
      <c r="R1247" s="89">
        <f t="shared" si="176"/>
        <v>9.9999990879892273E-5</v>
      </c>
      <c r="S1247" s="89">
        <f t="shared" si="177"/>
        <v>3.6307805477010062E-13</v>
      </c>
      <c r="T1247" s="136">
        <f t="shared" si="177"/>
        <v>2.7542287033381622E-2</v>
      </c>
      <c r="U1247" s="137">
        <f t="shared" si="178"/>
        <v>9.1201075617954016E-8</v>
      </c>
      <c r="V1247" s="88">
        <f t="shared" si="174"/>
        <v>8.4399999603918729</v>
      </c>
      <c r="W1247" s="86">
        <f t="shared" si="179"/>
        <v>9.4800000396081252</v>
      </c>
      <c r="X1247" s="90">
        <f t="shared" si="175"/>
        <v>9.9999087989243816E-3</v>
      </c>
    </row>
    <row r="1248" spans="13:24" x14ac:dyDescent="0.25">
      <c r="M1248" s="91">
        <v>12.45</v>
      </c>
      <c r="N1248" s="89">
        <f t="shared" si="171"/>
        <v>1.5500000000000007</v>
      </c>
      <c r="O1248" s="89">
        <f t="shared" si="172"/>
        <v>11.050000038706536</v>
      </c>
      <c r="P1248" s="97">
        <f t="shared" si="173"/>
        <v>4.0000000387065349</v>
      </c>
      <c r="Q1248" s="135">
        <f t="shared" si="176"/>
        <v>8.9125085870092371E-12</v>
      </c>
      <c r="R1248" s="89">
        <f t="shared" si="176"/>
        <v>9.9999991087491361E-5</v>
      </c>
      <c r="S1248" s="89">
        <f t="shared" si="177"/>
        <v>3.5481338923357479E-13</v>
      </c>
      <c r="T1248" s="136">
        <f t="shared" si="177"/>
        <v>2.818382931264448E-2</v>
      </c>
      <c r="U1248" s="137">
        <f t="shared" si="178"/>
        <v>8.9125085870092416E-8</v>
      </c>
      <c r="V1248" s="88">
        <f t="shared" si="174"/>
        <v>8.4499999612934644</v>
      </c>
      <c r="W1248" s="86">
        <f t="shared" si="179"/>
        <v>9.5000000387065349</v>
      </c>
      <c r="X1248" s="90">
        <f t="shared" si="175"/>
        <v>9.9999108749141297E-3</v>
      </c>
    </row>
    <row r="1249" spans="13:24" x14ac:dyDescent="0.25">
      <c r="M1249" s="91">
        <v>12.46</v>
      </c>
      <c r="N1249" s="89">
        <f t="shared" si="171"/>
        <v>1.5399999999999991</v>
      </c>
      <c r="O1249" s="89">
        <f t="shared" si="172"/>
        <v>11.060000037825468</v>
      </c>
      <c r="P1249" s="97">
        <f t="shared" si="173"/>
        <v>4.0000000378254663</v>
      </c>
      <c r="Q1249" s="135">
        <f t="shared" si="176"/>
        <v>8.7096351409832459E-12</v>
      </c>
      <c r="R1249" s="89">
        <f t="shared" si="176"/>
        <v>9.9999991290364792E-5</v>
      </c>
      <c r="S1249" s="89">
        <f t="shared" si="177"/>
        <v>3.4673685045252984E-13</v>
      </c>
      <c r="T1249" s="136">
        <f t="shared" si="177"/>
        <v>2.8840315031266113E-2</v>
      </c>
      <c r="U1249" s="137">
        <f t="shared" si="178"/>
        <v>8.7096351409832515E-8</v>
      </c>
      <c r="V1249" s="88">
        <f t="shared" si="174"/>
        <v>8.4599999621745354</v>
      </c>
      <c r="W1249" s="86">
        <f t="shared" si="179"/>
        <v>9.5200000378254686</v>
      </c>
      <c r="X1249" s="90">
        <f t="shared" si="175"/>
        <v>9.9999129036485897E-3</v>
      </c>
    </row>
    <row r="1250" spans="13:24" x14ac:dyDescent="0.25">
      <c r="M1250" s="91">
        <v>12.47</v>
      </c>
      <c r="N1250" s="89">
        <f t="shared" si="171"/>
        <v>1.5299999999999994</v>
      </c>
      <c r="O1250" s="89">
        <f t="shared" si="172"/>
        <v>11.070000036964455</v>
      </c>
      <c r="P1250" s="97">
        <f t="shared" si="173"/>
        <v>4.0000000369644537</v>
      </c>
      <c r="Q1250" s="135">
        <f t="shared" si="176"/>
        <v>8.5113796575878261E-12</v>
      </c>
      <c r="R1250" s="89">
        <f t="shared" si="176"/>
        <v>9.9999991488620226E-5</v>
      </c>
      <c r="S1250" s="89">
        <f t="shared" si="177"/>
        <v>3.3884415613920079E-13</v>
      </c>
      <c r="T1250" s="136">
        <f t="shared" si="177"/>
        <v>2.9512092266663896E-2</v>
      </c>
      <c r="U1250" s="137">
        <f t="shared" si="178"/>
        <v>8.5113796575878356E-8</v>
      </c>
      <c r="V1250" s="88">
        <f t="shared" si="174"/>
        <v>8.4699999630355478</v>
      </c>
      <c r="W1250" s="86">
        <f t="shared" si="179"/>
        <v>9.5400000369644555</v>
      </c>
      <c r="X1250" s="90">
        <f t="shared" si="175"/>
        <v>9.9999148862034235E-3</v>
      </c>
    </row>
    <row r="1251" spans="13:24" x14ac:dyDescent="0.25">
      <c r="M1251" s="91">
        <v>12.48</v>
      </c>
      <c r="N1251" s="89">
        <f t="shared" si="171"/>
        <v>1.5199999999999996</v>
      </c>
      <c r="O1251" s="89">
        <f t="shared" si="172"/>
        <v>11.080000036123042</v>
      </c>
      <c r="P1251" s="97">
        <f t="shared" si="173"/>
        <v>4.0000000361230397</v>
      </c>
      <c r="Q1251" s="135">
        <f t="shared" si="176"/>
        <v>8.3176370191957257E-12</v>
      </c>
      <c r="R1251" s="89">
        <f t="shared" si="176"/>
        <v>9.999999168236302E-5</v>
      </c>
      <c r="S1251" s="89">
        <f t="shared" si="177"/>
        <v>3.311311214825894E-13</v>
      </c>
      <c r="T1251" s="136">
        <f t="shared" si="177"/>
        <v>3.0199517204020185E-2</v>
      </c>
      <c r="U1251" s="137">
        <f t="shared" si="178"/>
        <v>8.3176370191957222E-8</v>
      </c>
      <c r="V1251" s="88">
        <f t="shared" si="174"/>
        <v>8.4799999638769599</v>
      </c>
      <c r="W1251" s="86">
        <f t="shared" si="179"/>
        <v>9.5600000361230428</v>
      </c>
      <c r="X1251" s="90">
        <f t="shared" si="175"/>
        <v>9.9999168236298078E-3</v>
      </c>
    </row>
    <row r="1252" spans="13:24" x14ac:dyDescent="0.25">
      <c r="M1252" s="91">
        <v>12.49</v>
      </c>
      <c r="N1252" s="89">
        <f t="shared" si="171"/>
        <v>1.5099999999999998</v>
      </c>
      <c r="O1252" s="89">
        <f t="shared" si="172"/>
        <v>11.090000035300779</v>
      </c>
      <c r="P1252" s="97">
        <f t="shared" si="173"/>
        <v>4.0000000353007792</v>
      </c>
      <c r="Q1252" s="135">
        <f t="shared" si="176"/>
        <v>8.1283045009475974E-12</v>
      </c>
      <c r="R1252" s="89">
        <f t="shared" si="176"/>
        <v>9.9999991871695457E-5</v>
      </c>
      <c r="S1252" s="89">
        <f t="shared" si="177"/>
        <v>3.2359365692962775E-13</v>
      </c>
      <c r="T1252" s="136">
        <f t="shared" si="177"/>
        <v>3.0902954325135915E-2</v>
      </c>
      <c r="U1252" s="137">
        <f t="shared" si="178"/>
        <v>8.1283045009476001E-8</v>
      </c>
      <c r="V1252" s="88">
        <f t="shared" si="174"/>
        <v>8.489999964699221</v>
      </c>
      <c r="W1252" s="86">
        <f t="shared" si="179"/>
        <v>9.5800000353007793</v>
      </c>
      <c r="X1252" s="90">
        <f t="shared" si="175"/>
        <v>9.9999187169549902E-3</v>
      </c>
    </row>
    <row r="1253" spans="13:24" x14ac:dyDescent="0.25">
      <c r="M1253" s="91">
        <v>12.5</v>
      </c>
      <c r="N1253" s="89">
        <f t="shared" si="171"/>
        <v>1.5</v>
      </c>
      <c r="O1253" s="89">
        <f t="shared" si="172"/>
        <v>11.100000034497235</v>
      </c>
      <c r="P1253" s="97">
        <f t="shared" si="173"/>
        <v>4.0000000344972353</v>
      </c>
      <c r="Q1253" s="135">
        <f t="shared" si="176"/>
        <v>7.9432817162855236E-12</v>
      </c>
      <c r="R1253" s="89">
        <f t="shared" si="176"/>
        <v>9.9999992056718284E-5</v>
      </c>
      <c r="S1253" s="89">
        <f t="shared" si="177"/>
        <v>3.1622776601683746E-13</v>
      </c>
      <c r="T1253" s="136">
        <f t="shared" si="177"/>
        <v>3.1622776601683784E-2</v>
      </c>
      <c r="U1253" s="137">
        <f t="shared" si="178"/>
        <v>7.9432817162855232E-8</v>
      </c>
      <c r="V1253" s="88">
        <f t="shared" si="174"/>
        <v>8.4999999655027647</v>
      </c>
      <c r="W1253" s="86">
        <f t="shared" si="179"/>
        <v>9.6000000344972349</v>
      </c>
      <c r="X1253" s="90">
        <f t="shared" si="175"/>
        <v>9.9999205671828378E-3</v>
      </c>
    </row>
    <row r="1254" spans="13:24" x14ac:dyDescent="0.25">
      <c r="M1254" s="91">
        <v>12.51</v>
      </c>
      <c r="N1254" s="89">
        <f t="shared" si="171"/>
        <v>1.4900000000000002</v>
      </c>
      <c r="O1254" s="89">
        <f t="shared" si="172"/>
        <v>11.110000033711982</v>
      </c>
      <c r="P1254" s="97">
        <f t="shared" si="173"/>
        <v>4.0000000337119825</v>
      </c>
      <c r="Q1254" s="135">
        <f t="shared" si="176"/>
        <v>7.7624705637273762E-12</v>
      </c>
      <c r="R1254" s="89">
        <f t="shared" si="176"/>
        <v>9.9999992237529366E-5</v>
      </c>
      <c r="S1254" s="89">
        <f t="shared" si="177"/>
        <v>3.0902954325135866E-13</v>
      </c>
      <c r="T1254" s="136">
        <f t="shared" si="177"/>
        <v>3.2359365692962799E-2</v>
      </c>
      <c r="U1254" s="137">
        <f t="shared" si="178"/>
        <v>7.7624705637273825E-8</v>
      </c>
      <c r="V1254" s="88">
        <f t="shared" si="174"/>
        <v>8.5099999662880172</v>
      </c>
      <c r="W1254" s="86">
        <f t="shared" si="179"/>
        <v>9.6200000337119818</v>
      </c>
      <c r="X1254" s="90">
        <f t="shared" si="175"/>
        <v>9.9999223752943629E-3</v>
      </c>
    </row>
    <row r="1255" spans="13:24" x14ac:dyDescent="0.25">
      <c r="M1255" s="91">
        <v>12.52</v>
      </c>
      <c r="N1255" s="89">
        <f t="shared" si="171"/>
        <v>1.4800000000000004</v>
      </c>
      <c r="O1255" s="89">
        <f t="shared" si="172"/>
        <v>11.120000032944604</v>
      </c>
      <c r="P1255" s="97">
        <f t="shared" si="173"/>
        <v>4.0000000329446044</v>
      </c>
      <c r="Q1255" s="135">
        <f t="shared" si="176"/>
        <v>7.5857751748519343E-12</v>
      </c>
      <c r="R1255" s="89">
        <f t="shared" si="176"/>
        <v>9.999999241422464E-5</v>
      </c>
      <c r="S1255" s="89">
        <f t="shared" si="177"/>
        <v>3.0199517204020122E-13</v>
      </c>
      <c r="T1255" s="136">
        <f t="shared" si="177"/>
        <v>3.3113112148259065E-2</v>
      </c>
      <c r="U1255" s="137">
        <f t="shared" si="178"/>
        <v>7.5857751748519482E-8</v>
      </c>
      <c r="V1255" s="88">
        <f t="shared" si="174"/>
        <v>8.5199999670553943</v>
      </c>
      <c r="W1255" s="86">
        <f t="shared" si="179"/>
        <v>9.6400000329446041</v>
      </c>
      <c r="X1255" s="90">
        <f t="shared" si="175"/>
        <v>9.9999241422482517E-3</v>
      </c>
    </row>
    <row r="1256" spans="13:24" x14ac:dyDescent="0.25">
      <c r="M1256" s="91">
        <v>12.53</v>
      </c>
      <c r="N1256" s="89">
        <f t="shared" si="171"/>
        <v>1.4700000000000006</v>
      </c>
      <c r="O1256" s="89">
        <f t="shared" si="172"/>
        <v>11.130000032194694</v>
      </c>
      <c r="P1256" s="97">
        <f t="shared" si="173"/>
        <v>4.0000000321946931</v>
      </c>
      <c r="Q1256" s="135">
        <f t="shared" si="176"/>
        <v>7.4131018634683266E-12</v>
      </c>
      <c r="R1256" s="89">
        <f t="shared" si="176"/>
        <v>9.9999992586898066E-5</v>
      </c>
      <c r="S1256" s="89">
        <f t="shared" si="177"/>
        <v>2.9512092266663824E-13</v>
      </c>
      <c r="T1256" s="136">
        <f t="shared" si="177"/>
        <v>3.3884415613920194E-2</v>
      </c>
      <c r="U1256" s="137">
        <f t="shared" si="178"/>
        <v>7.4131018634683326E-8</v>
      </c>
      <c r="V1256" s="88">
        <f t="shared" si="174"/>
        <v>8.5299999678053062</v>
      </c>
      <c r="W1256" s="86">
        <f t="shared" si="179"/>
        <v>9.6600000321946933</v>
      </c>
      <c r="X1256" s="90">
        <f t="shared" si="175"/>
        <v>9.9999258689813658E-3</v>
      </c>
    </row>
    <row r="1257" spans="13:24" x14ac:dyDescent="0.25">
      <c r="M1257" s="91">
        <v>12.54</v>
      </c>
      <c r="N1257" s="89">
        <f t="shared" si="171"/>
        <v>1.4600000000000009</v>
      </c>
      <c r="O1257" s="89">
        <f t="shared" si="172"/>
        <v>11.140000031461852</v>
      </c>
      <c r="P1257" s="97">
        <f t="shared" si="173"/>
        <v>4.0000000314618527</v>
      </c>
      <c r="Q1257" s="135">
        <f t="shared" si="176"/>
        <v>7.2443590759424704E-12</v>
      </c>
      <c r="R1257" s="89">
        <f t="shared" si="176"/>
        <v>9.9999992755640921E-5</v>
      </c>
      <c r="S1257" s="89">
        <f t="shared" si="177"/>
        <v>2.884031503126603E-13</v>
      </c>
      <c r="T1257" s="136">
        <f t="shared" si="177"/>
        <v>3.4673685045253082E-2</v>
      </c>
      <c r="U1257" s="137">
        <f t="shared" si="178"/>
        <v>7.2443590759424705E-8</v>
      </c>
      <c r="V1257" s="88">
        <f t="shared" si="174"/>
        <v>8.5399999685381474</v>
      </c>
      <c r="W1257" s="86">
        <f t="shared" si="179"/>
        <v>9.6800000314618515</v>
      </c>
      <c r="X1257" s="90">
        <f t="shared" si="175"/>
        <v>9.9999275564092403E-3</v>
      </c>
    </row>
    <row r="1258" spans="13:24" x14ac:dyDescent="0.25">
      <c r="M1258" s="91">
        <v>12.55</v>
      </c>
      <c r="N1258" s="89">
        <f t="shared" si="171"/>
        <v>1.4499999999999993</v>
      </c>
      <c r="O1258" s="89">
        <f t="shared" si="172"/>
        <v>11.150000030745694</v>
      </c>
      <c r="P1258" s="97">
        <f t="shared" si="173"/>
        <v>4.000000030745694</v>
      </c>
      <c r="Q1258" s="135">
        <f t="shared" si="176"/>
        <v>7.0794573426541465E-12</v>
      </c>
      <c r="R1258" s="89">
        <f t="shared" si="176"/>
        <v>9.9999992920542433E-5</v>
      </c>
      <c r="S1258" s="89">
        <f t="shared" si="177"/>
        <v>2.8183829312644412E-13</v>
      </c>
      <c r="T1258" s="136">
        <f t="shared" si="177"/>
        <v>3.5481338923357593E-2</v>
      </c>
      <c r="U1258" s="137">
        <f t="shared" si="178"/>
        <v>7.0794573426541631E-8</v>
      </c>
      <c r="V1258" s="88">
        <f t="shared" si="174"/>
        <v>8.5499999692543067</v>
      </c>
      <c r="W1258" s="86">
        <f t="shared" si="179"/>
        <v>9.7000000307456951</v>
      </c>
      <c r="X1258" s="90">
        <f t="shared" si="175"/>
        <v>9.9999292054265745E-3</v>
      </c>
    </row>
    <row r="1259" spans="13:24" x14ac:dyDescent="0.25">
      <c r="M1259" s="91">
        <v>12.56</v>
      </c>
      <c r="N1259" s="89">
        <f t="shared" si="171"/>
        <v>1.4399999999999995</v>
      </c>
      <c r="O1259" s="89">
        <f t="shared" si="172"/>
        <v>11.160000030045838</v>
      </c>
      <c r="P1259" s="97">
        <f t="shared" si="173"/>
        <v>4.000000030045836</v>
      </c>
      <c r="Q1259" s="135">
        <f t="shared" si="176"/>
        <v>6.9183092305592565E-12</v>
      </c>
      <c r="R1259" s="89">
        <f t="shared" si="176"/>
        <v>9.9999993081690668E-5</v>
      </c>
      <c r="S1259" s="89">
        <f t="shared" si="177"/>
        <v>2.7542287033381544E-13</v>
      </c>
      <c r="T1259" s="136">
        <f t="shared" si="177"/>
        <v>3.6307805477010166E-2</v>
      </c>
      <c r="U1259" s="137">
        <f t="shared" si="178"/>
        <v>6.9183092305592634E-8</v>
      </c>
      <c r="V1259" s="88">
        <f t="shared" si="174"/>
        <v>8.5599999699541645</v>
      </c>
      <c r="W1259" s="86">
        <f t="shared" si="179"/>
        <v>9.7200000300458385</v>
      </c>
      <c r="X1259" s="90">
        <f t="shared" si="175"/>
        <v>9.9999308169076949E-3</v>
      </c>
    </row>
    <row r="1260" spans="13:24" x14ac:dyDescent="0.25">
      <c r="M1260" s="91">
        <v>12.57</v>
      </c>
      <c r="N1260" s="89">
        <f t="shared" si="171"/>
        <v>1.4299999999999997</v>
      </c>
      <c r="O1260" s="89">
        <f t="shared" si="172"/>
        <v>11.17000002936191</v>
      </c>
      <c r="P1260" s="97">
        <f t="shared" si="173"/>
        <v>4.0000000293619093</v>
      </c>
      <c r="Q1260" s="135">
        <f t="shared" si="176"/>
        <v>6.7608292968316438E-12</v>
      </c>
      <c r="R1260" s="89">
        <f t="shared" si="176"/>
        <v>9.9999993239170722E-5</v>
      </c>
      <c r="S1260" s="89">
        <f t="shared" si="177"/>
        <v>2.6915348039269041E-13</v>
      </c>
      <c r="T1260" s="136">
        <f t="shared" si="177"/>
        <v>3.7153522909717268E-2</v>
      </c>
      <c r="U1260" s="137">
        <f t="shared" si="178"/>
        <v>6.7608292968316425E-8</v>
      </c>
      <c r="V1260" s="88">
        <f t="shared" si="174"/>
        <v>8.56999997063809</v>
      </c>
      <c r="W1260" s="86">
        <f t="shared" si="179"/>
        <v>9.7400000293619104</v>
      </c>
      <c r="X1260" s="90">
        <f t="shared" si="175"/>
        <v>9.9999323917070327E-3</v>
      </c>
    </row>
    <row r="1261" spans="13:24" x14ac:dyDescent="0.25">
      <c r="M1261" s="91">
        <v>12.58</v>
      </c>
      <c r="N1261" s="89">
        <f t="shared" si="171"/>
        <v>1.42</v>
      </c>
      <c r="O1261" s="89">
        <f t="shared" si="172"/>
        <v>11.180000028693552</v>
      </c>
      <c r="P1261" s="97">
        <f t="shared" si="173"/>
        <v>4.0000000286935506</v>
      </c>
      <c r="Q1261" s="135">
        <f t="shared" si="176"/>
        <v>6.606934043560127E-12</v>
      </c>
      <c r="R1261" s="89">
        <f t="shared" si="176"/>
        <v>9.9999993393065929E-5</v>
      </c>
      <c r="S1261" s="89">
        <f t="shared" si="177"/>
        <v>2.6302679918953709E-13</v>
      </c>
      <c r="T1261" s="136">
        <f t="shared" si="177"/>
        <v>3.801893963205611E-2</v>
      </c>
      <c r="U1261" s="137">
        <f t="shared" si="178"/>
        <v>6.6069340435601288E-8</v>
      </c>
      <c r="V1261" s="88">
        <f t="shared" si="174"/>
        <v>8.5799999713064494</v>
      </c>
      <c r="W1261" s="86">
        <f t="shared" si="179"/>
        <v>9.7600000286935522</v>
      </c>
      <c r="X1261" s="90">
        <f t="shared" si="175"/>
        <v>9.9999339306595641E-3</v>
      </c>
    </row>
    <row r="1262" spans="13:24" x14ac:dyDescent="0.25">
      <c r="M1262" s="91">
        <v>12.59</v>
      </c>
      <c r="N1262" s="89">
        <f t="shared" si="171"/>
        <v>1.4100000000000001</v>
      </c>
      <c r="O1262" s="89">
        <f t="shared" si="172"/>
        <v>11.190000028040405</v>
      </c>
      <c r="P1262" s="97">
        <f t="shared" si="173"/>
        <v>4.0000000280404064</v>
      </c>
      <c r="Q1262" s="135">
        <f t="shared" si="176"/>
        <v>6.4565418734772083E-12</v>
      </c>
      <c r="R1262" s="89">
        <f t="shared" si="176"/>
        <v>9.9999993543457984E-5</v>
      </c>
      <c r="S1262" s="89">
        <f t="shared" si="177"/>
        <v>2.5703957827688533E-13</v>
      </c>
      <c r="T1262" s="136">
        <f t="shared" si="177"/>
        <v>3.8904514499428028E-2</v>
      </c>
      <c r="U1262" s="137">
        <f t="shared" si="178"/>
        <v>6.456541873477218E-8</v>
      </c>
      <c r="V1262" s="88">
        <f t="shared" si="174"/>
        <v>8.5899999719595925</v>
      </c>
      <c r="W1262" s="86">
        <f t="shared" si="179"/>
        <v>9.7800000280404049</v>
      </c>
      <c r="X1262" s="90">
        <f t="shared" si="175"/>
        <v>9.9999354345812648E-3</v>
      </c>
    </row>
    <row r="1263" spans="13:24" x14ac:dyDescent="0.25">
      <c r="M1263" s="91">
        <v>12.6</v>
      </c>
      <c r="N1263" s="89">
        <f t="shared" si="171"/>
        <v>1.4000000000000004</v>
      </c>
      <c r="O1263" s="89">
        <f t="shared" si="172"/>
        <v>11.200000027402128</v>
      </c>
      <c r="P1263" s="97">
        <f t="shared" si="173"/>
        <v>4.0000000274021286</v>
      </c>
      <c r="Q1263" s="135">
        <f t="shared" si="176"/>
        <v>6.3095730466947853E-12</v>
      </c>
      <c r="R1263" s="89">
        <f t="shared" si="176"/>
        <v>9.9999993690426793E-5</v>
      </c>
      <c r="S1263" s="89">
        <f t="shared" si="177"/>
        <v>2.511886431509579E-13</v>
      </c>
      <c r="T1263" s="136">
        <f t="shared" si="177"/>
        <v>3.9810717055349672E-2</v>
      </c>
      <c r="U1263" s="137">
        <f t="shared" si="178"/>
        <v>6.3095730466947954E-8</v>
      </c>
      <c r="V1263" s="88">
        <f t="shared" si="174"/>
        <v>8.5999999725978711</v>
      </c>
      <c r="W1263" s="86">
        <f t="shared" si="179"/>
        <v>9.8000000274021275</v>
      </c>
      <c r="X1263" s="90">
        <f t="shared" si="175"/>
        <v>9.9999369042695335E-3</v>
      </c>
    </row>
    <row r="1264" spans="13:24" x14ac:dyDescent="0.25">
      <c r="M1264" s="91">
        <v>12.61</v>
      </c>
      <c r="N1264" s="89">
        <f t="shared" si="171"/>
        <v>1.3900000000000006</v>
      </c>
      <c r="O1264" s="89">
        <f t="shared" si="172"/>
        <v>11.210000026778379</v>
      </c>
      <c r="P1264" s="97">
        <f t="shared" si="173"/>
        <v>4.0000000267783795</v>
      </c>
      <c r="Q1264" s="135">
        <f t="shared" si="176"/>
        <v>6.1659496384254485E-12</v>
      </c>
      <c r="R1264" s="89">
        <f t="shared" si="176"/>
        <v>9.9999993834050404E-5</v>
      </c>
      <c r="S1264" s="89">
        <f t="shared" si="177"/>
        <v>2.4547089156850296E-13</v>
      </c>
      <c r="T1264" s="136">
        <f t="shared" si="177"/>
        <v>4.0738027780411197E-2</v>
      </c>
      <c r="U1264" s="137">
        <f t="shared" si="178"/>
        <v>6.1659496384254454E-8</v>
      </c>
      <c r="V1264" s="88">
        <f t="shared" si="174"/>
        <v>8.609999973221619</v>
      </c>
      <c r="W1264" s="86">
        <f t="shared" si="179"/>
        <v>9.8200000267783789</v>
      </c>
      <c r="X1264" s="90">
        <f t="shared" si="175"/>
        <v>9.9999383405036165E-3</v>
      </c>
    </row>
    <row r="1265" spans="13:24" x14ac:dyDescent="0.25">
      <c r="M1265" s="91">
        <v>12.62</v>
      </c>
      <c r="N1265" s="89">
        <f t="shared" si="171"/>
        <v>1.3800000000000008</v>
      </c>
      <c r="O1265" s="89">
        <f t="shared" si="172"/>
        <v>11.22000002616883</v>
      </c>
      <c r="P1265" s="97">
        <f t="shared" si="173"/>
        <v>4.0000000261688298</v>
      </c>
      <c r="Q1265" s="135">
        <f t="shared" si="176"/>
        <v>6.0255954976655278E-12</v>
      </c>
      <c r="R1265" s="89">
        <f t="shared" si="176"/>
        <v>9.9999993974404428E-5</v>
      </c>
      <c r="S1265" s="89">
        <f t="shared" si="177"/>
        <v>2.3988329190194898E-13</v>
      </c>
      <c r="T1265" s="136">
        <f t="shared" si="177"/>
        <v>4.1686938347033464E-2</v>
      </c>
      <c r="U1265" s="137">
        <f t="shared" si="178"/>
        <v>6.0255954976655325E-8</v>
      </c>
      <c r="V1265" s="88">
        <f t="shared" si="174"/>
        <v>8.6199999738311703</v>
      </c>
      <c r="W1265" s="86">
        <f t="shared" si="179"/>
        <v>9.8400000261688287</v>
      </c>
      <c r="X1265" s="90">
        <f t="shared" si="175"/>
        <v>9.9999397440450229E-3</v>
      </c>
    </row>
    <row r="1266" spans="13:24" x14ac:dyDescent="0.25">
      <c r="M1266" s="91">
        <v>12.63</v>
      </c>
      <c r="N1266" s="89">
        <f t="shared" si="171"/>
        <v>1.3699999999999992</v>
      </c>
      <c r="O1266" s="89">
        <f t="shared" si="172"/>
        <v>11.230000025573155</v>
      </c>
      <c r="P1266" s="97">
        <f t="shared" si="173"/>
        <v>4.0000000255731543</v>
      </c>
      <c r="Q1266" s="135">
        <f t="shared" si="176"/>
        <v>5.8884362068190416E-12</v>
      </c>
      <c r="R1266" s="89">
        <f t="shared" si="176"/>
        <v>9.9999994111563687E-5</v>
      </c>
      <c r="S1266" s="89">
        <f t="shared" si="177"/>
        <v>2.3442288153199137E-13</v>
      </c>
      <c r="T1266" s="136">
        <f t="shared" si="177"/>
        <v>4.2657951880159327E-2</v>
      </c>
      <c r="U1266" s="137">
        <f t="shared" si="178"/>
        <v>5.8884362068190476E-8</v>
      </c>
      <c r="V1266" s="88">
        <f t="shared" si="174"/>
        <v>8.6299999744268465</v>
      </c>
      <c r="W1266" s="86">
        <f t="shared" si="179"/>
        <v>9.8600000255731555</v>
      </c>
      <c r="X1266" s="90">
        <f t="shared" si="175"/>
        <v>9.9999411156379316E-3</v>
      </c>
    </row>
    <row r="1267" spans="13:24" x14ac:dyDescent="0.25">
      <c r="M1267" s="91">
        <v>12.64</v>
      </c>
      <c r="N1267" s="89">
        <f t="shared" si="171"/>
        <v>1.3599999999999994</v>
      </c>
      <c r="O1267" s="89">
        <f t="shared" si="172"/>
        <v>11.240000024991039</v>
      </c>
      <c r="P1267" s="97">
        <f t="shared" si="173"/>
        <v>4.0000000249910386</v>
      </c>
      <c r="Q1267" s="135">
        <f t="shared" si="176"/>
        <v>5.7543990422404473E-12</v>
      </c>
      <c r="R1267" s="89">
        <f t="shared" si="176"/>
        <v>9.999999424560081E-5</v>
      </c>
      <c r="S1267" s="89">
        <f t="shared" si="177"/>
        <v>2.2908676527677649E-13</v>
      </c>
      <c r="T1267" s="136">
        <f t="shared" si="177"/>
        <v>4.3651583224016646E-2</v>
      </c>
      <c r="U1267" s="137">
        <f t="shared" si="178"/>
        <v>5.7543990422404557E-8</v>
      </c>
      <c r="V1267" s="88">
        <f t="shared" si="174"/>
        <v>8.639999975008962</v>
      </c>
      <c r="W1267" s="86">
        <f t="shared" si="179"/>
        <v>9.8800000249910394</v>
      </c>
      <c r="X1267" s="90">
        <f t="shared" si="175"/>
        <v>9.9999424560095786E-3</v>
      </c>
    </row>
    <row r="1268" spans="13:24" x14ac:dyDescent="0.25">
      <c r="M1268" s="91">
        <v>12.65</v>
      </c>
      <c r="N1268" s="89">
        <f t="shared" si="171"/>
        <v>1.3499999999999996</v>
      </c>
      <c r="O1268" s="89">
        <f t="shared" si="172"/>
        <v>11.250000024422173</v>
      </c>
      <c r="P1268" s="97">
        <f t="shared" si="173"/>
        <v>4.0000000244221727</v>
      </c>
      <c r="Q1268" s="135">
        <f t="shared" si="176"/>
        <v>5.6234129356757213E-12</v>
      </c>
      <c r="R1268" s="89">
        <f t="shared" si="176"/>
        <v>9.9999994376587042E-5</v>
      </c>
      <c r="S1268" s="89">
        <f t="shared" si="177"/>
        <v>2.238721138568332E-13</v>
      </c>
      <c r="T1268" s="136">
        <f t="shared" si="177"/>
        <v>4.4668359215096334E-2</v>
      </c>
      <c r="U1268" s="137">
        <f t="shared" si="178"/>
        <v>5.6234129356757225E-8</v>
      </c>
      <c r="V1268" s="88">
        <f t="shared" si="174"/>
        <v>8.6499999755778276</v>
      </c>
      <c r="W1268" s="86">
        <f t="shared" si="179"/>
        <v>9.9000000244221731</v>
      </c>
      <c r="X1268" s="90">
        <f t="shared" si="175"/>
        <v>9.9999437658706437E-3</v>
      </c>
    </row>
    <row r="1269" spans="13:24" x14ac:dyDescent="0.25">
      <c r="M1269" s="91">
        <v>12.66</v>
      </c>
      <c r="N1269" s="89">
        <f t="shared" si="171"/>
        <v>1.3399999999999999</v>
      </c>
      <c r="O1269" s="89">
        <f t="shared" si="172"/>
        <v>11.260000023866256</v>
      </c>
      <c r="P1269" s="97">
        <f t="shared" si="173"/>
        <v>4.0000000238662565</v>
      </c>
      <c r="Q1269" s="135">
        <f t="shared" si="176"/>
        <v>5.4954084365810773E-12</v>
      </c>
      <c r="R1269" s="89">
        <f t="shared" si="176"/>
        <v>9.9999994504591501E-5</v>
      </c>
      <c r="S1269" s="89">
        <f t="shared" si="177"/>
        <v>2.1877616239495453E-13</v>
      </c>
      <c r="T1269" s="136">
        <f t="shared" si="177"/>
        <v>4.5708818961487499E-2</v>
      </c>
      <c r="U1269" s="137">
        <f t="shared" si="178"/>
        <v>5.495408436581081E-8</v>
      </c>
      <c r="V1269" s="88">
        <f t="shared" si="174"/>
        <v>8.6599999761337436</v>
      </c>
      <c r="W1269" s="86">
        <f t="shared" si="179"/>
        <v>9.9200000238662565</v>
      </c>
      <c r="X1269" s="90">
        <f t="shared" si="175"/>
        <v>9.9999450459156338E-3</v>
      </c>
    </row>
    <row r="1270" spans="13:24" x14ac:dyDescent="0.25">
      <c r="M1270" s="91">
        <v>12.67</v>
      </c>
      <c r="N1270" s="89">
        <f t="shared" si="171"/>
        <v>1.33</v>
      </c>
      <c r="O1270" s="89">
        <f t="shared" si="172"/>
        <v>11.270000023322995</v>
      </c>
      <c r="P1270" s="97">
        <f t="shared" si="173"/>
        <v>4.0000000233229942</v>
      </c>
      <c r="Q1270" s="135">
        <f t="shared" si="176"/>
        <v>5.3703176752993755E-12</v>
      </c>
      <c r="R1270" s="89">
        <f t="shared" si="176"/>
        <v>9.999999462968218E-5</v>
      </c>
      <c r="S1270" s="89">
        <f t="shared" si="177"/>
        <v>2.1379620895022253E-13</v>
      </c>
      <c r="T1270" s="136">
        <f t="shared" si="177"/>
        <v>4.6773514128719787E-2</v>
      </c>
      <c r="U1270" s="137">
        <f t="shared" si="178"/>
        <v>5.3703176752993832E-8</v>
      </c>
      <c r="V1270" s="88">
        <f t="shared" si="174"/>
        <v>8.6699999766770048</v>
      </c>
      <c r="W1270" s="86">
        <f t="shared" si="179"/>
        <v>9.9400000233229946</v>
      </c>
      <c r="X1270" s="90">
        <f t="shared" si="175"/>
        <v>9.9999462968232474E-3</v>
      </c>
    </row>
    <row r="1271" spans="13:24" x14ac:dyDescent="0.25">
      <c r="M1271" s="91">
        <v>12.68</v>
      </c>
      <c r="N1271" s="89">
        <f t="shared" si="171"/>
        <v>1.3200000000000003</v>
      </c>
      <c r="O1271" s="89">
        <f t="shared" si="172"/>
        <v>11.280000022792098</v>
      </c>
      <c r="P1271" s="97">
        <f t="shared" si="173"/>
        <v>4.000000022792098</v>
      </c>
      <c r="Q1271" s="135">
        <f t="shared" si="176"/>
        <v>5.2480743270748464E-12</v>
      </c>
      <c r="R1271" s="89">
        <f t="shared" si="176"/>
        <v>9.9999994751925542E-5</v>
      </c>
      <c r="S1271" s="89">
        <f t="shared" si="177"/>
        <v>2.0892961308540331E-13</v>
      </c>
      <c r="T1271" s="136">
        <f t="shared" si="177"/>
        <v>4.7863009232263783E-2</v>
      </c>
      <c r="U1271" s="137">
        <f t="shared" si="178"/>
        <v>5.2480743270748536E-8</v>
      </c>
      <c r="V1271" s="88">
        <f t="shared" si="174"/>
        <v>8.6799999772079026</v>
      </c>
      <c r="W1271" s="86">
        <f t="shared" si="179"/>
        <v>9.960000022792098</v>
      </c>
      <c r="X1271" s="90">
        <f t="shared" si="175"/>
        <v>9.99994751925673E-3</v>
      </c>
    </row>
    <row r="1272" spans="13:24" x14ac:dyDescent="0.25">
      <c r="M1272" s="91">
        <v>12.69</v>
      </c>
      <c r="N1272" s="89">
        <f t="shared" si="171"/>
        <v>1.3100000000000005</v>
      </c>
      <c r="O1272" s="89">
        <f t="shared" si="172"/>
        <v>11.290000022273285</v>
      </c>
      <c r="P1272" s="97">
        <f t="shared" si="173"/>
        <v>4.0000000222732863</v>
      </c>
      <c r="Q1272" s="135">
        <f t="shared" si="176"/>
        <v>5.1286135768868736E-12</v>
      </c>
      <c r="R1272" s="89">
        <f t="shared" si="176"/>
        <v>9.999999487138642E-5</v>
      </c>
      <c r="S1272" s="89">
        <f t="shared" si="177"/>
        <v>2.0417379446695228E-13</v>
      </c>
      <c r="T1272" s="136">
        <f t="shared" si="177"/>
        <v>4.8977881936844561E-2</v>
      </c>
      <c r="U1272" s="137">
        <f t="shared" si="178"/>
        <v>5.128613576886874E-8</v>
      </c>
      <c r="V1272" s="88">
        <f t="shared" si="174"/>
        <v>8.6899999777267141</v>
      </c>
      <c r="W1272" s="86">
        <f t="shared" si="179"/>
        <v>9.9800000222732841</v>
      </c>
      <c r="X1272" s="90">
        <f t="shared" si="175"/>
        <v>9.9999487138642314E-3</v>
      </c>
    </row>
    <row r="1273" spans="13:24" x14ac:dyDescent="0.25">
      <c r="M1273" s="91">
        <v>12.7</v>
      </c>
      <c r="N1273" s="89">
        <f t="shared" si="171"/>
        <v>1.3000000000000007</v>
      </c>
      <c r="O1273" s="89">
        <f t="shared" si="172"/>
        <v>11.300000021766284</v>
      </c>
      <c r="P1273" s="97">
        <f t="shared" si="173"/>
        <v>4.0000000217662848</v>
      </c>
      <c r="Q1273" s="135">
        <f t="shared" si="176"/>
        <v>5.0118720850840834E-12</v>
      </c>
      <c r="R1273" s="89">
        <f t="shared" si="176"/>
        <v>9.9999994988127713E-5</v>
      </c>
      <c r="S1273" s="89">
        <f t="shared" si="177"/>
        <v>1.9952623149688807E-13</v>
      </c>
      <c r="T1273" s="136">
        <f t="shared" si="177"/>
        <v>5.0118723362727137E-2</v>
      </c>
      <c r="U1273" s="137">
        <f t="shared" si="178"/>
        <v>5.0118720850840933E-8</v>
      </c>
      <c r="V1273" s="88">
        <f t="shared" si="174"/>
        <v>8.6999999782337145</v>
      </c>
      <c r="W1273" s="86">
        <f t="shared" si="179"/>
        <v>10.000000021766283</v>
      </c>
      <c r="X1273" s="90">
        <f t="shared" si="175"/>
        <v>9.9999498812791496E-3</v>
      </c>
    </row>
    <row r="1274" spans="13:24" x14ac:dyDescent="0.25">
      <c r="M1274" s="91">
        <v>12.71</v>
      </c>
      <c r="N1274" s="89">
        <f t="shared" si="171"/>
        <v>1.2899999999999991</v>
      </c>
      <c r="O1274" s="89">
        <f t="shared" si="172"/>
        <v>11.310000021270824</v>
      </c>
      <c r="P1274" s="97">
        <f t="shared" si="173"/>
        <v>4.0000000212708233</v>
      </c>
      <c r="Q1274" s="135">
        <f t="shared" si="176"/>
        <v>4.8977879538011687E-12</v>
      </c>
      <c r="R1274" s="89">
        <f t="shared" si="176"/>
        <v>9.9999995102211911E-5</v>
      </c>
      <c r="S1274" s="89">
        <f t="shared" si="177"/>
        <v>1.9498445997580327E-13</v>
      </c>
      <c r="T1274" s="136">
        <f t="shared" si="177"/>
        <v>5.1286138399136566E-2</v>
      </c>
      <c r="U1274" s="137">
        <f t="shared" si="178"/>
        <v>4.8977879538011752E-8</v>
      </c>
      <c r="V1274" s="88">
        <f t="shared" si="174"/>
        <v>8.7099999787291775</v>
      </c>
      <c r="W1274" s="86">
        <f t="shared" si="179"/>
        <v>10.020000021270825</v>
      </c>
      <c r="X1274" s="90">
        <f t="shared" si="175"/>
        <v>9.9999510221204617E-3</v>
      </c>
    </row>
    <row r="1275" spans="13:24" x14ac:dyDescent="0.25">
      <c r="M1275" s="91">
        <v>12.72</v>
      </c>
      <c r="N1275" s="89">
        <f t="shared" si="171"/>
        <v>1.2799999999999994</v>
      </c>
      <c r="O1275" s="89">
        <f t="shared" si="172"/>
        <v>11.32000002078664</v>
      </c>
      <c r="P1275" s="97">
        <f t="shared" si="173"/>
        <v>4.00000002078664</v>
      </c>
      <c r="Q1275" s="135">
        <f t="shared" si="176"/>
        <v>4.7863006941396208E-12</v>
      </c>
      <c r="R1275" s="89">
        <f t="shared" si="176"/>
        <v>9.9999995213699255E-5</v>
      </c>
      <c r="S1275" s="89">
        <f t="shared" si="177"/>
        <v>1.9054607179632417E-13</v>
      </c>
      <c r="T1275" s="136">
        <f t="shared" si="177"/>
        <v>5.2480746024977314E-2</v>
      </c>
      <c r="U1275" s="137">
        <f t="shared" si="178"/>
        <v>4.7863006941396234E-8</v>
      </c>
      <c r="V1275" s="88">
        <f t="shared" si="174"/>
        <v>8.7199999792133607</v>
      </c>
      <c r="W1275" s="86">
        <f t="shared" si="179"/>
        <v>10.040000020786641</v>
      </c>
      <c r="X1275" s="90">
        <f t="shared" si="175"/>
        <v>9.9999521369930587E-3</v>
      </c>
    </row>
    <row r="1276" spans="13:24" x14ac:dyDescent="0.25">
      <c r="M1276" s="91">
        <v>12.73</v>
      </c>
      <c r="N1276" s="89">
        <f t="shared" si="171"/>
        <v>1.2699999999999996</v>
      </c>
      <c r="O1276" s="89">
        <f t="shared" si="172"/>
        <v>11.330000020313479</v>
      </c>
      <c r="P1276" s="97">
        <f t="shared" si="173"/>
        <v>4.0000000203134789</v>
      </c>
      <c r="Q1276" s="135">
        <f t="shared" si="176"/>
        <v>4.6773511940958121E-12</v>
      </c>
      <c r="R1276" s="89">
        <f t="shared" si="176"/>
        <v>9.9999995322648725E-5</v>
      </c>
      <c r="S1276" s="89">
        <f t="shared" si="177"/>
        <v>1.8620871366628623E-13</v>
      </c>
      <c r="T1276" s="136">
        <f t="shared" si="177"/>
        <v>5.3703179637025304E-2</v>
      </c>
      <c r="U1276" s="137">
        <f t="shared" si="178"/>
        <v>4.677351194095816E-8</v>
      </c>
      <c r="V1276" s="88">
        <f t="shared" si="174"/>
        <v>8.7299999796865215</v>
      </c>
      <c r="W1276" s="86">
        <f t="shared" si="179"/>
        <v>10.060000020313479</v>
      </c>
      <c r="X1276" s="90">
        <f t="shared" si="175"/>
        <v>9.9999532264880599E-3</v>
      </c>
    </row>
    <row r="1277" spans="13:24" x14ac:dyDescent="0.25">
      <c r="M1277" s="91">
        <v>12.74</v>
      </c>
      <c r="N1277" s="89">
        <f t="shared" si="171"/>
        <v>1.2599999999999998</v>
      </c>
      <c r="O1277" s="89">
        <f t="shared" si="172"/>
        <v>11.340000019851088</v>
      </c>
      <c r="P1277" s="97">
        <f t="shared" si="173"/>
        <v>4.000000019851087</v>
      </c>
      <c r="Q1277" s="135">
        <f t="shared" si="176"/>
        <v>4.5708816872191291E-12</v>
      </c>
      <c r="R1277" s="89">
        <f t="shared" si="176"/>
        <v>9.9999995429118381E-5</v>
      </c>
      <c r="S1277" s="89">
        <f t="shared" si="177"/>
        <v>1.8197008586099787E-13</v>
      </c>
      <c r="T1277" s="136">
        <f t="shared" si="177"/>
        <v>5.4954087385762455E-2</v>
      </c>
      <c r="U1277" s="137">
        <f t="shared" si="178"/>
        <v>4.5708816872191259E-8</v>
      </c>
      <c r="V1277" s="88">
        <f t="shared" si="174"/>
        <v>8.7399999801489123</v>
      </c>
      <c r="W1277" s="86">
        <f t="shared" si="179"/>
        <v>10.080000019851088</v>
      </c>
      <c r="X1277" s="90">
        <f t="shared" si="175"/>
        <v>9.9999542911831281E-3</v>
      </c>
    </row>
    <row r="1278" spans="13:24" x14ac:dyDescent="0.25">
      <c r="M1278" s="91">
        <v>12.75</v>
      </c>
      <c r="N1278" s="89">
        <f t="shared" si="171"/>
        <v>1.25</v>
      </c>
      <c r="O1278" s="89">
        <f t="shared" si="172"/>
        <v>11.350000019399221</v>
      </c>
      <c r="P1278" s="97">
        <f t="shared" si="173"/>
        <v>4.0000000193992218</v>
      </c>
      <c r="Q1278" s="135">
        <f t="shared" si="176"/>
        <v>4.4668357219834023E-12</v>
      </c>
      <c r="R1278" s="89">
        <f t="shared" si="176"/>
        <v>9.9999995533164033E-5</v>
      </c>
      <c r="S1278" s="89">
        <f t="shared" si="177"/>
        <v>1.7782794100389184E-13</v>
      </c>
      <c r="T1278" s="136">
        <f t="shared" si="177"/>
        <v>5.6234132519034884E-2</v>
      </c>
      <c r="U1278" s="137">
        <f t="shared" si="178"/>
        <v>4.4668357219834131E-8</v>
      </c>
      <c r="V1278" s="88">
        <f t="shared" si="174"/>
        <v>8.7499999806007782</v>
      </c>
      <c r="W1278" s="86">
        <f t="shared" si="179"/>
        <v>10.100000019399221</v>
      </c>
      <c r="X1278" s="90">
        <f t="shared" si="175"/>
        <v>9.9999553316427806E-3</v>
      </c>
    </row>
    <row r="1279" spans="13:24" x14ac:dyDescent="0.25">
      <c r="M1279" s="91">
        <v>12.76</v>
      </c>
      <c r="N1279" s="89">
        <f t="shared" si="171"/>
        <v>1.2400000000000002</v>
      </c>
      <c r="O1279" s="89">
        <f t="shared" si="172"/>
        <v>11.360000018957642</v>
      </c>
      <c r="P1279" s="97">
        <f t="shared" si="173"/>
        <v>4.0000000189576417</v>
      </c>
      <c r="Q1279" s="135">
        <f t="shared" si="176"/>
        <v>4.3651581318555753E-12</v>
      </c>
      <c r="R1279" s="89">
        <f t="shared" si="176"/>
        <v>9.9999995634841637E-5</v>
      </c>
      <c r="S1279" s="89">
        <f t="shared" si="177"/>
        <v>1.7378008287493713E-13</v>
      </c>
      <c r="T1279" s="136">
        <f t="shared" si="177"/>
        <v>5.7543993733715666E-2</v>
      </c>
      <c r="U1279" s="137">
        <f t="shared" si="178"/>
        <v>4.3651581318555851E-8</v>
      </c>
      <c r="V1279" s="88">
        <f t="shared" si="174"/>
        <v>8.759999981042359</v>
      </c>
      <c r="W1279" s="86">
        <f t="shared" si="179"/>
        <v>10.120000018957642</v>
      </c>
      <c r="X1279" s="90">
        <f t="shared" si="175"/>
        <v>9.9999563484186819E-3</v>
      </c>
    </row>
    <row r="1280" spans="13:24" x14ac:dyDescent="0.25">
      <c r="M1280" s="91">
        <v>12.77</v>
      </c>
      <c r="N1280" s="89">
        <f t="shared" si="171"/>
        <v>1.2300000000000004</v>
      </c>
      <c r="O1280" s="89">
        <f t="shared" si="172"/>
        <v>11.370000018526113</v>
      </c>
      <c r="P1280" s="97">
        <f t="shared" si="173"/>
        <v>4.0000000185261131</v>
      </c>
      <c r="Q1280" s="135">
        <f t="shared" si="176"/>
        <v>4.2657950060458383E-12</v>
      </c>
      <c r="R1280" s="89">
        <f t="shared" si="176"/>
        <v>9.9999995734204822E-5</v>
      </c>
      <c r="S1280" s="89">
        <f t="shared" si="177"/>
        <v>1.6982436524617405E-13</v>
      </c>
      <c r="T1280" s="136">
        <f t="shared" si="177"/>
        <v>5.8884365535558834E-2</v>
      </c>
      <c r="U1280" s="137">
        <f t="shared" si="178"/>
        <v>4.2657950060458453E-8</v>
      </c>
      <c r="V1280" s="88">
        <f t="shared" si="174"/>
        <v>8.7699999814738874</v>
      </c>
      <c r="W1280" s="86">
        <f t="shared" si="179"/>
        <v>10.140000018526113</v>
      </c>
      <c r="X1280" s="90">
        <f t="shared" si="175"/>
        <v>9.999957342049939E-3</v>
      </c>
    </row>
    <row r="1281" spans="13:24" x14ac:dyDescent="0.25">
      <c r="M1281" s="91">
        <v>12.78</v>
      </c>
      <c r="N1281" s="89">
        <f t="shared" si="171"/>
        <v>1.2200000000000006</v>
      </c>
      <c r="O1281" s="89">
        <f t="shared" si="172"/>
        <v>11.380000018104408</v>
      </c>
      <c r="P1281" s="97">
        <f t="shared" si="173"/>
        <v>4.0000000181044069</v>
      </c>
      <c r="Q1281" s="135">
        <f t="shared" si="176"/>
        <v>4.1686936609232542E-12</v>
      </c>
      <c r="R1281" s="89">
        <f t="shared" si="176"/>
        <v>9.9999995831306348E-5</v>
      </c>
      <c r="S1281" s="89">
        <f t="shared" si="177"/>
        <v>1.6595869074375568E-13</v>
      </c>
      <c r="T1281" s="136">
        <f t="shared" si="177"/>
        <v>6.025595860743567E-2</v>
      </c>
      <c r="U1281" s="137">
        <f t="shared" si="178"/>
        <v>4.1686936609232538E-8</v>
      </c>
      <c r="V1281" s="88">
        <f t="shared" si="174"/>
        <v>8.7799999818955925</v>
      </c>
      <c r="W1281" s="86">
        <f t="shared" si="179"/>
        <v>10.160000018104407</v>
      </c>
      <c r="X1281" s="90">
        <f t="shared" si="175"/>
        <v>9.9999583130633909E-3</v>
      </c>
    </row>
    <row r="1282" spans="13:24" x14ac:dyDescent="0.25">
      <c r="M1282" s="91">
        <v>12.79</v>
      </c>
      <c r="N1282" s="89">
        <f t="shared" si="171"/>
        <v>1.2100000000000009</v>
      </c>
      <c r="O1282" s="89">
        <f t="shared" si="172"/>
        <v>11.3900000176923</v>
      </c>
      <c r="P1282" s="97">
        <f t="shared" si="173"/>
        <v>4.0000000176923001</v>
      </c>
      <c r="Q1282" s="135">
        <f t="shared" si="176"/>
        <v>4.0738026120824404E-12</v>
      </c>
      <c r="R1282" s="89">
        <f t="shared" si="176"/>
        <v>9.9999995926197376E-5</v>
      </c>
      <c r="S1282" s="89">
        <f t="shared" si="177"/>
        <v>1.6218100973589265E-13</v>
      </c>
      <c r="T1282" s="136">
        <f t="shared" si="177"/>
        <v>6.1659500186148075E-2</v>
      </c>
      <c r="U1282" s="137">
        <f t="shared" si="178"/>
        <v>4.0738026120824405E-8</v>
      </c>
      <c r="V1282" s="88">
        <f t="shared" si="174"/>
        <v>8.7899999823076982</v>
      </c>
      <c r="W1282" s="86">
        <f t="shared" si="179"/>
        <v>10.180000017692299</v>
      </c>
      <c r="X1282" s="90">
        <f t="shared" si="175"/>
        <v>9.9999592619738793E-3</v>
      </c>
    </row>
    <row r="1283" spans="13:24" x14ac:dyDescent="0.25">
      <c r="M1283" s="91">
        <v>12.8</v>
      </c>
      <c r="N1283" s="89">
        <f t="shared" ref="N1283:N1346" si="180">14-M1283</f>
        <v>1.1999999999999993</v>
      </c>
      <c r="O1283" s="89">
        <f t="shared" ref="O1283:O1346" si="181">-LOG(10^-$B$3/(1+10^(M1283-$A$3)))</f>
        <v>11.400000017289576</v>
      </c>
      <c r="P1283" s="97">
        <f t="shared" ref="P1283:P1346" si="182">-LOG(10^-$B$3/(1+10^($A$3-M1283)))</f>
        <v>4.0000000172895742</v>
      </c>
      <c r="Q1283" s="135">
        <f t="shared" si="176"/>
        <v>3.9810715470456326E-12</v>
      </c>
      <c r="R1283" s="89">
        <f t="shared" si="176"/>
        <v>9.9999996018928334E-5</v>
      </c>
      <c r="S1283" s="89">
        <f t="shared" si="177"/>
        <v>1.5848931924611046E-13</v>
      </c>
      <c r="T1283" s="136">
        <f t="shared" si="177"/>
        <v>6.30957344480194E-2</v>
      </c>
      <c r="U1283" s="137">
        <f t="shared" si="178"/>
        <v>3.981071547045637E-8</v>
      </c>
      <c r="V1283" s="88">
        <f t="shared" ref="V1283:V1346" si="183">ABS(P1283-M1283)</f>
        <v>8.7999999827104265</v>
      </c>
      <c r="W1283" s="86">
        <f t="shared" si="179"/>
        <v>10.200000017289577</v>
      </c>
      <c r="X1283" s="90">
        <f t="shared" ref="X1283:X1346" si="184">ABS($J$2-U1283)</f>
        <v>9.9999601892845295E-3</v>
      </c>
    </row>
    <row r="1284" spans="13:24" x14ac:dyDescent="0.25">
      <c r="M1284" s="91">
        <v>12.81</v>
      </c>
      <c r="N1284" s="89">
        <f t="shared" si="180"/>
        <v>1.1899999999999995</v>
      </c>
      <c r="O1284" s="89">
        <f t="shared" si="181"/>
        <v>11.410000016896015</v>
      </c>
      <c r="P1284" s="97">
        <f t="shared" si="182"/>
        <v>4.0000000168960153</v>
      </c>
      <c r="Q1284" s="135">
        <f t="shared" ref="Q1284:R1347" si="185">10^-O1284</f>
        <v>3.8904512985866846E-12</v>
      </c>
      <c r="R1284" s="89">
        <f t="shared" si="185"/>
        <v>9.9999996109548649E-5</v>
      </c>
      <c r="S1284" s="89">
        <f t="shared" ref="S1284:T1347" si="186">10^-M1284</f>
        <v>1.5488166189124729E-13</v>
      </c>
      <c r="T1284" s="136">
        <f t="shared" si="186"/>
        <v>6.4565422903465591E-2</v>
      </c>
      <c r="U1284" s="137">
        <f t="shared" ref="U1284:U1347" si="187">Q1284/(Q1284+R1284)</f>
        <v>3.8904512985866862E-8</v>
      </c>
      <c r="V1284" s="88">
        <f t="shared" si="183"/>
        <v>8.8099999831039852</v>
      </c>
      <c r="W1284" s="86">
        <f t="shared" ref="W1284:W1347" si="188">ABS(O1284-N1284)</f>
        <v>10.220000016896016</v>
      </c>
      <c r="X1284" s="90">
        <f t="shared" si="184"/>
        <v>9.999961095487014E-3</v>
      </c>
    </row>
    <row r="1285" spans="13:24" x14ac:dyDescent="0.25">
      <c r="M1285" s="91">
        <v>12.82</v>
      </c>
      <c r="N1285" s="89">
        <f t="shared" si="180"/>
        <v>1.1799999999999997</v>
      </c>
      <c r="O1285" s="89">
        <f t="shared" si="181"/>
        <v>11.420000016511416</v>
      </c>
      <c r="P1285" s="97">
        <f t="shared" si="182"/>
        <v>4.0000000165114153</v>
      </c>
      <c r="Q1285" s="135">
        <f t="shared" si="185"/>
        <v>3.8018938186616222E-12</v>
      </c>
      <c r="R1285" s="89">
        <f t="shared" si="185"/>
        <v>9.9999996198106079E-5</v>
      </c>
      <c r="S1285" s="89">
        <f t="shared" si="186"/>
        <v>1.5135612484362054E-13</v>
      </c>
      <c r="T1285" s="136">
        <f t="shared" si="186"/>
        <v>6.6069344800759641E-2</v>
      </c>
      <c r="U1285" s="137">
        <f t="shared" si="187"/>
        <v>3.8018938186616259E-8</v>
      </c>
      <c r="V1285" s="88">
        <f t="shared" si="183"/>
        <v>8.8199999834885858</v>
      </c>
      <c r="W1285" s="86">
        <f t="shared" si="188"/>
        <v>10.240000016511416</v>
      </c>
      <c r="X1285" s="90">
        <f t="shared" si="184"/>
        <v>9.9999619810618133E-3</v>
      </c>
    </row>
    <row r="1286" spans="13:24" x14ac:dyDescent="0.25">
      <c r="M1286" s="91">
        <v>12.83</v>
      </c>
      <c r="N1286" s="89">
        <f t="shared" si="180"/>
        <v>1.17</v>
      </c>
      <c r="O1286" s="89">
        <f t="shared" si="181"/>
        <v>11.430000016135569</v>
      </c>
      <c r="P1286" s="97">
        <f t="shared" si="182"/>
        <v>4.0000000161355693</v>
      </c>
      <c r="Q1286" s="135">
        <f t="shared" si="185"/>
        <v>3.7153521529332979E-12</v>
      </c>
      <c r="R1286" s="89">
        <f t="shared" si="185"/>
        <v>9.9999996284647869E-5</v>
      </c>
      <c r="S1286" s="89">
        <f t="shared" si="186"/>
        <v>1.4791083881682047E-13</v>
      </c>
      <c r="T1286" s="136">
        <f t="shared" si="186"/>
        <v>6.7608297539198184E-2</v>
      </c>
      <c r="U1286" s="137">
        <f t="shared" si="187"/>
        <v>3.715352152933297E-8</v>
      </c>
      <c r="V1286" s="88">
        <f t="shared" si="183"/>
        <v>8.8299999838644307</v>
      </c>
      <c r="W1286" s="86">
        <f t="shared" si="188"/>
        <v>10.260000016135569</v>
      </c>
      <c r="X1286" s="90">
        <f t="shared" si="184"/>
        <v>9.99996284647847E-3</v>
      </c>
    </row>
    <row r="1287" spans="13:24" x14ac:dyDescent="0.25">
      <c r="M1287" s="91">
        <v>12.84</v>
      </c>
      <c r="N1287" s="89">
        <f t="shared" si="180"/>
        <v>1.1600000000000001</v>
      </c>
      <c r="O1287" s="89">
        <f t="shared" si="181"/>
        <v>11.440000015768279</v>
      </c>
      <c r="P1287" s="97">
        <f t="shared" si="182"/>
        <v>4.0000000157682791</v>
      </c>
      <c r="Q1287" s="135">
        <f t="shared" si="185"/>
        <v>3.6307804158753346E-12</v>
      </c>
      <c r="R1287" s="89">
        <f t="shared" si="185"/>
        <v>9.9999996369219501E-5</v>
      </c>
      <c r="S1287" s="89">
        <f t="shared" si="186"/>
        <v>1.4454397707459251E-13</v>
      </c>
      <c r="T1287" s="136">
        <f t="shared" si="186"/>
        <v>6.9183097091893617E-2</v>
      </c>
      <c r="U1287" s="137">
        <f t="shared" si="187"/>
        <v>3.6307804158753377E-8</v>
      </c>
      <c r="V1287" s="88">
        <f t="shared" si="183"/>
        <v>8.8399999842317207</v>
      </c>
      <c r="W1287" s="86">
        <f t="shared" si="188"/>
        <v>10.280000015768278</v>
      </c>
      <c r="X1287" s="90">
        <f t="shared" si="184"/>
        <v>9.9999636921958412E-3</v>
      </c>
    </row>
    <row r="1288" spans="13:24" x14ac:dyDescent="0.25">
      <c r="M1288" s="91">
        <v>12.85</v>
      </c>
      <c r="N1288" s="89">
        <f t="shared" si="180"/>
        <v>1.1500000000000004</v>
      </c>
      <c r="O1288" s="89">
        <f t="shared" si="181"/>
        <v>11.45000001540935</v>
      </c>
      <c r="P1288" s="97">
        <f t="shared" si="182"/>
        <v>4.0000000154093494</v>
      </c>
      <c r="Q1288" s="135">
        <f t="shared" si="185"/>
        <v>3.5481337664432135E-12</v>
      </c>
      <c r="R1288" s="89">
        <f t="shared" si="185"/>
        <v>9.9999996451866104E-5</v>
      </c>
      <c r="S1288" s="89">
        <f t="shared" si="186"/>
        <v>1.4125375446227519E-13</v>
      </c>
      <c r="T1288" s="136">
        <f t="shared" si="186"/>
        <v>7.0794578438413719E-2</v>
      </c>
      <c r="U1288" s="137">
        <f t="shared" si="187"/>
        <v>3.5481337664432182E-8</v>
      </c>
      <c r="V1288" s="88">
        <f t="shared" si="183"/>
        <v>8.8499999845906494</v>
      </c>
      <c r="W1288" s="86">
        <f t="shared" si="188"/>
        <v>10.300000015409349</v>
      </c>
      <c r="X1288" s="90">
        <f t="shared" si="184"/>
        <v>9.9999645186623354E-3</v>
      </c>
    </row>
    <row r="1289" spans="13:24" x14ac:dyDescent="0.25">
      <c r="M1289" s="91">
        <v>12.86</v>
      </c>
      <c r="N1289" s="89">
        <f t="shared" si="180"/>
        <v>1.1400000000000006</v>
      </c>
      <c r="O1289" s="89">
        <f t="shared" si="181"/>
        <v>11.46000001505859</v>
      </c>
      <c r="P1289" s="97">
        <f t="shared" si="182"/>
        <v>4.0000000150585899</v>
      </c>
      <c r="Q1289" s="135">
        <f t="shared" si="185"/>
        <v>3.4673683842988691E-12</v>
      </c>
      <c r="R1289" s="89">
        <f t="shared" si="185"/>
        <v>9.9999996532631536E-5</v>
      </c>
      <c r="S1289" s="89">
        <f t="shared" si="186"/>
        <v>1.3803842646028828E-13</v>
      </c>
      <c r="T1289" s="136">
        <f t="shared" si="186"/>
        <v>7.2443596007498903E-2</v>
      </c>
      <c r="U1289" s="137">
        <f t="shared" si="187"/>
        <v>3.467368384298872E-8</v>
      </c>
      <c r="V1289" s="88">
        <f t="shared" si="183"/>
        <v>8.8599999849414104</v>
      </c>
      <c r="W1289" s="86">
        <f t="shared" si="188"/>
        <v>10.320000015058589</v>
      </c>
      <c r="X1289" s="90">
        <f t="shared" si="184"/>
        <v>9.9999653263161577E-3</v>
      </c>
    </row>
    <row r="1290" spans="13:24" x14ac:dyDescent="0.25">
      <c r="M1290" s="91">
        <v>12.87</v>
      </c>
      <c r="N1290" s="89">
        <f t="shared" si="180"/>
        <v>1.1300000000000008</v>
      </c>
      <c r="O1290" s="89">
        <f t="shared" si="181"/>
        <v>11.470000014715815</v>
      </c>
      <c r="P1290" s="97">
        <f t="shared" si="182"/>
        <v>4.0000000147158143</v>
      </c>
      <c r="Q1290" s="135">
        <f t="shared" si="185"/>
        <v>3.3884414465766529E-12</v>
      </c>
      <c r="R1290" s="89">
        <f t="shared" si="185"/>
        <v>9.9999996611558446E-5</v>
      </c>
      <c r="S1290" s="89">
        <f t="shared" si="186"/>
        <v>1.3489628825916516E-13</v>
      </c>
      <c r="T1290" s="136">
        <f t="shared" si="186"/>
        <v>7.4131024130091594E-2</v>
      </c>
      <c r="U1290" s="137">
        <f t="shared" si="187"/>
        <v>3.3884414465766564E-8</v>
      </c>
      <c r="V1290" s="88">
        <f t="shared" si="183"/>
        <v>8.8699999852841849</v>
      </c>
      <c r="W1290" s="86">
        <f t="shared" si="188"/>
        <v>10.340000014715814</v>
      </c>
      <c r="X1290" s="90">
        <f t="shared" si="184"/>
        <v>9.999966115585535E-3</v>
      </c>
    </row>
    <row r="1291" spans="13:24" x14ac:dyDescent="0.25">
      <c r="M1291" s="91">
        <v>12.88</v>
      </c>
      <c r="N1291" s="89">
        <f t="shared" si="180"/>
        <v>1.1199999999999992</v>
      </c>
      <c r="O1291" s="89">
        <f t="shared" si="181"/>
        <v>11.480000014380844</v>
      </c>
      <c r="P1291" s="97">
        <f t="shared" si="182"/>
        <v>4.0000000143808414</v>
      </c>
      <c r="Q1291" s="135">
        <f t="shared" si="185"/>
        <v>3.3113111051780737E-12</v>
      </c>
      <c r="R1291" s="89">
        <f t="shared" si="185"/>
        <v>9.9999996688688913E-5</v>
      </c>
      <c r="S1291" s="89">
        <f t="shared" si="186"/>
        <v>1.3182567385564006E-13</v>
      </c>
      <c r="T1291" s="136">
        <f t="shared" si="186"/>
        <v>7.5857757502918483E-2</v>
      </c>
      <c r="U1291" s="137">
        <f t="shared" si="187"/>
        <v>3.3113111051780731E-8</v>
      </c>
      <c r="V1291" s="88">
        <f t="shared" si="183"/>
        <v>8.8799999856191594</v>
      </c>
      <c r="W1291" s="86">
        <f t="shared" si="188"/>
        <v>10.360000014380844</v>
      </c>
      <c r="X1291" s="90">
        <f t="shared" si="184"/>
        <v>9.9999668868889485E-3</v>
      </c>
    </row>
    <row r="1292" spans="13:24" x14ac:dyDescent="0.25">
      <c r="M1292" s="91">
        <v>12.89</v>
      </c>
      <c r="N1292" s="89">
        <f t="shared" si="180"/>
        <v>1.1099999999999994</v>
      </c>
      <c r="O1292" s="89">
        <f t="shared" si="181"/>
        <v>11.490000014053495</v>
      </c>
      <c r="P1292" s="97">
        <f t="shared" si="182"/>
        <v>4.0000000140534935</v>
      </c>
      <c r="Q1292" s="135">
        <f t="shared" si="185"/>
        <v>3.2359364645834131E-12</v>
      </c>
      <c r="R1292" s="89">
        <f t="shared" si="185"/>
        <v>9.9999996764063462E-5</v>
      </c>
      <c r="S1292" s="89">
        <f t="shared" si="186"/>
        <v>1.288249551693128E-13</v>
      </c>
      <c r="T1292" s="136">
        <f t="shared" si="186"/>
        <v>7.7624711662869272E-2</v>
      </c>
      <c r="U1292" s="137">
        <f t="shared" si="187"/>
        <v>3.2359364645834156E-8</v>
      </c>
      <c r="V1292" s="88">
        <f t="shared" si="183"/>
        <v>8.8899999859465062</v>
      </c>
      <c r="W1292" s="86">
        <f t="shared" si="188"/>
        <v>10.380000014053495</v>
      </c>
      <c r="X1292" s="90">
        <f t="shared" si="184"/>
        <v>9.999967640635354E-3</v>
      </c>
    </row>
    <row r="1293" spans="13:24" x14ac:dyDescent="0.25">
      <c r="M1293" s="91">
        <v>12.9</v>
      </c>
      <c r="N1293" s="89">
        <f t="shared" si="180"/>
        <v>1.0999999999999996</v>
      </c>
      <c r="O1293" s="89">
        <f t="shared" si="181"/>
        <v>11.500000013733599</v>
      </c>
      <c r="P1293" s="97">
        <f t="shared" si="182"/>
        <v>4.0000000137335974</v>
      </c>
      <c r="Q1293" s="135">
        <f t="shared" si="185"/>
        <v>3.1622775601683608E-12</v>
      </c>
      <c r="R1293" s="89">
        <f t="shared" si="185"/>
        <v>9.9999996837722233E-5</v>
      </c>
      <c r="S1293" s="89">
        <f t="shared" si="186"/>
        <v>1.2589254117941612E-13</v>
      </c>
      <c r="T1293" s="136">
        <f t="shared" si="186"/>
        <v>7.9432823472428207E-2</v>
      </c>
      <c r="U1293" s="137">
        <f t="shared" si="187"/>
        <v>3.1622775601683676E-8</v>
      </c>
      <c r="V1293" s="88">
        <f t="shared" si="183"/>
        <v>8.899999986266403</v>
      </c>
      <c r="W1293" s="86">
        <f t="shared" si="188"/>
        <v>10.4000000137336</v>
      </c>
      <c r="X1293" s="90">
        <f t="shared" si="184"/>
        <v>9.999968377224399E-3</v>
      </c>
    </row>
    <row r="1294" spans="13:24" x14ac:dyDescent="0.25">
      <c r="M1294" s="91">
        <v>12.91</v>
      </c>
      <c r="N1294" s="89">
        <f t="shared" si="180"/>
        <v>1.0899999999999999</v>
      </c>
      <c r="O1294" s="89">
        <f t="shared" si="181"/>
        <v>11.510000013420983</v>
      </c>
      <c r="P1294" s="97">
        <f t="shared" si="182"/>
        <v>4.0000000134209825</v>
      </c>
      <c r="Q1294" s="135">
        <f t="shared" si="185"/>
        <v>3.0902953370143258E-12</v>
      </c>
      <c r="R1294" s="89">
        <f t="shared" si="185"/>
        <v>9.9999996909704489E-5</v>
      </c>
      <c r="S1294" s="89">
        <f t="shared" si="186"/>
        <v>1.2302687708123759E-13</v>
      </c>
      <c r="T1294" s="136">
        <f t="shared" si="186"/>
        <v>8.1283051616409946E-2</v>
      </c>
      <c r="U1294" s="137">
        <f t="shared" si="187"/>
        <v>3.090295337014331E-8</v>
      </c>
      <c r="V1294" s="88">
        <f t="shared" si="183"/>
        <v>8.9099999865790167</v>
      </c>
      <c r="W1294" s="86">
        <f t="shared" si="188"/>
        <v>10.420000013420983</v>
      </c>
      <c r="X1294" s="90">
        <f t="shared" si="184"/>
        <v>9.9999690970466303E-3</v>
      </c>
    </row>
    <row r="1295" spans="13:24" x14ac:dyDescent="0.25">
      <c r="M1295" s="91">
        <v>12.92</v>
      </c>
      <c r="N1295" s="89">
        <f t="shared" si="180"/>
        <v>1.08</v>
      </c>
      <c r="O1295" s="89">
        <f t="shared" si="181"/>
        <v>11.520000013115483</v>
      </c>
      <c r="P1295" s="97">
        <f t="shared" si="182"/>
        <v>4.0000000131154838</v>
      </c>
      <c r="Q1295" s="135">
        <f t="shared" si="185"/>
        <v>3.0199516292009268E-12</v>
      </c>
      <c r="R1295" s="89">
        <f t="shared" si="185"/>
        <v>9.9999996980048203E-5</v>
      </c>
      <c r="S1295" s="89">
        <f t="shared" si="186"/>
        <v>1.2022644346174119E-13</v>
      </c>
      <c r="T1295" s="136">
        <f t="shared" si="186"/>
        <v>8.3176377110267083E-2</v>
      </c>
      <c r="U1295" s="137">
        <f t="shared" si="187"/>
        <v>3.0199516292009318E-8</v>
      </c>
      <c r="V1295" s="88">
        <f t="shared" si="183"/>
        <v>8.9199999868845161</v>
      </c>
      <c r="W1295" s="86">
        <f t="shared" si="188"/>
        <v>10.440000013115483</v>
      </c>
      <c r="X1295" s="90">
        <f t="shared" si="184"/>
        <v>9.999969800483708E-3</v>
      </c>
    </row>
    <row r="1296" spans="13:24" x14ac:dyDescent="0.25">
      <c r="M1296" s="91">
        <v>12.93</v>
      </c>
      <c r="N1296" s="89">
        <f t="shared" si="180"/>
        <v>1.0700000000000003</v>
      </c>
      <c r="O1296" s="89">
        <f t="shared" si="181"/>
        <v>11.530000012816938</v>
      </c>
      <c r="P1296" s="97">
        <f t="shared" si="182"/>
        <v>4.0000000128169386</v>
      </c>
      <c r="Q1296" s="135">
        <f t="shared" si="185"/>
        <v>2.9512091395700225E-12</v>
      </c>
      <c r="R1296" s="89">
        <f t="shared" si="185"/>
        <v>9.9999997048790714E-5</v>
      </c>
      <c r="S1296" s="89">
        <f t="shared" si="186"/>
        <v>1.1748975549395285E-13</v>
      </c>
      <c r="T1296" s="136">
        <f t="shared" si="186"/>
        <v>8.5113803820237574E-2</v>
      </c>
      <c r="U1296" s="137">
        <f t="shared" si="187"/>
        <v>2.9512091395700268E-8</v>
      </c>
      <c r="V1296" s="88">
        <f t="shared" si="183"/>
        <v>8.9299999871830611</v>
      </c>
      <c r="W1296" s="86">
        <f t="shared" si="188"/>
        <v>10.460000012816938</v>
      </c>
      <c r="X1296" s="90">
        <f t="shared" si="184"/>
        <v>9.9999704879086045E-3</v>
      </c>
    </row>
    <row r="1297" spans="13:24" x14ac:dyDescent="0.25">
      <c r="M1297" s="91">
        <v>12.94</v>
      </c>
      <c r="N1297" s="89">
        <f t="shared" si="180"/>
        <v>1.0600000000000005</v>
      </c>
      <c r="O1297" s="89">
        <f t="shared" si="181"/>
        <v>11.540000012525189</v>
      </c>
      <c r="P1297" s="97">
        <f t="shared" si="182"/>
        <v>4.0000000125251898</v>
      </c>
      <c r="Q1297" s="135">
        <f t="shared" si="185"/>
        <v>2.8840314199502306E-12</v>
      </c>
      <c r="R1297" s="89">
        <f t="shared" si="185"/>
        <v>9.999999711596845E-5</v>
      </c>
      <c r="S1297" s="89">
        <f t="shared" si="186"/>
        <v>1.1481536214968819E-13</v>
      </c>
      <c r="T1297" s="136">
        <f t="shared" si="186"/>
        <v>8.7096358995607928E-2</v>
      </c>
      <c r="U1297" s="137">
        <f t="shared" si="187"/>
        <v>2.8840314199502345E-8</v>
      </c>
      <c r="V1297" s="88">
        <f t="shared" si="183"/>
        <v>8.9399999874748097</v>
      </c>
      <c r="W1297" s="86">
        <f t="shared" si="188"/>
        <v>10.480000012525188</v>
      </c>
      <c r="X1297" s="90">
        <f t="shared" si="184"/>
        <v>9.9999711596858009E-3</v>
      </c>
    </row>
    <row r="1298" spans="13:24" x14ac:dyDescent="0.25">
      <c r="M1298" s="91">
        <v>12.95</v>
      </c>
      <c r="N1298" s="89">
        <f t="shared" si="180"/>
        <v>1.0500000000000007</v>
      </c>
      <c r="O1298" s="89">
        <f t="shared" si="181"/>
        <v>11.550000012240082</v>
      </c>
      <c r="P1298" s="97">
        <f t="shared" si="182"/>
        <v>4.0000000122400809</v>
      </c>
      <c r="Q1298" s="135">
        <f t="shared" si="185"/>
        <v>2.818382851831619E-12</v>
      </c>
      <c r="R1298" s="89">
        <f t="shared" si="185"/>
        <v>9.9999997181617094E-5</v>
      </c>
      <c r="S1298" s="89">
        <f t="shared" si="186"/>
        <v>1.1220184543019628E-13</v>
      </c>
      <c r="T1298" s="136">
        <f t="shared" si="186"/>
        <v>8.9125093813374384E-2</v>
      </c>
      <c r="U1298" s="137">
        <f t="shared" si="187"/>
        <v>2.8183828518316203E-8</v>
      </c>
      <c r="V1298" s="88">
        <f t="shared" si="183"/>
        <v>8.9499999877599183</v>
      </c>
      <c r="W1298" s="86">
        <f t="shared" si="188"/>
        <v>10.500000012240081</v>
      </c>
      <c r="X1298" s="90">
        <f t="shared" si="184"/>
        <v>9.9999718161714827E-3</v>
      </c>
    </row>
    <row r="1299" spans="13:24" x14ac:dyDescent="0.25">
      <c r="M1299" s="91">
        <v>12.96</v>
      </c>
      <c r="N1299" s="89">
        <f t="shared" si="180"/>
        <v>1.0399999999999991</v>
      </c>
      <c r="O1299" s="89">
        <f t="shared" si="181"/>
        <v>11.560000011961463</v>
      </c>
      <c r="P1299" s="97">
        <f t="shared" si="182"/>
        <v>4.0000000119614629</v>
      </c>
      <c r="Q1299" s="135">
        <f t="shared" si="185"/>
        <v>2.754228627480407E-12</v>
      </c>
      <c r="R1299" s="89">
        <f t="shared" si="185"/>
        <v>9.9999997245771288E-5</v>
      </c>
      <c r="S1299" s="89">
        <f t="shared" si="186"/>
        <v>1.0964781961431805E-13</v>
      </c>
      <c r="T1299" s="136">
        <f t="shared" si="186"/>
        <v>9.1201083935591148E-2</v>
      </c>
      <c r="U1299" s="137">
        <f t="shared" si="187"/>
        <v>2.7542286274804095E-8</v>
      </c>
      <c r="V1299" s="88">
        <f t="shared" si="183"/>
        <v>8.9599999880385379</v>
      </c>
      <c r="W1299" s="86">
        <f t="shared" si="188"/>
        <v>10.520000011961464</v>
      </c>
      <c r="X1299" s="90">
        <f t="shared" si="184"/>
        <v>9.9999724577137256E-3</v>
      </c>
    </row>
    <row r="1300" spans="13:24" x14ac:dyDescent="0.25">
      <c r="M1300" s="91">
        <v>12.97</v>
      </c>
      <c r="N1300" s="89">
        <f t="shared" si="180"/>
        <v>1.0299999999999994</v>
      </c>
      <c r="O1300" s="89">
        <f t="shared" si="181"/>
        <v>11.570000011689189</v>
      </c>
      <c r="P1300" s="97">
        <f t="shared" si="182"/>
        <v>4.0000000116891865</v>
      </c>
      <c r="Q1300" s="135">
        <f t="shared" si="185"/>
        <v>2.6915347314833021E-12</v>
      </c>
      <c r="R1300" s="89">
        <f t="shared" si="185"/>
        <v>9.999999730846532E-5</v>
      </c>
      <c r="S1300" s="89">
        <f t="shared" si="186"/>
        <v>1.0715193052376022E-13</v>
      </c>
      <c r="T1300" s="136">
        <f t="shared" si="186"/>
        <v>9.3325430079699234E-2</v>
      </c>
      <c r="U1300" s="137">
        <f t="shared" si="187"/>
        <v>2.6915347314833009E-8</v>
      </c>
      <c r="V1300" s="88">
        <f t="shared" si="183"/>
        <v>8.9699999883108141</v>
      </c>
      <c r="W1300" s="86">
        <f t="shared" si="188"/>
        <v>10.540000011689189</v>
      </c>
      <c r="X1300" s="90">
        <f t="shared" si="184"/>
        <v>9.9999730846526847E-3</v>
      </c>
    </row>
    <row r="1301" spans="13:24" x14ac:dyDescent="0.25">
      <c r="M1301" s="91">
        <v>12.98</v>
      </c>
      <c r="N1301" s="89">
        <f t="shared" si="180"/>
        <v>1.0199999999999996</v>
      </c>
      <c r="O1301" s="89">
        <f t="shared" si="181"/>
        <v>11.58000001142311</v>
      </c>
      <c r="P1301" s="97">
        <f t="shared" si="182"/>
        <v>4.0000000114231087</v>
      </c>
      <c r="Q1301" s="135">
        <f t="shared" si="185"/>
        <v>2.6302679227122703E-12</v>
      </c>
      <c r="R1301" s="89">
        <f t="shared" si="185"/>
        <v>9.999999736973204E-5</v>
      </c>
      <c r="S1301" s="89">
        <f t="shared" si="186"/>
        <v>1.0471285480508955E-13</v>
      </c>
      <c r="T1301" s="136">
        <f t="shared" si="186"/>
        <v>9.5499258602143686E-2</v>
      </c>
      <c r="U1301" s="137">
        <f t="shared" si="187"/>
        <v>2.6302679227122714E-8</v>
      </c>
      <c r="V1301" s="88">
        <f t="shared" si="183"/>
        <v>8.9799999885768926</v>
      </c>
      <c r="W1301" s="86">
        <f t="shared" si="188"/>
        <v>10.56000001142311</v>
      </c>
      <c r="X1301" s="90">
        <f t="shared" si="184"/>
        <v>9.9999736973207728E-3</v>
      </c>
    </row>
    <row r="1302" spans="13:24" x14ac:dyDescent="0.25">
      <c r="M1302" s="91">
        <v>12.99</v>
      </c>
      <c r="N1302" s="89">
        <f t="shared" si="180"/>
        <v>1.0099999999999998</v>
      </c>
      <c r="O1302" s="89">
        <f t="shared" si="181"/>
        <v>11.590000011163088</v>
      </c>
      <c r="P1302" s="97">
        <f t="shared" si="182"/>
        <v>4.0000000111630865</v>
      </c>
      <c r="Q1302" s="135">
        <f t="shared" si="185"/>
        <v>2.5703957166995115E-12</v>
      </c>
      <c r="R1302" s="89">
        <f t="shared" si="185"/>
        <v>9.9999997429604313E-5</v>
      </c>
      <c r="S1302" s="89">
        <f t="shared" si="186"/>
        <v>1.0232929922807502E-13</v>
      </c>
      <c r="T1302" s="136">
        <f t="shared" si="186"/>
        <v>9.7723722095581111E-2</v>
      </c>
      <c r="U1302" s="137">
        <f t="shared" si="187"/>
        <v>2.5703957166995106E-8</v>
      </c>
      <c r="V1302" s="88">
        <f t="shared" si="183"/>
        <v>8.9899999888369138</v>
      </c>
      <c r="W1302" s="86">
        <f t="shared" si="188"/>
        <v>10.580000011163088</v>
      </c>
      <c r="X1302" s="90">
        <f t="shared" si="184"/>
        <v>9.9999742960428326E-3</v>
      </c>
    </row>
    <row r="1303" spans="13:24" x14ac:dyDescent="0.25">
      <c r="M1303" s="91">
        <v>13</v>
      </c>
      <c r="N1303" s="89">
        <f t="shared" si="180"/>
        <v>1</v>
      </c>
      <c r="O1303" s="89">
        <f t="shared" si="181"/>
        <v>11.600000010908985</v>
      </c>
      <c r="P1303" s="97">
        <f t="shared" si="182"/>
        <v>4.0000000109089839</v>
      </c>
      <c r="Q1303" s="135">
        <f t="shared" si="185"/>
        <v>2.5118863684138369E-12</v>
      </c>
      <c r="R1303" s="89">
        <f t="shared" si="185"/>
        <v>9.9999997488113595E-5</v>
      </c>
      <c r="S1303" s="89">
        <f t="shared" si="186"/>
        <v>1E-13</v>
      </c>
      <c r="T1303" s="136">
        <f t="shared" si="186"/>
        <v>0.1</v>
      </c>
      <c r="U1303" s="137">
        <f t="shared" si="187"/>
        <v>2.5118863684138378E-8</v>
      </c>
      <c r="V1303" s="88">
        <f t="shared" si="183"/>
        <v>8.9999999890910161</v>
      </c>
      <c r="W1303" s="86">
        <f t="shared" si="188"/>
        <v>10.600000010908985</v>
      </c>
      <c r="X1303" s="90">
        <f t="shared" si="184"/>
        <v>9.9999748811363167E-3</v>
      </c>
    </row>
    <row r="1304" spans="13:24" x14ac:dyDescent="0.25">
      <c r="M1304" s="91">
        <v>13.01</v>
      </c>
      <c r="N1304" s="89">
        <f t="shared" si="180"/>
        <v>0.99000000000000021</v>
      </c>
      <c r="O1304" s="89">
        <f t="shared" si="181"/>
        <v>11.610000010660666</v>
      </c>
      <c r="P1304" s="97">
        <f t="shared" si="182"/>
        <v>4.0000000106606652</v>
      </c>
      <c r="Q1304" s="135">
        <f t="shared" si="185"/>
        <v>2.4547088554290601E-12</v>
      </c>
      <c r="R1304" s="89">
        <f t="shared" si="185"/>
        <v>9.9999997545290975E-5</v>
      </c>
      <c r="S1304" s="89">
        <f t="shared" si="186"/>
        <v>9.772372209558072E-14</v>
      </c>
      <c r="T1304" s="136">
        <f t="shared" si="186"/>
        <v>0.10232929922807533</v>
      </c>
      <c r="U1304" s="137">
        <f t="shared" si="187"/>
        <v>2.4547088554290644E-8</v>
      </c>
      <c r="V1304" s="88">
        <f t="shared" si="183"/>
        <v>9.0099999893393345</v>
      </c>
      <c r="W1304" s="86">
        <f t="shared" si="188"/>
        <v>10.620000010660666</v>
      </c>
      <c r="X1304" s="90">
        <f t="shared" si="184"/>
        <v>9.9999754529114457E-3</v>
      </c>
    </row>
    <row r="1305" spans="13:24" x14ac:dyDescent="0.25">
      <c r="M1305" s="91">
        <v>13.02</v>
      </c>
      <c r="N1305" s="89">
        <f t="shared" si="180"/>
        <v>0.98000000000000043</v>
      </c>
      <c r="O1305" s="89">
        <f t="shared" si="181"/>
        <v>11.620000010417998</v>
      </c>
      <c r="P1305" s="97">
        <f t="shared" si="182"/>
        <v>4.0000000104179989</v>
      </c>
      <c r="Q1305" s="135">
        <f t="shared" si="185"/>
        <v>2.3988328614754942E-12</v>
      </c>
      <c r="R1305" s="89">
        <f t="shared" si="185"/>
        <v>9.9999997601166987E-5</v>
      </c>
      <c r="S1305" s="89">
        <f t="shared" si="186"/>
        <v>9.5499258602143264E-14</v>
      </c>
      <c r="T1305" s="136">
        <f t="shared" si="186"/>
        <v>0.10471285480508981</v>
      </c>
      <c r="U1305" s="137">
        <f t="shared" si="187"/>
        <v>2.3988328614754981E-8</v>
      </c>
      <c r="V1305" s="88">
        <f t="shared" si="183"/>
        <v>9.0199999895820007</v>
      </c>
      <c r="W1305" s="86">
        <f t="shared" si="188"/>
        <v>10.640000010417998</v>
      </c>
      <c r="X1305" s="90">
        <f t="shared" si="184"/>
        <v>9.999976011671385E-3</v>
      </c>
    </row>
    <row r="1306" spans="13:24" x14ac:dyDescent="0.25">
      <c r="M1306" s="91">
        <v>13.03</v>
      </c>
      <c r="N1306" s="89">
        <f t="shared" si="180"/>
        <v>0.97000000000000064</v>
      </c>
      <c r="O1306" s="89">
        <f t="shared" si="181"/>
        <v>11.630000010180856</v>
      </c>
      <c r="P1306" s="97">
        <f t="shared" si="182"/>
        <v>4.0000000101808562</v>
      </c>
      <c r="Q1306" s="135">
        <f t="shared" si="185"/>
        <v>2.3442287603658337E-12</v>
      </c>
      <c r="R1306" s="89">
        <f t="shared" si="185"/>
        <v>9.9999997655771136E-5</v>
      </c>
      <c r="S1306" s="89">
        <f t="shared" si="186"/>
        <v>9.3325430079699117E-14</v>
      </c>
      <c r="T1306" s="136">
        <f t="shared" si="186"/>
        <v>0.10715193052376044</v>
      </c>
      <c r="U1306" s="137">
        <f t="shared" si="187"/>
        <v>2.344228760365836E-8</v>
      </c>
      <c r="V1306" s="88">
        <f t="shared" si="183"/>
        <v>9.0299999898191423</v>
      </c>
      <c r="W1306" s="86">
        <f t="shared" si="188"/>
        <v>10.660000010180855</v>
      </c>
      <c r="X1306" s="90">
        <f t="shared" si="184"/>
        <v>9.9999765577123961E-3</v>
      </c>
    </row>
    <row r="1307" spans="13:24" x14ac:dyDescent="0.25">
      <c r="M1307" s="91">
        <v>13.04</v>
      </c>
      <c r="N1307" s="89">
        <f t="shared" si="180"/>
        <v>0.96000000000000085</v>
      </c>
      <c r="O1307" s="89">
        <f t="shared" si="181"/>
        <v>11.640000009949111</v>
      </c>
      <c r="P1307" s="97">
        <f t="shared" si="182"/>
        <v>4.0000000099491118</v>
      </c>
      <c r="Q1307" s="135">
        <f t="shared" si="185"/>
        <v>2.2908676002870314E-12</v>
      </c>
      <c r="R1307" s="89">
        <f t="shared" si="185"/>
        <v>9.9999997709132341E-5</v>
      </c>
      <c r="S1307" s="89">
        <f t="shared" si="186"/>
        <v>9.1201083935590996E-14</v>
      </c>
      <c r="T1307" s="136">
        <f t="shared" si="186"/>
        <v>0.10964781961431823</v>
      </c>
      <c r="U1307" s="137">
        <f t="shared" si="187"/>
        <v>2.2908676002870329E-8</v>
      </c>
      <c r="V1307" s="88">
        <f t="shared" si="183"/>
        <v>9.0399999900508874</v>
      </c>
      <c r="W1307" s="86">
        <f t="shared" si="188"/>
        <v>10.68000000994911</v>
      </c>
      <c r="X1307" s="90">
        <f t="shared" si="184"/>
        <v>9.9999770913239971E-3</v>
      </c>
    </row>
    <row r="1308" spans="13:24" x14ac:dyDescent="0.25">
      <c r="M1308" s="91">
        <v>13.05</v>
      </c>
      <c r="N1308" s="89">
        <f t="shared" si="180"/>
        <v>0.94999999999999929</v>
      </c>
      <c r="O1308" s="89">
        <f t="shared" si="181"/>
        <v>11.650000009722643</v>
      </c>
      <c r="P1308" s="97">
        <f t="shared" si="182"/>
        <v>4.0000000097226422</v>
      </c>
      <c r="Q1308" s="135">
        <f t="shared" si="185"/>
        <v>2.23872108844961E-12</v>
      </c>
      <c r="R1308" s="89">
        <f t="shared" si="185"/>
        <v>9.9999997761278915E-5</v>
      </c>
      <c r="S1308" s="89">
        <f t="shared" si="186"/>
        <v>8.9125093813374273E-14</v>
      </c>
      <c r="T1308" s="136">
        <f t="shared" si="186"/>
        <v>0.11220184543019651</v>
      </c>
      <c r="U1308" s="137">
        <f t="shared" si="187"/>
        <v>2.2387210884496097E-8</v>
      </c>
      <c r="V1308" s="88">
        <f t="shared" si="183"/>
        <v>9.0499999902773585</v>
      </c>
      <c r="W1308" s="86">
        <f t="shared" si="188"/>
        <v>10.700000009722643</v>
      </c>
      <c r="X1308" s="90">
        <f t="shared" si="184"/>
        <v>9.9999776127891165E-3</v>
      </c>
    </row>
    <row r="1309" spans="13:24" x14ac:dyDescent="0.25">
      <c r="M1309" s="91">
        <v>13.06</v>
      </c>
      <c r="N1309" s="89">
        <f t="shared" si="180"/>
        <v>0.9399999999999995</v>
      </c>
      <c r="O1309" s="89">
        <f t="shared" si="181"/>
        <v>11.660000009501328</v>
      </c>
      <c r="P1309" s="97">
        <f t="shared" si="182"/>
        <v>4.0000000095013277</v>
      </c>
      <c r="Q1309" s="135">
        <f t="shared" si="185"/>
        <v>2.1877615760865426E-12</v>
      </c>
      <c r="R1309" s="89">
        <f t="shared" si="185"/>
        <v>9.9999997812238314E-5</v>
      </c>
      <c r="S1309" s="89">
        <f t="shared" si="186"/>
        <v>8.7096358995607795E-14</v>
      </c>
      <c r="T1309" s="136">
        <f t="shared" si="186"/>
        <v>0.11481536214968839</v>
      </c>
      <c r="U1309" s="137">
        <f t="shared" si="187"/>
        <v>2.1877615760865449E-8</v>
      </c>
      <c r="V1309" s="88">
        <f t="shared" si="183"/>
        <v>9.0599999904986728</v>
      </c>
      <c r="W1309" s="86">
        <f t="shared" si="188"/>
        <v>10.720000009501328</v>
      </c>
      <c r="X1309" s="90">
        <f t="shared" si="184"/>
        <v>9.9999781223842395E-3</v>
      </c>
    </row>
    <row r="1310" spans="13:24" x14ac:dyDescent="0.25">
      <c r="M1310" s="91">
        <v>13.07</v>
      </c>
      <c r="N1310" s="89">
        <f t="shared" si="180"/>
        <v>0.92999999999999972</v>
      </c>
      <c r="O1310" s="89">
        <f t="shared" si="181"/>
        <v>11.670000009285053</v>
      </c>
      <c r="P1310" s="97">
        <f t="shared" si="182"/>
        <v>4.000000009285051</v>
      </c>
      <c r="Q1310" s="135">
        <f t="shared" si="185"/>
        <v>2.1379620437934036E-12</v>
      </c>
      <c r="R1310" s="89">
        <f t="shared" si="185"/>
        <v>9.9999997862037956E-5</v>
      </c>
      <c r="S1310" s="89">
        <f t="shared" si="186"/>
        <v>8.511380382023738E-14</v>
      </c>
      <c r="T1310" s="136">
        <f t="shared" si="186"/>
        <v>0.117489755493953</v>
      </c>
      <c r="U1310" s="137">
        <f t="shared" si="187"/>
        <v>2.1379620437934035E-8</v>
      </c>
      <c r="V1310" s="88">
        <f t="shared" si="183"/>
        <v>9.0699999907149493</v>
      </c>
      <c r="W1310" s="86">
        <f t="shared" si="188"/>
        <v>10.740000009285053</v>
      </c>
      <c r="X1310" s="90">
        <f t="shared" si="184"/>
        <v>9.9999786203795616E-3</v>
      </c>
    </row>
    <row r="1311" spans="13:24" x14ac:dyDescent="0.25">
      <c r="M1311" s="91">
        <v>13.08</v>
      </c>
      <c r="N1311" s="89">
        <f t="shared" si="180"/>
        <v>0.91999999999999993</v>
      </c>
      <c r="O1311" s="89">
        <f t="shared" si="181"/>
        <v>11.680000009073698</v>
      </c>
      <c r="P1311" s="97">
        <f t="shared" si="182"/>
        <v>4.0000000090736973</v>
      </c>
      <c r="Q1311" s="135">
        <f t="shared" si="185"/>
        <v>2.0892960872024506E-12</v>
      </c>
      <c r="R1311" s="89">
        <f t="shared" si="185"/>
        <v>9.9999997910703902E-5</v>
      </c>
      <c r="S1311" s="89">
        <f t="shared" si="186"/>
        <v>8.3176377110266858E-14</v>
      </c>
      <c r="T1311" s="136">
        <f t="shared" si="186"/>
        <v>0.12022644346174129</v>
      </c>
      <c r="U1311" s="137">
        <f t="shared" si="187"/>
        <v>2.0892960872024506E-8</v>
      </c>
      <c r="V1311" s="88">
        <f t="shared" si="183"/>
        <v>9.0799999909263036</v>
      </c>
      <c r="W1311" s="86">
        <f t="shared" si="188"/>
        <v>10.760000009073698</v>
      </c>
      <c r="X1311" s="90">
        <f t="shared" si="184"/>
        <v>9.9999791070391284E-3</v>
      </c>
    </row>
    <row r="1312" spans="13:24" x14ac:dyDescent="0.25">
      <c r="M1312" s="91">
        <v>13.09</v>
      </c>
      <c r="N1312" s="89">
        <f t="shared" si="180"/>
        <v>0.91000000000000014</v>
      </c>
      <c r="O1312" s="89">
        <f t="shared" si="181"/>
        <v>11.690000008867155</v>
      </c>
      <c r="P1312" s="97">
        <f t="shared" si="182"/>
        <v>4.000000008867155</v>
      </c>
      <c r="Q1312" s="135">
        <f t="shared" si="185"/>
        <v>2.0417379029825832E-12</v>
      </c>
      <c r="R1312" s="89">
        <f t="shared" si="185"/>
        <v>9.9999997958261956E-5</v>
      </c>
      <c r="S1312" s="89">
        <f t="shared" si="186"/>
        <v>8.1283051616409697E-14</v>
      </c>
      <c r="T1312" s="136">
        <f t="shared" si="186"/>
        <v>0.12302687708123806</v>
      </c>
      <c r="U1312" s="137">
        <f t="shared" si="187"/>
        <v>2.0417379029825862E-8</v>
      </c>
      <c r="V1312" s="88">
        <f t="shared" si="183"/>
        <v>9.0899999911328457</v>
      </c>
      <c r="W1312" s="86">
        <f t="shared" si="188"/>
        <v>10.780000008867155</v>
      </c>
      <c r="X1312" s="90">
        <f t="shared" si="184"/>
        <v>9.9999795826209697E-3</v>
      </c>
    </row>
    <row r="1313" spans="13:24" x14ac:dyDescent="0.25">
      <c r="M1313" s="91">
        <v>13.1</v>
      </c>
      <c r="N1313" s="89">
        <f t="shared" si="180"/>
        <v>0.90000000000000036</v>
      </c>
      <c r="O1313" s="89">
        <f t="shared" si="181"/>
        <v>11.700000008665315</v>
      </c>
      <c r="P1313" s="97">
        <f t="shared" si="182"/>
        <v>4.0000000086653138</v>
      </c>
      <c r="Q1313" s="135">
        <f t="shared" si="185"/>
        <v>1.9952622751581529E-12</v>
      </c>
      <c r="R1313" s="89">
        <f t="shared" si="185"/>
        <v>9.9999998004737665E-5</v>
      </c>
      <c r="S1313" s="89">
        <f t="shared" si="186"/>
        <v>7.9432823472427931E-14</v>
      </c>
      <c r="T1313" s="136">
        <f t="shared" si="186"/>
        <v>0.12589254117941656</v>
      </c>
      <c r="U1313" s="137">
        <f t="shared" si="187"/>
        <v>1.9952622751581541E-8</v>
      </c>
      <c r="V1313" s="88">
        <f t="shared" si="183"/>
        <v>9.0999999913346858</v>
      </c>
      <c r="W1313" s="86">
        <f t="shared" si="188"/>
        <v>10.800000008665315</v>
      </c>
      <c r="X1313" s="90">
        <f t="shared" si="184"/>
        <v>9.9999800473772483E-3</v>
      </c>
    </row>
    <row r="1314" spans="13:24" x14ac:dyDescent="0.25">
      <c r="M1314" s="91">
        <v>13.11</v>
      </c>
      <c r="N1314" s="89">
        <f t="shared" si="180"/>
        <v>0.89000000000000057</v>
      </c>
      <c r="O1314" s="89">
        <f t="shared" si="181"/>
        <v>11.710000008468068</v>
      </c>
      <c r="P1314" s="97">
        <f t="shared" si="182"/>
        <v>4.0000000084680671</v>
      </c>
      <c r="Q1314" s="135">
        <f t="shared" si="185"/>
        <v>1.9498445617391E-12</v>
      </c>
      <c r="R1314" s="89">
        <f t="shared" si="185"/>
        <v>9.9999998050155368E-5</v>
      </c>
      <c r="S1314" s="89">
        <f t="shared" si="186"/>
        <v>7.7624711662868969E-14</v>
      </c>
      <c r="T1314" s="136">
        <f t="shared" si="186"/>
        <v>0.12882495516931317</v>
      </c>
      <c r="U1314" s="137">
        <f t="shared" si="187"/>
        <v>1.9498445617391016E-8</v>
      </c>
      <c r="V1314" s="88">
        <f t="shared" si="183"/>
        <v>9.1099999915319323</v>
      </c>
      <c r="W1314" s="86">
        <f t="shared" si="188"/>
        <v>10.820000008468067</v>
      </c>
      <c r="X1314" s="90">
        <f t="shared" si="184"/>
        <v>9.9999805015543834E-3</v>
      </c>
    </row>
    <row r="1315" spans="13:24" x14ac:dyDescent="0.25">
      <c r="M1315" s="91">
        <v>13.12</v>
      </c>
      <c r="N1315" s="89">
        <f t="shared" si="180"/>
        <v>0.88000000000000078</v>
      </c>
      <c r="O1315" s="89">
        <f t="shared" si="181"/>
        <v>11.72000000827531</v>
      </c>
      <c r="P1315" s="97">
        <f t="shared" si="182"/>
        <v>4.0000000082753102</v>
      </c>
      <c r="Q1315" s="135">
        <f t="shared" si="185"/>
        <v>1.9054606816554397E-12</v>
      </c>
      <c r="R1315" s="89">
        <f t="shared" si="185"/>
        <v>9.9999998094539257E-5</v>
      </c>
      <c r="S1315" s="89">
        <f t="shared" si="186"/>
        <v>7.5857757502918174E-14</v>
      </c>
      <c r="T1315" s="136">
        <f t="shared" si="186"/>
        <v>0.13182567385564048</v>
      </c>
      <c r="U1315" s="137">
        <f t="shared" si="187"/>
        <v>1.905460681655441E-8</v>
      </c>
      <c r="V1315" s="88">
        <f t="shared" si="183"/>
        <v>9.1199999917246899</v>
      </c>
      <c r="W1315" s="86">
        <f t="shared" si="188"/>
        <v>10.840000008275309</v>
      </c>
      <c r="X1315" s="90">
        <f t="shared" si="184"/>
        <v>9.9999809453931842E-3</v>
      </c>
    </row>
    <row r="1316" spans="13:24" x14ac:dyDescent="0.25">
      <c r="M1316" s="91">
        <v>13.13</v>
      </c>
      <c r="N1316" s="89">
        <f t="shared" si="180"/>
        <v>0.86999999999999922</v>
      </c>
      <c r="O1316" s="89">
        <f t="shared" si="181"/>
        <v>11.730000008086943</v>
      </c>
      <c r="P1316" s="97">
        <f t="shared" si="182"/>
        <v>4.0000000080869418</v>
      </c>
      <c r="Q1316" s="135">
        <f t="shared" si="185"/>
        <v>1.8620871019891688E-12</v>
      </c>
      <c r="R1316" s="89">
        <f t="shared" si="185"/>
        <v>9.9999998137912738E-5</v>
      </c>
      <c r="S1316" s="89">
        <f t="shared" si="186"/>
        <v>7.4131024130091305E-14</v>
      </c>
      <c r="T1316" s="136">
        <f t="shared" si="186"/>
        <v>0.13489628825916558</v>
      </c>
      <c r="U1316" s="137">
        <f t="shared" si="187"/>
        <v>1.8620871019891719E-8</v>
      </c>
      <c r="V1316" s="88">
        <f t="shared" si="183"/>
        <v>9.1299999919130599</v>
      </c>
      <c r="W1316" s="86">
        <f t="shared" si="188"/>
        <v>10.860000008086944</v>
      </c>
      <c r="X1316" s="90">
        <f t="shared" si="184"/>
        <v>9.9999813791289797E-3</v>
      </c>
    </row>
    <row r="1317" spans="13:24" x14ac:dyDescent="0.25">
      <c r="M1317" s="91">
        <v>13.14</v>
      </c>
      <c r="N1317" s="89">
        <f t="shared" si="180"/>
        <v>0.85999999999999943</v>
      </c>
      <c r="O1317" s="89">
        <f t="shared" si="181"/>
        <v>11.740000007902861</v>
      </c>
      <c r="P1317" s="97">
        <f t="shared" si="182"/>
        <v>4.0000000079028606</v>
      </c>
      <c r="Q1317" s="135">
        <f t="shared" si="185"/>
        <v>1.8197008254968658E-12</v>
      </c>
      <c r="R1317" s="89">
        <f t="shared" si="185"/>
        <v>9.9999998180299094E-5</v>
      </c>
      <c r="S1317" s="89">
        <f t="shared" si="186"/>
        <v>7.2443596007498585E-14</v>
      </c>
      <c r="T1317" s="136">
        <f t="shared" si="186"/>
        <v>0.13803842646028863</v>
      </c>
      <c r="U1317" s="137">
        <f t="shared" si="187"/>
        <v>1.8197008254968673E-8</v>
      </c>
      <c r="V1317" s="88">
        <f t="shared" si="183"/>
        <v>9.13999999209714</v>
      </c>
      <c r="W1317" s="86">
        <f t="shared" si="188"/>
        <v>10.880000007902861</v>
      </c>
      <c r="X1317" s="90">
        <f t="shared" si="184"/>
        <v>9.9999818029917458E-3</v>
      </c>
    </row>
    <row r="1318" spans="13:24" x14ac:dyDescent="0.25">
      <c r="M1318" s="91">
        <v>13.15</v>
      </c>
      <c r="N1318" s="89">
        <f t="shared" si="180"/>
        <v>0.84999999999999964</v>
      </c>
      <c r="O1318" s="89">
        <f t="shared" si="181"/>
        <v>11.750000007722969</v>
      </c>
      <c r="P1318" s="97">
        <f t="shared" si="182"/>
        <v>4.0000000077229689</v>
      </c>
      <c r="Q1318" s="135">
        <f t="shared" si="185"/>
        <v>1.7782793784161412E-12</v>
      </c>
      <c r="R1318" s="89">
        <f t="shared" si="185"/>
        <v>9.9999998221720536E-5</v>
      </c>
      <c r="S1318" s="89">
        <f t="shared" si="186"/>
        <v>7.0794578438413629E-14</v>
      </c>
      <c r="T1318" s="136">
        <f t="shared" si="186"/>
        <v>0.1412537544622755</v>
      </c>
      <c r="U1318" s="137">
        <f t="shared" si="187"/>
        <v>1.7782793784161428E-8</v>
      </c>
      <c r="V1318" s="88">
        <f t="shared" si="183"/>
        <v>9.1499999922770314</v>
      </c>
      <c r="W1318" s="86">
        <f t="shared" si="188"/>
        <v>10.900000007722969</v>
      </c>
      <c r="X1318" s="90">
        <f t="shared" si="184"/>
        <v>9.9999822172062158E-3</v>
      </c>
    </row>
    <row r="1319" spans="13:24" x14ac:dyDescent="0.25">
      <c r="M1319" s="91">
        <v>13.16</v>
      </c>
      <c r="N1319" s="89">
        <f t="shared" si="180"/>
        <v>0.83999999999999986</v>
      </c>
      <c r="O1319" s="89">
        <f t="shared" si="181"/>
        <v>11.760000007547173</v>
      </c>
      <c r="P1319" s="97">
        <f t="shared" si="182"/>
        <v>4.0000000075471727</v>
      </c>
      <c r="Q1319" s="135">
        <f t="shared" si="185"/>
        <v>1.737800798549853E-12</v>
      </c>
      <c r="R1319" s="89">
        <f t="shared" si="185"/>
        <v>9.9999998262199278E-5</v>
      </c>
      <c r="S1319" s="89">
        <f t="shared" si="186"/>
        <v>6.9183097091893504E-14</v>
      </c>
      <c r="T1319" s="136">
        <f t="shared" si="186"/>
        <v>0.14454397707459279</v>
      </c>
      <c r="U1319" s="137">
        <f t="shared" si="187"/>
        <v>1.7378007985498519E-8</v>
      </c>
      <c r="V1319" s="88">
        <f t="shared" si="183"/>
        <v>9.1599999924528284</v>
      </c>
      <c r="W1319" s="86">
        <f t="shared" si="188"/>
        <v>10.920000007547173</v>
      </c>
      <c r="X1319" s="90">
        <f t="shared" si="184"/>
        <v>9.9999826219920145E-3</v>
      </c>
    </row>
    <row r="1320" spans="13:24" x14ac:dyDescent="0.25">
      <c r="M1320" s="91">
        <v>13.17</v>
      </c>
      <c r="N1320" s="89">
        <f t="shared" si="180"/>
        <v>0.83000000000000007</v>
      </c>
      <c r="O1320" s="89">
        <f t="shared" si="181"/>
        <v>11.770000007375378</v>
      </c>
      <c r="P1320" s="97">
        <f t="shared" si="182"/>
        <v>4.0000000073753785</v>
      </c>
      <c r="Q1320" s="135">
        <f t="shared" si="185"/>
        <v>1.6982436236214269E-12</v>
      </c>
      <c r="R1320" s="89">
        <f t="shared" si="185"/>
        <v>9.9999998301756246E-5</v>
      </c>
      <c r="S1320" s="89">
        <f t="shared" si="186"/>
        <v>6.760829753919804E-14</v>
      </c>
      <c r="T1320" s="136">
        <f t="shared" si="186"/>
        <v>0.14791083881682071</v>
      </c>
      <c r="U1320" s="137">
        <f t="shared" si="187"/>
        <v>1.6982436236214291E-8</v>
      </c>
      <c r="V1320" s="88">
        <f t="shared" si="183"/>
        <v>9.1699999926246214</v>
      </c>
      <c r="W1320" s="86">
        <f t="shared" si="188"/>
        <v>10.940000007375378</v>
      </c>
      <c r="X1320" s="90">
        <f t="shared" si="184"/>
        <v>9.9999830175637634E-3</v>
      </c>
    </row>
    <row r="1321" spans="13:24" x14ac:dyDescent="0.25">
      <c r="M1321" s="91">
        <v>13.18</v>
      </c>
      <c r="N1321" s="89">
        <f t="shared" si="180"/>
        <v>0.82000000000000028</v>
      </c>
      <c r="O1321" s="89">
        <f t="shared" si="181"/>
        <v>11.780000007207494</v>
      </c>
      <c r="P1321" s="97">
        <f t="shared" si="182"/>
        <v>4.0000000072074942</v>
      </c>
      <c r="Q1321" s="135">
        <f t="shared" si="185"/>
        <v>1.6595868798952712E-12</v>
      </c>
      <c r="R1321" s="89">
        <f t="shared" si="185"/>
        <v>9.9999998340413135E-5</v>
      </c>
      <c r="S1321" s="89">
        <f t="shared" si="186"/>
        <v>6.6069344800759472E-14</v>
      </c>
      <c r="T1321" s="136">
        <f t="shared" si="186"/>
        <v>0.15135612484362068</v>
      </c>
      <c r="U1321" s="137">
        <f t="shared" si="187"/>
        <v>1.659586879895271E-8</v>
      </c>
      <c r="V1321" s="88">
        <f t="shared" si="183"/>
        <v>9.1799999927925064</v>
      </c>
      <c r="W1321" s="86">
        <f t="shared" si="188"/>
        <v>10.960000007207494</v>
      </c>
      <c r="X1321" s="90">
        <f t="shared" si="184"/>
        <v>9.9999834041312012E-3</v>
      </c>
    </row>
    <row r="1322" spans="13:24" x14ac:dyDescent="0.25">
      <c r="M1322" s="91">
        <v>13.19</v>
      </c>
      <c r="N1322" s="89">
        <f t="shared" si="180"/>
        <v>0.8100000000000005</v>
      </c>
      <c r="O1322" s="89">
        <f t="shared" si="181"/>
        <v>11.790000007043432</v>
      </c>
      <c r="P1322" s="97">
        <f t="shared" si="182"/>
        <v>4.0000000070434316</v>
      </c>
      <c r="Q1322" s="135">
        <f t="shared" si="185"/>
        <v>1.6218100710562464E-12</v>
      </c>
      <c r="R1322" s="89">
        <f t="shared" si="185"/>
        <v>9.9999998378189856E-5</v>
      </c>
      <c r="S1322" s="89">
        <f t="shared" si="186"/>
        <v>6.4565422903465431E-14</v>
      </c>
      <c r="T1322" s="136">
        <f t="shared" si="186"/>
        <v>0.15488166189124791</v>
      </c>
      <c r="U1322" s="137">
        <f t="shared" si="187"/>
        <v>1.6218100710562475E-8</v>
      </c>
      <c r="V1322" s="88">
        <f t="shared" si="183"/>
        <v>9.1899999929565688</v>
      </c>
      <c r="W1322" s="86">
        <f t="shared" si="188"/>
        <v>10.980000007043431</v>
      </c>
      <c r="X1322" s="90">
        <f t="shared" si="184"/>
        <v>9.9999837818992889E-3</v>
      </c>
    </row>
    <row r="1323" spans="13:24" x14ac:dyDescent="0.25">
      <c r="M1323" s="91">
        <v>13.2</v>
      </c>
      <c r="N1323" s="89">
        <f t="shared" si="180"/>
        <v>0.80000000000000071</v>
      </c>
      <c r="O1323" s="89">
        <f t="shared" si="181"/>
        <v>11.800000006883103</v>
      </c>
      <c r="P1323" s="97">
        <f t="shared" si="182"/>
        <v>4.0000000068831039</v>
      </c>
      <c r="Q1323" s="135">
        <f t="shared" si="185"/>
        <v>1.5848931673422466E-12</v>
      </c>
      <c r="R1323" s="89">
        <f t="shared" si="185"/>
        <v>9.9999998415106642E-5</v>
      </c>
      <c r="S1323" s="89">
        <f t="shared" si="186"/>
        <v>6.3095734448019215E-14</v>
      </c>
      <c r="T1323" s="136">
        <f t="shared" si="186"/>
        <v>0.15848931924611104</v>
      </c>
      <c r="U1323" s="137">
        <f t="shared" si="187"/>
        <v>1.5848931673422497E-8</v>
      </c>
      <c r="V1323" s="88">
        <f t="shared" si="183"/>
        <v>9.1999999931168954</v>
      </c>
      <c r="W1323" s="86">
        <f t="shared" si="188"/>
        <v>11.000000006883102</v>
      </c>
      <c r="X1323" s="90">
        <f t="shared" si="184"/>
        <v>9.9999841510683262E-3</v>
      </c>
    </row>
    <row r="1324" spans="13:24" x14ac:dyDescent="0.25">
      <c r="M1324" s="91">
        <v>13.21</v>
      </c>
      <c r="N1324" s="89">
        <f t="shared" si="180"/>
        <v>0.78999999999999915</v>
      </c>
      <c r="O1324" s="89">
        <f t="shared" si="181"/>
        <v>11.810000006726426</v>
      </c>
      <c r="P1324" s="97">
        <f t="shared" si="182"/>
        <v>4.0000000067264248</v>
      </c>
      <c r="Q1324" s="135">
        <f t="shared" si="185"/>
        <v>1.5488165949241466E-12</v>
      </c>
      <c r="R1324" s="89">
        <f t="shared" si="185"/>
        <v>9.9999998451183388E-5</v>
      </c>
      <c r="S1324" s="89">
        <f t="shared" si="186"/>
        <v>6.1659500186147887E-14</v>
      </c>
      <c r="T1324" s="136">
        <f t="shared" si="186"/>
        <v>0.16218100973589328</v>
      </c>
      <c r="U1324" s="137">
        <f t="shared" si="187"/>
        <v>1.5488165949241471E-8</v>
      </c>
      <c r="V1324" s="88">
        <f t="shared" si="183"/>
        <v>9.209999993273577</v>
      </c>
      <c r="W1324" s="86">
        <f t="shared" si="188"/>
        <v>11.020000006726427</v>
      </c>
      <c r="X1324" s="90">
        <f t="shared" si="184"/>
        <v>9.9999845118340508E-3</v>
      </c>
    </row>
    <row r="1325" spans="13:24" x14ac:dyDescent="0.25">
      <c r="M1325" s="91">
        <v>13.22</v>
      </c>
      <c r="N1325" s="89">
        <f t="shared" si="180"/>
        <v>0.77999999999999936</v>
      </c>
      <c r="O1325" s="89">
        <f t="shared" si="181"/>
        <v>11.820000006573315</v>
      </c>
      <c r="P1325" s="97">
        <f t="shared" si="182"/>
        <v>4.0000000065733126</v>
      </c>
      <c r="Q1325" s="135">
        <f t="shared" si="185"/>
        <v>1.5135612255275209E-12</v>
      </c>
      <c r="R1325" s="89">
        <f t="shared" si="185"/>
        <v>9.9999998486438729E-5</v>
      </c>
      <c r="S1325" s="89">
        <f t="shared" si="186"/>
        <v>6.0255958607435464E-14</v>
      </c>
      <c r="T1325" s="136">
        <f t="shared" si="186"/>
        <v>0.16595869074375627</v>
      </c>
      <c r="U1325" s="137">
        <f t="shared" si="187"/>
        <v>1.5135612255275216E-8</v>
      </c>
      <c r="V1325" s="88">
        <f t="shared" si="183"/>
        <v>9.2199999934266881</v>
      </c>
      <c r="W1325" s="86">
        <f t="shared" si="188"/>
        <v>11.040000006573315</v>
      </c>
      <c r="X1325" s="90">
        <f t="shared" si="184"/>
        <v>9.9999848643877454E-3</v>
      </c>
    </row>
    <row r="1326" spans="13:24" x14ac:dyDescent="0.25">
      <c r="M1326" s="91">
        <v>13.23</v>
      </c>
      <c r="N1326" s="89">
        <f t="shared" si="180"/>
        <v>0.76999999999999957</v>
      </c>
      <c r="O1326" s="89">
        <f t="shared" si="181"/>
        <v>11.830000006423688</v>
      </c>
      <c r="P1326" s="97">
        <f t="shared" si="182"/>
        <v>4.0000000064236865</v>
      </c>
      <c r="Q1326" s="135">
        <f t="shared" si="185"/>
        <v>1.4791083662905796E-12</v>
      </c>
      <c r="R1326" s="89">
        <f t="shared" si="185"/>
        <v>9.999999852089153E-5</v>
      </c>
      <c r="S1326" s="89">
        <f t="shared" si="186"/>
        <v>5.8884365535558603E-14</v>
      </c>
      <c r="T1326" s="136">
        <f t="shared" si="186"/>
        <v>0.16982436524617459</v>
      </c>
      <c r="U1326" s="137">
        <f t="shared" si="187"/>
        <v>1.4791083662905812E-8</v>
      </c>
      <c r="V1326" s="88">
        <f t="shared" si="183"/>
        <v>9.229999993576314</v>
      </c>
      <c r="W1326" s="86">
        <f t="shared" si="188"/>
        <v>11.060000006423689</v>
      </c>
      <c r="X1326" s="90">
        <f t="shared" si="184"/>
        <v>9.9999852089163368E-3</v>
      </c>
    </row>
    <row r="1327" spans="13:24" x14ac:dyDescent="0.25">
      <c r="M1327" s="91">
        <v>13.24</v>
      </c>
      <c r="N1327" s="89">
        <f t="shared" si="180"/>
        <v>0.75999999999999979</v>
      </c>
      <c r="O1327" s="89">
        <f t="shared" si="181"/>
        <v>11.840000006277466</v>
      </c>
      <c r="P1327" s="97">
        <f t="shared" si="182"/>
        <v>4.0000000062774648</v>
      </c>
      <c r="Q1327" s="135">
        <f t="shared" si="185"/>
        <v>1.4454397498529616E-12</v>
      </c>
      <c r="R1327" s="89">
        <f t="shared" si="185"/>
        <v>9.9999998554560249E-5</v>
      </c>
      <c r="S1327" s="89">
        <f t="shared" si="186"/>
        <v>5.7543993733715408E-14</v>
      </c>
      <c r="T1327" s="136">
        <f t="shared" si="186"/>
        <v>0.17378008287493762</v>
      </c>
      <c r="U1327" s="137">
        <f t="shared" si="187"/>
        <v>1.4454397498529615E-8</v>
      </c>
      <c r="V1327" s="88">
        <f t="shared" si="183"/>
        <v>9.2399999937225346</v>
      </c>
      <c r="W1327" s="86">
        <f t="shared" si="188"/>
        <v>11.080000006277466</v>
      </c>
      <c r="X1327" s="90">
        <f t="shared" si="184"/>
        <v>9.9999855456025018E-3</v>
      </c>
    </row>
    <row r="1328" spans="13:24" x14ac:dyDescent="0.25">
      <c r="M1328" s="91">
        <v>13.25</v>
      </c>
      <c r="N1328" s="89">
        <f t="shared" si="180"/>
        <v>0.75</v>
      </c>
      <c r="O1328" s="89">
        <f t="shared" si="181"/>
        <v>11.850000006134572</v>
      </c>
      <c r="P1328" s="97">
        <f t="shared" si="182"/>
        <v>4.0000000061345728</v>
      </c>
      <c r="Q1328" s="135">
        <f t="shared" si="185"/>
        <v>1.4125375246701292E-12</v>
      </c>
      <c r="R1328" s="89">
        <f t="shared" si="185"/>
        <v>9.9999998587462288E-5</v>
      </c>
      <c r="S1328" s="89">
        <f t="shared" si="186"/>
        <v>5.6234132519034836E-14</v>
      </c>
      <c r="T1328" s="136">
        <f t="shared" si="186"/>
        <v>0.17782794100389224</v>
      </c>
      <c r="U1328" s="137">
        <f t="shared" si="187"/>
        <v>1.4125375246701318E-8</v>
      </c>
      <c r="V1328" s="88">
        <f t="shared" si="183"/>
        <v>9.2499999938654263</v>
      </c>
      <c r="W1328" s="86">
        <f t="shared" si="188"/>
        <v>11.100000006134572</v>
      </c>
      <c r="X1328" s="90">
        <f t="shared" si="184"/>
        <v>9.999985874624754E-3</v>
      </c>
    </row>
    <row r="1329" spans="13:24" x14ac:dyDescent="0.25">
      <c r="M1329" s="91">
        <v>13.26</v>
      </c>
      <c r="N1329" s="89">
        <f t="shared" si="180"/>
        <v>0.74000000000000021</v>
      </c>
      <c r="O1329" s="89">
        <f t="shared" si="181"/>
        <v>11.860000005994932</v>
      </c>
      <c r="P1329" s="97">
        <f t="shared" si="182"/>
        <v>4.0000000059949326</v>
      </c>
      <c r="Q1329" s="135">
        <f t="shared" si="185"/>
        <v>1.3803842455482788E-12</v>
      </c>
      <c r="R1329" s="89">
        <f t="shared" si="185"/>
        <v>9.9999998619615767E-5</v>
      </c>
      <c r="S1329" s="89">
        <f t="shared" si="186"/>
        <v>5.495408738576239E-14</v>
      </c>
      <c r="T1329" s="136">
        <f t="shared" si="186"/>
        <v>0.18197008586099822</v>
      </c>
      <c r="U1329" s="137">
        <f t="shared" si="187"/>
        <v>1.3803842455482786E-8</v>
      </c>
      <c r="V1329" s="88">
        <f t="shared" si="183"/>
        <v>9.2599999940050672</v>
      </c>
      <c r="W1329" s="86">
        <f t="shared" si="188"/>
        <v>11.120000005994932</v>
      </c>
      <c r="X1329" s="90">
        <f t="shared" si="184"/>
        <v>9.999986196157544E-3</v>
      </c>
    </row>
    <row r="1330" spans="13:24" x14ac:dyDescent="0.25">
      <c r="M1330" s="91">
        <v>13.27</v>
      </c>
      <c r="N1330" s="89">
        <f t="shared" si="180"/>
        <v>0.73000000000000043</v>
      </c>
      <c r="O1330" s="89">
        <f t="shared" si="181"/>
        <v>11.87000000585847</v>
      </c>
      <c r="P1330" s="97">
        <f t="shared" si="182"/>
        <v>4.000000005858471</v>
      </c>
      <c r="Q1330" s="135">
        <f t="shared" si="185"/>
        <v>1.3489628643946446E-12</v>
      </c>
      <c r="R1330" s="89">
        <f t="shared" si="185"/>
        <v>9.9999998651037017E-5</v>
      </c>
      <c r="S1330" s="89">
        <f t="shared" si="186"/>
        <v>5.3703179637025215E-14</v>
      </c>
      <c r="T1330" s="136">
        <f t="shared" si="186"/>
        <v>0.18620871366628652</v>
      </c>
      <c r="U1330" s="137">
        <f t="shared" si="187"/>
        <v>1.3489628643946463E-8</v>
      </c>
      <c r="V1330" s="88">
        <f t="shared" si="183"/>
        <v>9.2699999941415285</v>
      </c>
      <c r="W1330" s="86">
        <f t="shared" si="188"/>
        <v>11.14000000585847</v>
      </c>
      <c r="X1330" s="90">
        <f t="shared" si="184"/>
        <v>9.9999865103713569E-3</v>
      </c>
    </row>
    <row r="1331" spans="13:24" x14ac:dyDescent="0.25">
      <c r="M1331" s="91">
        <v>13.28</v>
      </c>
      <c r="N1331" s="89">
        <f t="shared" si="180"/>
        <v>0.72000000000000064</v>
      </c>
      <c r="O1331" s="89">
        <f t="shared" si="181"/>
        <v>11.880000005725115</v>
      </c>
      <c r="P1331" s="97">
        <f t="shared" si="182"/>
        <v>4.0000000057251164</v>
      </c>
      <c r="Q1331" s="135">
        <f t="shared" si="185"/>
        <v>1.3182567211783979E-12</v>
      </c>
      <c r="R1331" s="89">
        <f t="shared" si="185"/>
        <v>9.9999998681743127E-5</v>
      </c>
      <c r="S1331" s="89">
        <f t="shared" si="186"/>
        <v>5.2480746024977203E-14</v>
      </c>
      <c r="T1331" s="136">
        <f t="shared" si="186"/>
        <v>0.19054607179632441</v>
      </c>
      <c r="U1331" s="137">
        <f t="shared" si="187"/>
        <v>1.3182567211783999E-8</v>
      </c>
      <c r="V1331" s="88">
        <f t="shared" si="183"/>
        <v>9.279999994274883</v>
      </c>
      <c r="W1331" s="86">
        <f t="shared" si="188"/>
        <v>11.160000005725115</v>
      </c>
      <c r="X1331" s="90">
        <f t="shared" si="184"/>
        <v>9.9999868174327888E-3</v>
      </c>
    </row>
    <row r="1332" spans="13:24" x14ac:dyDescent="0.25">
      <c r="M1332" s="91">
        <v>13.29</v>
      </c>
      <c r="N1332" s="89">
        <f t="shared" si="180"/>
        <v>0.71000000000000085</v>
      </c>
      <c r="O1332" s="89">
        <f t="shared" si="181"/>
        <v>11.890000005594796</v>
      </c>
      <c r="P1332" s="97">
        <f t="shared" si="182"/>
        <v>4.0000000055947966</v>
      </c>
      <c r="Q1332" s="135">
        <f t="shared" si="185"/>
        <v>1.2882495350972609E-12</v>
      </c>
      <c r="R1332" s="89">
        <f t="shared" si="185"/>
        <v>9.9999998711750414E-5</v>
      </c>
      <c r="S1332" s="89">
        <f t="shared" si="186"/>
        <v>5.1286138399136433E-14</v>
      </c>
      <c r="T1332" s="136">
        <f t="shared" si="186"/>
        <v>0.19498445997580413</v>
      </c>
      <c r="U1332" s="137">
        <f t="shared" si="187"/>
        <v>1.2882495350972615E-8</v>
      </c>
      <c r="V1332" s="88">
        <f t="shared" si="183"/>
        <v>9.2899999944052034</v>
      </c>
      <c r="W1332" s="86">
        <f t="shared" si="188"/>
        <v>11.180000005594795</v>
      </c>
      <c r="X1332" s="90">
        <f t="shared" si="184"/>
        <v>9.9999871175046485E-3</v>
      </c>
    </row>
    <row r="1333" spans="13:24" x14ac:dyDescent="0.25">
      <c r="M1333" s="91">
        <v>13.3</v>
      </c>
      <c r="N1333" s="89">
        <f t="shared" si="180"/>
        <v>0.69999999999999929</v>
      </c>
      <c r="O1333" s="89">
        <f t="shared" si="181"/>
        <v>11.900000005467446</v>
      </c>
      <c r="P1333" s="97">
        <f t="shared" si="182"/>
        <v>4.0000000054674434</v>
      </c>
      <c r="Q1333" s="135">
        <f t="shared" si="185"/>
        <v>1.2589253959452264E-12</v>
      </c>
      <c r="R1333" s="89">
        <f t="shared" si="185"/>
        <v>9.9999998741074519E-5</v>
      </c>
      <c r="S1333" s="89">
        <f t="shared" si="186"/>
        <v>5.0118723362727011E-14</v>
      </c>
      <c r="T1333" s="136">
        <f t="shared" si="186"/>
        <v>0.19952623149688828</v>
      </c>
      <c r="U1333" s="137">
        <f t="shared" si="187"/>
        <v>1.2589253959452276E-8</v>
      </c>
      <c r="V1333" s="88">
        <f t="shared" si="183"/>
        <v>9.2999999945325573</v>
      </c>
      <c r="W1333" s="86">
        <f t="shared" si="188"/>
        <v>11.200000005467446</v>
      </c>
      <c r="X1333" s="90">
        <f t="shared" si="184"/>
        <v>9.9999874107460415E-3</v>
      </c>
    </row>
    <row r="1334" spans="13:24" x14ac:dyDescent="0.25">
      <c r="M1334" s="91">
        <v>13.31</v>
      </c>
      <c r="N1334" s="89">
        <f t="shared" si="180"/>
        <v>0.6899999999999995</v>
      </c>
      <c r="O1334" s="89">
        <f t="shared" si="181"/>
        <v>11.91000000534299</v>
      </c>
      <c r="P1334" s="97">
        <f t="shared" si="182"/>
        <v>4.0000000053429892</v>
      </c>
      <c r="Q1334" s="135">
        <f t="shared" si="185"/>
        <v>1.2302687556767637E-12</v>
      </c>
      <c r="R1334" s="89">
        <f t="shared" si="185"/>
        <v>9.9999998769731229E-5</v>
      </c>
      <c r="S1334" s="89">
        <f t="shared" si="186"/>
        <v>4.8977881936844408E-14</v>
      </c>
      <c r="T1334" s="136">
        <f t="shared" si="186"/>
        <v>0.20417379446695313</v>
      </c>
      <c r="U1334" s="137">
        <f t="shared" si="187"/>
        <v>1.2302687556767638E-8</v>
      </c>
      <c r="V1334" s="88">
        <f t="shared" si="183"/>
        <v>9.3099999946570122</v>
      </c>
      <c r="W1334" s="86">
        <f t="shared" si="188"/>
        <v>11.220000005342991</v>
      </c>
      <c r="X1334" s="90">
        <f t="shared" si="184"/>
        <v>9.999987697312444E-3</v>
      </c>
    </row>
    <row r="1335" spans="13:24" x14ac:dyDescent="0.25">
      <c r="M1335" s="91">
        <v>13.32</v>
      </c>
      <c r="N1335" s="89">
        <f t="shared" si="180"/>
        <v>0.67999999999999972</v>
      </c>
      <c r="O1335" s="89">
        <f t="shared" si="181"/>
        <v>11.92000000522137</v>
      </c>
      <c r="P1335" s="97">
        <f t="shared" si="182"/>
        <v>4.0000000052213682</v>
      </c>
      <c r="Q1335" s="135">
        <f t="shared" si="185"/>
        <v>1.2022644201630049E-12</v>
      </c>
      <c r="R1335" s="89">
        <f t="shared" si="185"/>
        <v>9.9999998797735493E-5</v>
      </c>
      <c r="S1335" s="89">
        <f t="shared" si="186"/>
        <v>4.7863009232263627E-14</v>
      </c>
      <c r="T1335" s="136">
        <f t="shared" si="186"/>
        <v>0.20892961308540403</v>
      </c>
      <c r="U1335" s="137">
        <f t="shared" si="187"/>
        <v>1.2022644201630061E-8</v>
      </c>
      <c r="V1335" s="88">
        <f t="shared" si="183"/>
        <v>9.3199999947786321</v>
      </c>
      <c r="W1335" s="86">
        <f t="shared" si="188"/>
        <v>11.24000000522137</v>
      </c>
      <c r="X1335" s="90">
        <f t="shared" si="184"/>
        <v>9.9999879773557988E-3</v>
      </c>
    </row>
    <row r="1336" spans="13:24" x14ac:dyDescent="0.25">
      <c r="M1336" s="91">
        <v>13.33</v>
      </c>
      <c r="N1336" s="89">
        <f t="shared" si="180"/>
        <v>0.66999999999999993</v>
      </c>
      <c r="O1336" s="89">
        <f t="shared" si="181"/>
        <v>11.930000005102515</v>
      </c>
      <c r="P1336" s="97">
        <f t="shared" si="182"/>
        <v>4.0000000051025149</v>
      </c>
      <c r="Q1336" s="135">
        <f t="shared" si="185"/>
        <v>1.1748975411356815E-12</v>
      </c>
      <c r="R1336" s="89">
        <f t="shared" si="185"/>
        <v>9.999999882510241E-5</v>
      </c>
      <c r="S1336" s="89">
        <f t="shared" si="186"/>
        <v>4.6773514128719624E-14</v>
      </c>
      <c r="T1336" s="136">
        <f t="shared" si="186"/>
        <v>0.21379620895022322</v>
      </c>
      <c r="U1336" s="137">
        <f t="shared" si="187"/>
        <v>1.1748975411356821E-8</v>
      </c>
      <c r="V1336" s="88">
        <f t="shared" si="183"/>
        <v>9.3299999948974843</v>
      </c>
      <c r="W1336" s="86">
        <f t="shared" si="188"/>
        <v>11.260000005102516</v>
      </c>
      <c r="X1336" s="90">
        <f t="shared" si="184"/>
        <v>9.9999882510245896E-3</v>
      </c>
    </row>
    <row r="1337" spans="13:24" x14ac:dyDescent="0.25">
      <c r="M1337" s="91">
        <v>13.34</v>
      </c>
      <c r="N1337" s="89">
        <f t="shared" si="180"/>
        <v>0.66000000000000014</v>
      </c>
      <c r="O1337" s="89">
        <f t="shared" si="181"/>
        <v>11.940000004986368</v>
      </c>
      <c r="P1337" s="97">
        <f t="shared" si="182"/>
        <v>4.0000000049863678</v>
      </c>
      <c r="Q1337" s="135">
        <f t="shared" si="185"/>
        <v>1.1481536083143124E-12</v>
      </c>
      <c r="R1337" s="89">
        <f t="shared" si="185"/>
        <v>9.9999998851846357E-5</v>
      </c>
      <c r="S1337" s="89">
        <f t="shared" si="186"/>
        <v>4.5708818961487318E-14</v>
      </c>
      <c r="T1337" s="136">
        <f t="shared" si="186"/>
        <v>0.21877616239495515</v>
      </c>
      <c r="U1337" s="137">
        <f t="shared" si="187"/>
        <v>1.1481536083143129E-8</v>
      </c>
      <c r="V1337" s="88">
        <f t="shared" si="183"/>
        <v>9.3399999950136312</v>
      </c>
      <c r="W1337" s="86">
        <f t="shared" si="188"/>
        <v>11.280000004986368</v>
      </c>
      <c r="X1337" s="90">
        <f t="shared" si="184"/>
        <v>9.9999885184639172E-3</v>
      </c>
    </row>
    <row r="1338" spans="13:24" x14ac:dyDescent="0.25">
      <c r="M1338" s="91">
        <v>13.35</v>
      </c>
      <c r="N1338" s="89">
        <f t="shared" si="180"/>
        <v>0.65000000000000036</v>
      </c>
      <c r="O1338" s="89">
        <f t="shared" si="181"/>
        <v>11.950000004872864</v>
      </c>
      <c r="P1338" s="97">
        <f t="shared" si="182"/>
        <v>4.0000000048728639</v>
      </c>
      <c r="Q1338" s="135">
        <f t="shared" si="185"/>
        <v>1.1220184417127067E-12</v>
      </c>
      <c r="R1338" s="89">
        <f t="shared" si="185"/>
        <v>9.9999998877981538E-5</v>
      </c>
      <c r="S1338" s="89">
        <f t="shared" si="186"/>
        <v>4.4668359215096292E-14</v>
      </c>
      <c r="T1338" s="136">
        <f t="shared" si="186"/>
        <v>0.22387211385683375</v>
      </c>
      <c r="U1338" s="137">
        <f t="shared" si="187"/>
        <v>1.1220184417127069E-8</v>
      </c>
      <c r="V1338" s="88">
        <f t="shared" si="183"/>
        <v>9.3499999951271349</v>
      </c>
      <c r="W1338" s="86">
        <f t="shared" si="188"/>
        <v>11.300000004872864</v>
      </c>
      <c r="X1338" s="90">
        <f t="shared" si="184"/>
        <v>9.9999887798155832E-3</v>
      </c>
    </row>
    <row r="1339" spans="13:24" x14ac:dyDescent="0.25">
      <c r="M1339" s="91">
        <v>13.36</v>
      </c>
      <c r="N1339" s="89">
        <f t="shared" si="180"/>
        <v>0.64000000000000057</v>
      </c>
      <c r="O1339" s="89">
        <f t="shared" si="181"/>
        <v>11.960000004761943</v>
      </c>
      <c r="P1339" s="97">
        <f t="shared" si="182"/>
        <v>4.0000000047619446</v>
      </c>
      <c r="Q1339" s="135">
        <f t="shared" si="185"/>
        <v>1.0964781841205402E-12</v>
      </c>
      <c r="R1339" s="89">
        <f t="shared" si="185"/>
        <v>9.9999998903521642E-5</v>
      </c>
      <c r="S1339" s="89">
        <f t="shared" si="186"/>
        <v>4.3651583224016581E-14</v>
      </c>
      <c r="T1339" s="136">
        <f t="shared" si="186"/>
        <v>0.22908676527677696</v>
      </c>
      <c r="U1339" s="137">
        <f t="shared" si="187"/>
        <v>1.0964781841205421E-8</v>
      </c>
      <c r="V1339" s="88">
        <f t="shared" si="183"/>
        <v>9.3599999952380557</v>
      </c>
      <c r="W1339" s="86">
        <f t="shared" si="188"/>
        <v>11.320000004761942</v>
      </c>
      <c r="X1339" s="90">
        <f t="shared" si="184"/>
        <v>9.999989035218159E-3</v>
      </c>
    </row>
    <row r="1340" spans="13:24" x14ac:dyDescent="0.25">
      <c r="M1340" s="91">
        <v>13.37</v>
      </c>
      <c r="N1340" s="89">
        <f t="shared" si="180"/>
        <v>0.63000000000000078</v>
      </c>
      <c r="O1340" s="89">
        <f t="shared" si="181"/>
        <v>11.970000004653549</v>
      </c>
      <c r="P1340" s="97">
        <f t="shared" si="182"/>
        <v>4.0000000046535495</v>
      </c>
      <c r="Q1340" s="135">
        <f t="shared" si="185"/>
        <v>1.071519293756066E-12</v>
      </c>
      <c r="R1340" s="89">
        <f t="shared" si="185"/>
        <v>9.9999998928480518E-5</v>
      </c>
      <c r="S1340" s="89">
        <f t="shared" si="186"/>
        <v>4.2657951880159256E-14</v>
      </c>
      <c r="T1340" s="136">
        <f t="shared" si="186"/>
        <v>0.23442288153199176</v>
      </c>
      <c r="U1340" s="137">
        <f t="shared" si="187"/>
        <v>1.0715192937560679E-8</v>
      </c>
      <c r="V1340" s="88">
        <f t="shared" si="183"/>
        <v>9.3699999953464506</v>
      </c>
      <c r="W1340" s="86">
        <f t="shared" si="188"/>
        <v>11.340000004653549</v>
      </c>
      <c r="X1340" s="90">
        <f t="shared" si="184"/>
        <v>9.9999892848070624E-3</v>
      </c>
    </row>
    <row r="1341" spans="13:24" x14ac:dyDescent="0.25">
      <c r="M1341" s="91">
        <v>13.38</v>
      </c>
      <c r="N1341" s="89">
        <f t="shared" si="180"/>
        <v>0.61999999999999922</v>
      </c>
      <c r="O1341" s="89">
        <f t="shared" si="181"/>
        <v>11.980000004547623</v>
      </c>
      <c r="P1341" s="97">
        <f t="shared" si="182"/>
        <v>4.0000000045476218</v>
      </c>
      <c r="Q1341" s="135">
        <f t="shared" si="185"/>
        <v>1.0471285370861104E-12</v>
      </c>
      <c r="R1341" s="89">
        <f t="shared" si="185"/>
        <v>9.9999998952871312E-5</v>
      </c>
      <c r="S1341" s="89">
        <f t="shared" si="186"/>
        <v>4.1686938347033385E-14</v>
      </c>
      <c r="T1341" s="136">
        <f t="shared" si="186"/>
        <v>0.23988329190194946</v>
      </c>
      <c r="U1341" s="137">
        <f t="shared" si="187"/>
        <v>1.0471285370861119E-8</v>
      </c>
      <c r="V1341" s="88">
        <f t="shared" si="183"/>
        <v>9.3799999954523798</v>
      </c>
      <c r="W1341" s="86">
        <f t="shared" si="188"/>
        <v>11.360000004547624</v>
      </c>
      <c r="X1341" s="90">
        <f t="shared" si="184"/>
        <v>9.9999895287146302E-3</v>
      </c>
    </row>
    <row r="1342" spans="13:24" x14ac:dyDescent="0.25">
      <c r="M1342" s="91">
        <v>13.39</v>
      </c>
      <c r="N1342" s="89">
        <f t="shared" si="180"/>
        <v>0.60999999999999943</v>
      </c>
      <c r="O1342" s="89">
        <f t="shared" si="181"/>
        <v>11.990000004444106</v>
      </c>
      <c r="P1342" s="97">
        <f t="shared" si="182"/>
        <v>4.0000000044441046</v>
      </c>
      <c r="Q1342" s="135">
        <f t="shared" si="185"/>
        <v>1.023292981809465E-12</v>
      </c>
      <c r="R1342" s="89">
        <f t="shared" si="185"/>
        <v>9.9999998976707009E-5</v>
      </c>
      <c r="S1342" s="89">
        <f t="shared" si="186"/>
        <v>4.0738027780411126E-14</v>
      </c>
      <c r="T1342" s="136">
        <f t="shared" si="186"/>
        <v>0.2454708915685033</v>
      </c>
      <c r="U1342" s="137">
        <f t="shared" si="187"/>
        <v>1.0232929818094651E-8</v>
      </c>
      <c r="V1342" s="88">
        <f t="shared" si="183"/>
        <v>9.3899999955558968</v>
      </c>
      <c r="W1342" s="86">
        <f t="shared" si="188"/>
        <v>11.380000004444106</v>
      </c>
      <c r="X1342" s="90">
        <f t="shared" si="184"/>
        <v>9.9999897670701825E-3</v>
      </c>
    </row>
    <row r="1343" spans="13:24" x14ac:dyDescent="0.25">
      <c r="M1343" s="91">
        <v>13.4</v>
      </c>
      <c r="N1343" s="89">
        <f t="shared" si="180"/>
        <v>0.59999999999999964</v>
      </c>
      <c r="O1343" s="89">
        <f t="shared" si="181"/>
        <v>12.000000004342946</v>
      </c>
      <c r="P1343" s="97">
        <f t="shared" si="182"/>
        <v>4.0000000043429447</v>
      </c>
      <c r="Q1343" s="135">
        <f t="shared" si="185"/>
        <v>9.9999998999999646E-13</v>
      </c>
      <c r="R1343" s="89">
        <f t="shared" si="185"/>
        <v>9.9999999000000022E-5</v>
      </c>
      <c r="S1343" s="89">
        <f t="shared" si="186"/>
        <v>3.9810717055349592E-14</v>
      </c>
      <c r="T1343" s="136">
        <f t="shared" si="186"/>
        <v>0.25118864315095818</v>
      </c>
      <c r="U1343" s="137">
        <f t="shared" si="187"/>
        <v>9.9999998999999621E-9</v>
      </c>
      <c r="V1343" s="88">
        <f t="shared" si="183"/>
        <v>9.3999999956570548</v>
      </c>
      <c r="W1343" s="86">
        <f t="shared" si="188"/>
        <v>11.400000004342946</v>
      </c>
      <c r="X1343" s="90">
        <f t="shared" si="184"/>
        <v>9.9999900000001009E-3</v>
      </c>
    </row>
    <row r="1344" spans="13:24" x14ac:dyDescent="0.25">
      <c r="M1344" s="91">
        <v>13.41</v>
      </c>
      <c r="N1344" s="89">
        <f t="shared" si="180"/>
        <v>0.58999999999999986</v>
      </c>
      <c r="O1344" s="89">
        <f t="shared" si="181"/>
        <v>12.010000004244088</v>
      </c>
      <c r="P1344" s="97">
        <f t="shared" si="182"/>
        <v>4.0000000042440869</v>
      </c>
      <c r="Q1344" s="135">
        <f t="shared" si="185"/>
        <v>9.7723721140588319E-13</v>
      </c>
      <c r="R1344" s="89">
        <f t="shared" si="185"/>
        <v>9.9999999022762779E-5</v>
      </c>
      <c r="S1344" s="89">
        <f t="shared" si="186"/>
        <v>3.8904514499427932E-14</v>
      </c>
      <c r="T1344" s="136">
        <f t="shared" si="186"/>
        <v>0.25703957827688645</v>
      </c>
      <c r="U1344" s="137">
        <f t="shared" si="187"/>
        <v>9.7723721140588321E-9</v>
      </c>
      <c r="V1344" s="88">
        <f t="shared" si="183"/>
        <v>9.4099999957559142</v>
      </c>
      <c r="W1344" s="86">
        <f t="shared" si="188"/>
        <v>11.420000004244088</v>
      </c>
      <c r="X1344" s="90">
        <f t="shared" si="184"/>
        <v>9.9999902276278856E-3</v>
      </c>
    </row>
    <row r="1345" spans="13:24" x14ac:dyDescent="0.25">
      <c r="M1345" s="91">
        <v>13.42</v>
      </c>
      <c r="N1345" s="89">
        <f t="shared" si="180"/>
        <v>0.58000000000000007</v>
      </c>
      <c r="O1345" s="89">
        <f t="shared" si="181"/>
        <v>12.02000000414748</v>
      </c>
      <c r="P1345" s="97">
        <f t="shared" si="182"/>
        <v>4.0000000041474797</v>
      </c>
      <c r="Q1345" s="135">
        <f t="shared" si="185"/>
        <v>9.5499257690132596E-13</v>
      </c>
      <c r="R1345" s="89">
        <f t="shared" si="185"/>
        <v>9.9999999045007382E-5</v>
      </c>
      <c r="S1345" s="89">
        <f t="shared" si="186"/>
        <v>3.8018939632055994E-14</v>
      </c>
      <c r="T1345" s="136">
        <f t="shared" si="186"/>
        <v>0.26302679918953814</v>
      </c>
      <c r="U1345" s="137">
        <f t="shared" si="187"/>
        <v>9.5499257690132623E-9</v>
      </c>
      <c r="V1345" s="88">
        <f t="shared" si="183"/>
        <v>9.4199999958525211</v>
      </c>
      <c r="W1345" s="86">
        <f t="shared" si="188"/>
        <v>11.44000000414748</v>
      </c>
      <c r="X1345" s="90">
        <f t="shared" si="184"/>
        <v>9.9999904500742316E-3</v>
      </c>
    </row>
    <row r="1346" spans="13:24" x14ac:dyDescent="0.25">
      <c r="M1346" s="91">
        <v>13.43</v>
      </c>
      <c r="N1346" s="89">
        <f t="shared" si="180"/>
        <v>0.57000000000000028</v>
      </c>
      <c r="O1346" s="89">
        <f t="shared" si="181"/>
        <v>12.030000004053072</v>
      </c>
      <c r="P1346" s="97">
        <f t="shared" si="182"/>
        <v>4.0000000040530717</v>
      </c>
      <c r="Q1346" s="135">
        <f t="shared" si="185"/>
        <v>9.3325429208735419E-13</v>
      </c>
      <c r="R1346" s="89">
        <f t="shared" si="185"/>
        <v>9.9999999066745744E-5</v>
      </c>
      <c r="S1346" s="89">
        <f t="shared" si="186"/>
        <v>3.7153522909717136E-14</v>
      </c>
      <c r="T1346" s="136">
        <f t="shared" si="186"/>
        <v>0.26915348039269138</v>
      </c>
      <c r="U1346" s="137">
        <f t="shared" si="187"/>
        <v>9.3325429208735386E-9</v>
      </c>
      <c r="V1346" s="88">
        <f t="shared" si="183"/>
        <v>9.4299999959469289</v>
      </c>
      <c r="W1346" s="86">
        <f t="shared" si="188"/>
        <v>11.460000004053072</v>
      </c>
      <c r="X1346" s="90">
        <f t="shared" si="184"/>
        <v>9.9999906674570795E-3</v>
      </c>
    </row>
    <row r="1347" spans="13:24" x14ac:dyDescent="0.25">
      <c r="M1347" s="91">
        <v>13.44</v>
      </c>
      <c r="N1347" s="89">
        <f t="shared" ref="N1347:N1403" si="189">14-M1347</f>
        <v>0.5600000000000005</v>
      </c>
      <c r="O1347" s="89">
        <f t="shared" ref="O1347:O1403" si="190">-LOG(10^-$B$3/(1+10^(M1347-$A$3)))</f>
        <v>12.040000003960813</v>
      </c>
      <c r="P1347" s="97">
        <f t="shared" ref="P1347:P1403" si="191">-LOG(10^-$B$3/(1+10^($A$3-M1347)))</f>
        <v>4.000000003960813</v>
      </c>
      <c r="Q1347" s="135">
        <f t="shared" si="185"/>
        <v>9.1201083103826776E-13</v>
      </c>
      <c r="R1347" s="89">
        <f t="shared" si="185"/>
        <v>9.9999999087989005E-5</v>
      </c>
      <c r="S1347" s="89">
        <f t="shared" si="186"/>
        <v>3.6307805477010024E-14</v>
      </c>
      <c r="T1347" s="136">
        <f t="shared" si="186"/>
        <v>0.27542287033381629</v>
      </c>
      <c r="U1347" s="137">
        <f t="shared" si="187"/>
        <v>9.1201083103826914E-9</v>
      </c>
      <c r="V1347" s="88">
        <f t="shared" ref="V1347:V1403" si="192">ABS(P1347-M1347)</f>
        <v>9.4399999960391874</v>
      </c>
      <c r="W1347" s="86">
        <f t="shared" si="188"/>
        <v>11.480000003960813</v>
      </c>
      <c r="X1347" s="90">
        <f t="shared" ref="X1347:X1403" si="193">ABS($J$2-U1347)</f>
        <v>9.9999908798916893E-3</v>
      </c>
    </row>
    <row r="1348" spans="13:24" x14ac:dyDescent="0.25">
      <c r="M1348" s="91">
        <v>13.45</v>
      </c>
      <c r="N1348" s="89">
        <f t="shared" si="189"/>
        <v>0.55000000000000071</v>
      </c>
      <c r="O1348" s="89">
        <f t="shared" si="190"/>
        <v>12.050000003870652</v>
      </c>
      <c r="P1348" s="97">
        <f t="shared" si="191"/>
        <v>4.000000003870654</v>
      </c>
      <c r="Q1348" s="135">
        <f t="shared" ref="Q1348:R1403" si="194">10^-O1348</f>
        <v>8.9125093019046564E-13</v>
      </c>
      <c r="R1348" s="89">
        <f t="shared" si="194"/>
        <v>9.9999999108748929E-5</v>
      </c>
      <c r="S1348" s="89">
        <f t="shared" ref="S1348:T1403" si="195">10^-M1348</f>
        <v>3.5481338923357439E-14</v>
      </c>
      <c r="T1348" s="136">
        <f t="shared" si="195"/>
        <v>0.28183829312644487</v>
      </c>
      <c r="U1348" s="137">
        <f t="shared" ref="U1348:U1403" si="196">Q1348/(Q1348+R1348)</f>
        <v>8.9125093019046686E-9</v>
      </c>
      <c r="V1348" s="88">
        <f t="shared" si="192"/>
        <v>9.4499999961293462</v>
      </c>
      <c r="W1348" s="86">
        <f t="shared" ref="W1348:W1403" si="197">ABS(O1348-N1348)</f>
        <v>11.500000003870651</v>
      </c>
      <c r="X1348" s="90">
        <f t="shared" si="193"/>
        <v>9.9999910874906985E-3</v>
      </c>
    </row>
    <row r="1349" spans="13:24" x14ac:dyDescent="0.25">
      <c r="M1349" s="91">
        <v>13.46</v>
      </c>
      <c r="N1349" s="89">
        <f t="shared" si="189"/>
        <v>0.53999999999999915</v>
      </c>
      <c r="O1349" s="89">
        <f t="shared" si="190"/>
        <v>12.060000003782548</v>
      </c>
      <c r="P1349" s="97">
        <f t="shared" si="191"/>
        <v>4.0000000037825467</v>
      </c>
      <c r="Q1349" s="135">
        <f t="shared" si="194"/>
        <v>8.7096358237029861E-13</v>
      </c>
      <c r="R1349" s="89">
        <f t="shared" si="194"/>
        <v>9.9999999129036357E-5</v>
      </c>
      <c r="S1349" s="89">
        <f t="shared" si="195"/>
        <v>3.4673685045252941E-14</v>
      </c>
      <c r="T1349" s="136">
        <f t="shared" si="195"/>
        <v>0.28840315031266112</v>
      </c>
      <c r="U1349" s="137">
        <f t="shared" si="196"/>
        <v>8.7096358237029908E-9</v>
      </c>
      <c r="V1349" s="88">
        <f t="shared" si="192"/>
        <v>9.459999996217455</v>
      </c>
      <c r="W1349" s="86">
        <f t="shared" si="197"/>
        <v>11.520000003782549</v>
      </c>
      <c r="X1349" s="90">
        <f t="shared" si="193"/>
        <v>9.9999912903641769E-3</v>
      </c>
    </row>
    <row r="1350" spans="13:24" x14ac:dyDescent="0.25">
      <c r="M1350" s="91">
        <v>13.47</v>
      </c>
      <c r="N1350" s="89">
        <f t="shared" si="189"/>
        <v>0.52999999999999936</v>
      </c>
      <c r="O1350" s="89">
        <f t="shared" si="190"/>
        <v>12.070000003696446</v>
      </c>
      <c r="P1350" s="97">
        <f t="shared" si="191"/>
        <v>4.0000000036964458</v>
      </c>
      <c r="Q1350" s="135">
        <f t="shared" si="194"/>
        <v>8.5113803095801405E-13</v>
      </c>
      <c r="R1350" s="89">
        <f t="shared" si="194"/>
        <v>9.999999914886174E-5</v>
      </c>
      <c r="S1350" s="89">
        <f t="shared" si="195"/>
        <v>3.3884415613920161E-14</v>
      </c>
      <c r="T1350" s="136">
        <f t="shared" si="195"/>
        <v>0.29512092266663897</v>
      </c>
      <c r="U1350" s="137">
        <f t="shared" si="196"/>
        <v>8.5113803095801591E-9</v>
      </c>
      <c r="V1350" s="88">
        <f t="shared" si="192"/>
        <v>9.4699999963035548</v>
      </c>
      <c r="W1350" s="86">
        <f t="shared" si="197"/>
        <v>11.540000003696447</v>
      </c>
      <c r="X1350" s="90">
        <f t="shared" si="193"/>
        <v>9.9999914886196913E-3</v>
      </c>
    </row>
    <row r="1351" spans="13:24" x14ac:dyDescent="0.25">
      <c r="M1351" s="91">
        <v>13.48</v>
      </c>
      <c r="N1351" s="89">
        <f t="shared" si="189"/>
        <v>0.51999999999999957</v>
      </c>
      <c r="O1351" s="89">
        <f t="shared" si="190"/>
        <v>12.080000003612305</v>
      </c>
      <c r="P1351" s="97">
        <f t="shared" si="191"/>
        <v>4.0000000036123042</v>
      </c>
      <c r="Q1351" s="135">
        <f t="shared" si="194"/>
        <v>8.3176376418435645E-13</v>
      </c>
      <c r="R1351" s="89">
        <f t="shared" si="194"/>
        <v>9.9999999168236107E-5</v>
      </c>
      <c r="S1351" s="89">
        <f t="shared" si="195"/>
        <v>3.3113112148259022E-14</v>
      </c>
      <c r="T1351" s="136">
        <f t="shared" si="195"/>
        <v>0.30199517204020193</v>
      </c>
      <c r="U1351" s="137">
        <f t="shared" si="196"/>
        <v>8.3176376418435755E-9</v>
      </c>
      <c r="V1351" s="88">
        <f t="shared" si="192"/>
        <v>9.4799999963876971</v>
      </c>
      <c r="W1351" s="86">
        <f t="shared" si="197"/>
        <v>11.560000003612306</v>
      </c>
      <c r="X1351" s="90">
        <f t="shared" si="193"/>
        <v>9.9999916823623591E-3</v>
      </c>
    </row>
    <row r="1352" spans="13:24" x14ac:dyDescent="0.25">
      <c r="M1352" s="91">
        <v>13.49</v>
      </c>
      <c r="N1352" s="89">
        <f t="shared" si="189"/>
        <v>0.50999999999999979</v>
      </c>
      <c r="O1352" s="89">
        <f t="shared" si="190"/>
        <v>12.090000003530079</v>
      </c>
      <c r="P1352" s="97">
        <f t="shared" si="191"/>
        <v>4.0000000035300785</v>
      </c>
      <c r="Q1352" s="135">
        <f t="shared" si="194"/>
        <v>8.1283050955716186E-13</v>
      </c>
      <c r="R1352" s="89">
        <f t="shared" si="194"/>
        <v>9.9999999187169408E-5</v>
      </c>
      <c r="S1352" s="89">
        <f t="shared" si="195"/>
        <v>3.2359365692962746E-14</v>
      </c>
      <c r="T1352" s="136">
        <f t="shared" si="195"/>
        <v>0.30902954325135917</v>
      </c>
      <c r="U1352" s="137">
        <f t="shared" si="196"/>
        <v>8.1283050955716254E-9</v>
      </c>
      <c r="V1352" s="88">
        <f t="shared" si="192"/>
        <v>9.4899999964699226</v>
      </c>
      <c r="W1352" s="86">
        <f t="shared" si="197"/>
        <v>11.580000003530079</v>
      </c>
      <c r="X1352" s="90">
        <f t="shared" si="193"/>
        <v>9.9999918716949052E-3</v>
      </c>
    </row>
    <row r="1353" spans="13:24" x14ac:dyDescent="0.25">
      <c r="M1353" s="91">
        <v>13.5</v>
      </c>
      <c r="N1353" s="89">
        <f t="shared" si="189"/>
        <v>0.5</v>
      </c>
      <c r="O1353" s="89">
        <f t="shared" si="190"/>
        <v>12.100000003449724</v>
      </c>
      <c r="P1353" s="97">
        <f t="shared" si="191"/>
        <v>4.0000000034497232</v>
      </c>
      <c r="Q1353" s="135">
        <f t="shared" si="194"/>
        <v>7.9432822841470728E-13</v>
      </c>
      <c r="R1353" s="89">
        <f t="shared" si="194"/>
        <v>9.9999999205671765E-5</v>
      </c>
      <c r="S1353" s="89">
        <f t="shared" si="195"/>
        <v>3.1622776601683714E-14</v>
      </c>
      <c r="T1353" s="136">
        <f t="shared" si="195"/>
        <v>0.31622776601683794</v>
      </c>
      <c r="U1353" s="137">
        <f t="shared" si="196"/>
        <v>7.943282284147073E-9</v>
      </c>
      <c r="V1353" s="88">
        <f t="shared" si="192"/>
        <v>9.4999999965502759</v>
      </c>
      <c r="W1353" s="86">
        <f t="shared" si="197"/>
        <v>11.600000003449724</v>
      </c>
      <c r="X1353" s="90">
        <f t="shared" si="193"/>
        <v>9.9999920567177165E-3</v>
      </c>
    </row>
    <row r="1354" spans="13:24" x14ac:dyDescent="0.25">
      <c r="M1354" s="91">
        <v>13.51</v>
      </c>
      <c r="N1354" s="89">
        <f t="shared" si="189"/>
        <v>0.49000000000000021</v>
      </c>
      <c r="O1354" s="89">
        <f t="shared" si="190"/>
        <v>12.110000003371198</v>
      </c>
      <c r="P1354" s="97">
        <f t="shared" si="191"/>
        <v>4.0000000033711984</v>
      </c>
      <c r="Q1354" s="135">
        <f t="shared" si="194"/>
        <v>7.7624711060309573E-13</v>
      </c>
      <c r="R1354" s="89">
        <f t="shared" si="194"/>
        <v>9.9999999223752747E-5</v>
      </c>
      <c r="S1354" s="89">
        <f t="shared" si="195"/>
        <v>3.0902954325135829E-14</v>
      </c>
      <c r="T1354" s="136">
        <f t="shared" si="195"/>
        <v>0.32359365692962805</v>
      </c>
      <c r="U1354" s="137">
        <f t="shared" si="196"/>
        <v>7.7624711060309688E-9</v>
      </c>
      <c r="V1354" s="88">
        <f t="shared" si="192"/>
        <v>9.5099999966288014</v>
      </c>
      <c r="W1354" s="86">
        <f t="shared" si="197"/>
        <v>11.620000003371198</v>
      </c>
      <c r="X1354" s="90">
        <f t="shared" si="193"/>
        <v>9.9999922375288933E-3</v>
      </c>
    </row>
    <row r="1355" spans="13:24" x14ac:dyDescent="0.25">
      <c r="M1355" s="91">
        <v>13.52</v>
      </c>
      <c r="N1355" s="89">
        <f t="shared" si="189"/>
        <v>0.48000000000000043</v>
      </c>
      <c r="O1355" s="89">
        <f t="shared" si="190"/>
        <v>12.120000003294461</v>
      </c>
      <c r="P1355" s="97">
        <f t="shared" si="191"/>
        <v>4.0000000032944607</v>
      </c>
      <c r="Q1355" s="135">
        <f t="shared" si="194"/>
        <v>7.5857756927478076E-13</v>
      </c>
      <c r="R1355" s="89">
        <f t="shared" si="194"/>
        <v>9.9999999241422356E-5</v>
      </c>
      <c r="S1355" s="89">
        <f t="shared" si="195"/>
        <v>3.0199517204020097E-14</v>
      </c>
      <c r="T1355" s="136">
        <f t="shared" si="195"/>
        <v>0.33113112148259072</v>
      </c>
      <c r="U1355" s="137">
        <f t="shared" si="196"/>
        <v>7.5857756927478136E-9</v>
      </c>
      <c r="V1355" s="88">
        <f t="shared" si="192"/>
        <v>9.5199999967055398</v>
      </c>
      <c r="W1355" s="86">
        <f t="shared" si="197"/>
        <v>11.64000000329446</v>
      </c>
      <c r="X1355" s="90">
        <f t="shared" si="193"/>
        <v>9.9999924142243068E-3</v>
      </c>
    </row>
    <row r="1356" spans="13:24" x14ac:dyDescent="0.25">
      <c r="M1356" s="91">
        <v>13.53</v>
      </c>
      <c r="N1356" s="89">
        <f t="shared" si="189"/>
        <v>0.47000000000000064</v>
      </c>
      <c r="O1356" s="89">
        <f t="shared" si="190"/>
        <v>12.13000000321947</v>
      </c>
      <c r="P1356" s="97">
        <f t="shared" si="191"/>
        <v>4.0000000032194691</v>
      </c>
      <c r="Q1356" s="135">
        <f t="shared" si="194"/>
        <v>7.4131023580550732E-13</v>
      </c>
      <c r="R1356" s="89">
        <f t="shared" si="194"/>
        <v>9.9999999258689793E-5</v>
      </c>
      <c r="S1356" s="89">
        <f t="shared" si="195"/>
        <v>2.9512092266663796E-14</v>
      </c>
      <c r="T1356" s="136">
        <f t="shared" si="195"/>
        <v>0.33884415613920205</v>
      </c>
      <c r="U1356" s="137">
        <f t="shared" si="196"/>
        <v>7.413102358055071E-9</v>
      </c>
      <c r="V1356" s="88">
        <f t="shared" si="192"/>
        <v>9.5299999967805302</v>
      </c>
      <c r="W1356" s="86">
        <f t="shared" si="197"/>
        <v>11.660000003219469</v>
      </c>
      <c r="X1356" s="90">
        <f t="shared" si="193"/>
        <v>9.9999925868976425E-3</v>
      </c>
    </row>
    <row r="1357" spans="13:24" x14ac:dyDescent="0.25">
      <c r="M1357" s="91">
        <v>13.54</v>
      </c>
      <c r="N1357" s="89">
        <f t="shared" si="189"/>
        <v>0.46000000000000085</v>
      </c>
      <c r="O1357" s="89">
        <f t="shared" si="190"/>
        <v>12.140000003146186</v>
      </c>
      <c r="P1357" s="97">
        <f t="shared" si="191"/>
        <v>4.0000000031461855</v>
      </c>
      <c r="Q1357" s="135">
        <f t="shared" si="194"/>
        <v>7.2443595482691187E-13</v>
      </c>
      <c r="R1357" s="89">
        <f t="shared" si="194"/>
        <v>9.9999999275563936E-5</v>
      </c>
      <c r="S1357" s="89">
        <f t="shared" si="195"/>
        <v>2.8840315031265997E-14</v>
      </c>
      <c r="T1357" s="136">
        <f t="shared" si="195"/>
        <v>0.34673685045253094</v>
      </c>
      <c r="U1357" s="137">
        <f t="shared" si="196"/>
        <v>7.2443595482691261E-9</v>
      </c>
      <c r="V1357" s="88">
        <f t="shared" si="192"/>
        <v>9.5399999968538136</v>
      </c>
      <c r="W1357" s="86">
        <f t="shared" si="197"/>
        <v>11.680000003146185</v>
      </c>
      <c r="X1357" s="90">
        <f t="shared" si="193"/>
        <v>9.9999927556404522E-3</v>
      </c>
    </row>
    <row r="1358" spans="13:24" x14ac:dyDescent="0.25">
      <c r="M1358" s="91">
        <v>13.55</v>
      </c>
      <c r="N1358" s="89">
        <f t="shared" si="189"/>
        <v>0.44999999999999929</v>
      </c>
      <c r="O1358" s="89">
        <f t="shared" si="190"/>
        <v>12.15000000307457</v>
      </c>
      <c r="P1358" s="97">
        <f t="shared" si="191"/>
        <v>4.000000003074569</v>
      </c>
      <c r="Q1358" s="135">
        <f t="shared" si="194"/>
        <v>7.0794577937226287E-13</v>
      </c>
      <c r="R1358" s="89">
        <f t="shared" si="194"/>
        <v>9.9999999292054218E-5</v>
      </c>
      <c r="S1358" s="89">
        <f t="shared" si="195"/>
        <v>2.8183829312644381E-14</v>
      </c>
      <c r="T1358" s="136">
        <f t="shared" si="195"/>
        <v>0.35481338923357603</v>
      </c>
      <c r="U1358" s="137">
        <f t="shared" si="196"/>
        <v>7.0794577937226293E-9</v>
      </c>
      <c r="V1358" s="88">
        <f t="shared" si="192"/>
        <v>9.5499999969254326</v>
      </c>
      <c r="W1358" s="86">
        <f t="shared" si="197"/>
        <v>11.700000003074571</v>
      </c>
      <c r="X1358" s="90">
        <f t="shared" si="193"/>
        <v>9.9999929205422059E-3</v>
      </c>
    </row>
    <row r="1359" spans="13:24" x14ac:dyDescent="0.25">
      <c r="M1359" s="91">
        <v>13.56</v>
      </c>
      <c r="N1359" s="89">
        <f t="shared" si="189"/>
        <v>0.4399999999999995</v>
      </c>
      <c r="O1359" s="89">
        <f t="shared" si="190"/>
        <v>12.160000003004585</v>
      </c>
      <c r="P1359" s="97">
        <f t="shared" si="191"/>
        <v>4.0000000030045841</v>
      </c>
      <c r="Q1359" s="135">
        <f t="shared" si="194"/>
        <v>6.9183096613263257E-13</v>
      </c>
      <c r="R1359" s="89">
        <f t="shared" si="194"/>
        <v>9.9999999308168796E-5</v>
      </c>
      <c r="S1359" s="89">
        <f t="shared" si="195"/>
        <v>2.7542287033381511E-14</v>
      </c>
      <c r="T1359" s="136">
        <f t="shared" si="195"/>
        <v>0.36307805477010174</v>
      </c>
      <c r="U1359" s="137">
        <f t="shared" si="196"/>
        <v>6.9183096613263423E-9</v>
      </c>
      <c r="V1359" s="88">
        <f t="shared" si="192"/>
        <v>9.5599999969954155</v>
      </c>
      <c r="W1359" s="86">
        <f t="shared" si="197"/>
        <v>11.720000003004586</v>
      </c>
      <c r="X1359" s="90">
        <f t="shared" si="193"/>
        <v>9.9999930816903389E-3</v>
      </c>
    </row>
    <row r="1360" spans="13:24" x14ac:dyDescent="0.25">
      <c r="M1360" s="91">
        <v>13.57</v>
      </c>
      <c r="N1360" s="89">
        <f t="shared" si="189"/>
        <v>0.42999999999999972</v>
      </c>
      <c r="O1360" s="89">
        <f t="shared" si="190"/>
        <v>12.170000002936192</v>
      </c>
      <c r="P1360" s="97">
        <f t="shared" si="191"/>
        <v>4.0000000029361908</v>
      </c>
      <c r="Q1360" s="135">
        <f t="shared" si="194"/>
        <v>6.7608297082109777E-13</v>
      </c>
      <c r="R1360" s="89">
        <f t="shared" si="194"/>
        <v>9.99999993239169E-5</v>
      </c>
      <c r="S1360" s="89">
        <f t="shared" si="195"/>
        <v>2.6915348039269012E-14</v>
      </c>
      <c r="T1360" s="136">
        <f t="shared" si="195"/>
        <v>0.37153522909717274</v>
      </c>
      <c r="U1360" s="137">
        <f t="shared" si="196"/>
        <v>6.7608297082109864E-9</v>
      </c>
      <c r="V1360" s="88">
        <f t="shared" si="192"/>
        <v>9.5699999970638103</v>
      </c>
      <c r="W1360" s="86">
        <f t="shared" si="197"/>
        <v>11.740000002936192</v>
      </c>
      <c r="X1360" s="90">
        <f t="shared" si="193"/>
        <v>9.9999932391702916E-3</v>
      </c>
    </row>
    <row r="1361" spans="13:24" x14ac:dyDescent="0.25">
      <c r="M1361" s="91">
        <v>13.58</v>
      </c>
      <c r="N1361" s="89">
        <f t="shared" si="189"/>
        <v>0.41999999999999993</v>
      </c>
      <c r="O1361" s="89">
        <f t="shared" si="190"/>
        <v>12.180000002869354</v>
      </c>
      <c r="P1361" s="97">
        <f t="shared" si="191"/>
        <v>4.0000000028693554</v>
      </c>
      <c r="Q1361" s="135">
        <f t="shared" si="194"/>
        <v>6.6069344364243648E-13</v>
      </c>
      <c r="R1361" s="89">
        <f t="shared" si="194"/>
        <v>9.9999999339306364E-5</v>
      </c>
      <c r="S1361" s="89">
        <f t="shared" si="195"/>
        <v>2.6302679918953771E-14</v>
      </c>
      <c r="T1361" s="136">
        <f t="shared" si="195"/>
        <v>0.3801893963205612</v>
      </c>
      <c r="U1361" s="137">
        <f t="shared" si="196"/>
        <v>6.6069344364243778E-9</v>
      </c>
      <c r="V1361" s="88">
        <f t="shared" si="192"/>
        <v>9.5799999971306455</v>
      </c>
      <c r="W1361" s="86">
        <f t="shared" si="197"/>
        <v>11.760000002869354</v>
      </c>
      <c r="X1361" s="90">
        <f t="shared" si="193"/>
        <v>9.9999933930655632E-3</v>
      </c>
    </row>
    <row r="1362" spans="13:24" x14ac:dyDescent="0.25">
      <c r="M1362" s="91">
        <v>13.59</v>
      </c>
      <c r="N1362" s="89">
        <f t="shared" si="189"/>
        <v>0.41000000000000014</v>
      </c>
      <c r="O1362" s="89">
        <f t="shared" si="190"/>
        <v>12.190000002804041</v>
      </c>
      <c r="P1362" s="97">
        <f t="shared" si="191"/>
        <v>4.0000000028040406</v>
      </c>
      <c r="Q1362" s="135">
        <f t="shared" si="194"/>
        <v>6.4565422486595907E-13</v>
      </c>
      <c r="R1362" s="89">
        <f t="shared" si="194"/>
        <v>9.9999999354345712E-5</v>
      </c>
      <c r="S1362" s="89">
        <f t="shared" si="195"/>
        <v>2.5703957827688596E-14</v>
      </c>
      <c r="T1362" s="136">
        <f t="shared" si="195"/>
        <v>0.38904514499428045</v>
      </c>
      <c r="U1362" s="137">
        <f t="shared" si="196"/>
        <v>6.4565422486595952E-9</v>
      </c>
      <c r="V1362" s="88">
        <f t="shared" si="192"/>
        <v>9.5899999971959602</v>
      </c>
      <c r="W1362" s="86">
        <f t="shared" si="197"/>
        <v>11.780000002804041</v>
      </c>
      <c r="X1362" s="90">
        <f t="shared" si="193"/>
        <v>9.9999935434577514E-3</v>
      </c>
    </row>
    <row r="1363" spans="13:24" x14ac:dyDescent="0.25">
      <c r="M1363" s="91">
        <v>13.6</v>
      </c>
      <c r="N1363" s="89">
        <f t="shared" si="189"/>
        <v>0.40000000000000036</v>
      </c>
      <c r="O1363" s="89">
        <f t="shared" si="190"/>
        <v>12.200000002740213</v>
      </c>
      <c r="P1363" s="97">
        <f t="shared" si="191"/>
        <v>4.0000000027402125</v>
      </c>
      <c r="Q1363" s="135">
        <f t="shared" si="194"/>
        <v>6.3095734049912117E-13</v>
      </c>
      <c r="R1363" s="89">
        <f t="shared" si="194"/>
        <v>9.9999999369042587E-5</v>
      </c>
      <c r="S1363" s="89">
        <f t="shared" si="195"/>
        <v>2.511886431509576E-14</v>
      </c>
      <c r="T1363" s="136">
        <f t="shared" si="195"/>
        <v>0.39810717055349687</v>
      </c>
      <c r="U1363" s="137">
        <f t="shared" si="196"/>
        <v>6.3095734049912165E-9</v>
      </c>
      <c r="V1363" s="88">
        <f t="shared" si="192"/>
        <v>9.5999999972597863</v>
      </c>
      <c r="W1363" s="86">
        <f t="shared" si="197"/>
        <v>11.800000002740212</v>
      </c>
      <c r="X1363" s="90">
        <f t="shared" si="193"/>
        <v>9.9999936904265948E-3</v>
      </c>
    </row>
    <row r="1364" spans="13:24" x14ac:dyDescent="0.25">
      <c r="M1364" s="91">
        <v>13.61</v>
      </c>
      <c r="N1364" s="89">
        <f t="shared" si="189"/>
        <v>0.39000000000000057</v>
      </c>
      <c r="O1364" s="89">
        <f t="shared" si="190"/>
        <v>12.210000002677837</v>
      </c>
      <c r="P1364" s="97">
        <f t="shared" si="191"/>
        <v>4.0000000026778384</v>
      </c>
      <c r="Q1364" s="135">
        <f t="shared" si="194"/>
        <v>6.1659499805958702E-13</v>
      </c>
      <c r="R1364" s="89">
        <f t="shared" si="194"/>
        <v>9.9999999383404783E-5</v>
      </c>
      <c r="S1364" s="89">
        <f t="shared" si="195"/>
        <v>2.4547089156850271E-14</v>
      </c>
      <c r="T1364" s="136">
        <f t="shared" si="195"/>
        <v>0.40738027780411218</v>
      </c>
      <c r="U1364" s="137">
        <f t="shared" si="196"/>
        <v>6.1659499805958832E-9</v>
      </c>
      <c r="V1364" s="88">
        <f t="shared" si="192"/>
        <v>9.609999997322161</v>
      </c>
      <c r="W1364" s="86">
        <f t="shared" si="197"/>
        <v>11.820000002677837</v>
      </c>
      <c r="X1364" s="90">
        <f t="shared" si="193"/>
        <v>9.9999938340500204E-3</v>
      </c>
    </row>
    <row r="1365" spans="13:24" x14ac:dyDescent="0.25">
      <c r="M1365" s="91">
        <v>13.62</v>
      </c>
      <c r="N1365" s="89">
        <f t="shared" si="189"/>
        <v>0.38000000000000078</v>
      </c>
      <c r="O1365" s="89">
        <f t="shared" si="190"/>
        <v>12.220000002616883</v>
      </c>
      <c r="P1365" s="97">
        <f t="shared" si="191"/>
        <v>4.0000000026168827</v>
      </c>
      <c r="Q1365" s="135">
        <f t="shared" si="194"/>
        <v>6.0255958244357575E-13</v>
      </c>
      <c r="R1365" s="89">
        <f t="shared" si="194"/>
        <v>9.9999999397440485E-5</v>
      </c>
      <c r="S1365" s="89">
        <f t="shared" si="195"/>
        <v>2.3988329190194874E-14</v>
      </c>
      <c r="T1365" s="136">
        <f t="shared" si="195"/>
        <v>0.41686938347033459</v>
      </c>
      <c r="U1365" s="137">
        <f t="shared" si="196"/>
        <v>6.0255958244357531E-9</v>
      </c>
      <c r="V1365" s="88">
        <f t="shared" si="192"/>
        <v>9.6199999973831165</v>
      </c>
      <c r="W1365" s="86">
        <f t="shared" si="197"/>
        <v>11.840000002616883</v>
      </c>
      <c r="X1365" s="90">
        <f t="shared" si="193"/>
        <v>9.9999939744041758E-3</v>
      </c>
    </row>
    <row r="1366" spans="13:24" x14ac:dyDescent="0.25">
      <c r="M1366" s="91">
        <v>13.63</v>
      </c>
      <c r="N1366" s="89">
        <f t="shared" si="189"/>
        <v>0.36999999999999922</v>
      </c>
      <c r="O1366" s="89">
        <f t="shared" si="190"/>
        <v>12.230000002557317</v>
      </c>
      <c r="P1366" s="97">
        <f t="shared" si="191"/>
        <v>4.0000000025573152</v>
      </c>
      <c r="Q1366" s="135">
        <f t="shared" si="194"/>
        <v>5.8884365188821719E-13</v>
      </c>
      <c r="R1366" s="89">
        <f t="shared" si="194"/>
        <v>9.9999999411156279E-5</v>
      </c>
      <c r="S1366" s="89">
        <f t="shared" si="195"/>
        <v>2.3442288153199111E-14</v>
      </c>
      <c r="T1366" s="136">
        <f t="shared" si="195"/>
        <v>0.42657951880159339</v>
      </c>
      <c r="U1366" s="137">
        <f t="shared" si="196"/>
        <v>5.8884365188821756E-9</v>
      </c>
      <c r="V1366" s="88">
        <f t="shared" si="192"/>
        <v>9.6299999974426846</v>
      </c>
      <c r="W1366" s="86">
        <f t="shared" si="197"/>
        <v>11.860000002557317</v>
      </c>
      <c r="X1366" s="90">
        <f t="shared" si="193"/>
        <v>9.9999941115634806E-3</v>
      </c>
    </row>
    <row r="1367" spans="13:24" x14ac:dyDescent="0.25">
      <c r="M1367" s="91">
        <v>13.64</v>
      </c>
      <c r="N1367" s="89">
        <f t="shared" si="189"/>
        <v>0.35999999999999943</v>
      </c>
      <c r="O1367" s="89">
        <f t="shared" si="190"/>
        <v>12.240000002499105</v>
      </c>
      <c r="P1367" s="97">
        <f t="shared" si="191"/>
        <v>4.000000002499104</v>
      </c>
      <c r="Q1367" s="135">
        <f t="shared" si="194"/>
        <v>5.7543993402584232E-13</v>
      </c>
      <c r="R1367" s="89">
        <f t="shared" si="194"/>
        <v>9.9999999424559959E-5</v>
      </c>
      <c r="S1367" s="89">
        <f t="shared" si="195"/>
        <v>2.2908676527677622E-14</v>
      </c>
      <c r="T1367" s="136">
        <f t="shared" si="195"/>
        <v>0.43651583224016655</v>
      </c>
      <c r="U1367" s="137">
        <f t="shared" si="196"/>
        <v>5.7543993402584293E-9</v>
      </c>
      <c r="V1367" s="88">
        <f t="shared" si="192"/>
        <v>9.6399999975008974</v>
      </c>
      <c r="W1367" s="86">
        <f t="shared" si="197"/>
        <v>11.880000002499106</v>
      </c>
      <c r="X1367" s="90">
        <f t="shared" si="193"/>
        <v>9.9999942456006595E-3</v>
      </c>
    </row>
    <row r="1368" spans="13:24" x14ac:dyDescent="0.25">
      <c r="M1368" s="91">
        <v>13.65</v>
      </c>
      <c r="N1368" s="89">
        <f t="shared" si="189"/>
        <v>0.34999999999999964</v>
      </c>
      <c r="O1368" s="89">
        <f t="shared" si="190"/>
        <v>12.250000002442219</v>
      </c>
      <c r="P1368" s="97">
        <f t="shared" si="191"/>
        <v>4.0000000024422171</v>
      </c>
      <c r="Q1368" s="135">
        <f t="shared" si="194"/>
        <v>5.6234132202806755E-13</v>
      </c>
      <c r="R1368" s="89">
        <f t="shared" si="194"/>
        <v>9.9999999437658626E-5</v>
      </c>
      <c r="S1368" s="89">
        <f t="shared" si="195"/>
        <v>2.2387211385683295E-14</v>
      </c>
      <c r="T1368" s="136">
        <f t="shared" si="195"/>
        <v>0.44668359215096348</v>
      </c>
      <c r="U1368" s="137">
        <f t="shared" si="196"/>
        <v>5.6234132202806781E-9</v>
      </c>
      <c r="V1368" s="88">
        <f t="shared" si="192"/>
        <v>9.6499999975577833</v>
      </c>
      <c r="W1368" s="86">
        <f t="shared" si="197"/>
        <v>11.900000002442219</v>
      </c>
      <c r="X1368" s="90">
        <f t="shared" si="193"/>
        <v>9.9999943765867808E-3</v>
      </c>
    </row>
    <row r="1369" spans="13:24" x14ac:dyDescent="0.25">
      <c r="M1369" s="91">
        <v>13.66</v>
      </c>
      <c r="N1369" s="89">
        <f t="shared" si="189"/>
        <v>0.33999999999999986</v>
      </c>
      <c r="O1369" s="89">
        <f t="shared" si="190"/>
        <v>12.260000002386628</v>
      </c>
      <c r="P1369" s="97">
        <f t="shared" si="191"/>
        <v>4.000000002386626</v>
      </c>
      <c r="Q1369" s="135">
        <f t="shared" si="194"/>
        <v>5.4954087083766896E-13</v>
      </c>
      <c r="R1369" s="89">
        <f t="shared" si="194"/>
        <v>9.9999999450458879E-5</v>
      </c>
      <c r="S1369" s="89">
        <f t="shared" si="195"/>
        <v>2.1877616239495426E-14</v>
      </c>
      <c r="T1369" s="136">
        <f t="shared" si="195"/>
        <v>0.45708818961487513</v>
      </c>
      <c r="U1369" s="137">
        <f t="shared" si="196"/>
        <v>5.4954087083767035E-9</v>
      </c>
      <c r="V1369" s="88">
        <f t="shared" si="192"/>
        <v>9.6599999976133741</v>
      </c>
      <c r="W1369" s="86">
        <f t="shared" si="197"/>
        <v>11.920000002386628</v>
      </c>
      <c r="X1369" s="90">
        <f t="shared" si="193"/>
        <v>9.9999945045912923E-3</v>
      </c>
    </row>
    <row r="1370" spans="13:24" x14ac:dyDescent="0.25">
      <c r="M1370" s="91">
        <v>13.67</v>
      </c>
      <c r="N1370" s="89">
        <f t="shared" si="189"/>
        <v>0.33000000000000007</v>
      </c>
      <c r="O1370" s="89">
        <f t="shared" si="190"/>
        <v>12.270000002332299</v>
      </c>
      <c r="P1370" s="97">
        <f t="shared" si="191"/>
        <v>4.0000000023322997</v>
      </c>
      <c r="Q1370" s="135">
        <f t="shared" si="194"/>
        <v>5.3703179348621956E-13</v>
      </c>
      <c r="R1370" s="89">
        <f t="shared" si="194"/>
        <v>9.9999999462967997E-5</v>
      </c>
      <c r="S1370" s="89">
        <f t="shared" si="195"/>
        <v>2.1379620895022229E-14</v>
      </c>
      <c r="T1370" s="136">
        <f t="shared" si="195"/>
        <v>0.46773514128719806</v>
      </c>
      <c r="U1370" s="137">
        <f t="shared" si="196"/>
        <v>5.3703179348622067E-9</v>
      </c>
      <c r="V1370" s="88">
        <f t="shared" si="192"/>
        <v>9.6699999976677002</v>
      </c>
      <c r="W1370" s="86">
        <f t="shared" si="197"/>
        <v>11.940000002332299</v>
      </c>
      <c r="X1370" s="90">
        <f t="shared" si="193"/>
        <v>9.9999946296820651E-3</v>
      </c>
    </row>
    <row r="1371" spans="13:24" x14ac:dyDescent="0.25">
      <c r="M1371" s="91">
        <v>13.68</v>
      </c>
      <c r="N1371" s="89">
        <f t="shared" si="189"/>
        <v>0.32000000000000028</v>
      </c>
      <c r="O1371" s="89">
        <f t="shared" si="190"/>
        <v>12.280000002279209</v>
      </c>
      <c r="P1371" s="97">
        <f t="shared" si="191"/>
        <v>4.0000000022792097</v>
      </c>
      <c r="Q1371" s="135">
        <f t="shared" si="194"/>
        <v>5.2480745749554337E-13</v>
      </c>
      <c r="R1371" s="89">
        <f t="shared" si="194"/>
        <v>9.9999999475192512E-5</v>
      </c>
      <c r="S1371" s="89">
        <f t="shared" si="195"/>
        <v>2.0892961308540382E-14</v>
      </c>
      <c r="T1371" s="136">
        <f t="shared" si="195"/>
        <v>0.47863009232263798</v>
      </c>
      <c r="U1371" s="137">
        <f t="shared" si="196"/>
        <v>5.2480745749554359E-9</v>
      </c>
      <c r="V1371" s="88">
        <f t="shared" si="192"/>
        <v>9.67999999772079</v>
      </c>
      <c r="W1371" s="86">
        <f t="shared" si="197"/>
        <v>11.960000002279209</v>
      </c>
      <c r="X1371" s="90">
        <f t="shared" si="193"/>
        <v>9.9999947519254246E-3</v>
      </c>
    </row>
    <row r="1372" spans="13:24" x14ac:dyDescent="0.25">
      <c r="M1372" s="91">
        <v>13.69</v>
      </c>
      <c r="N1372" s="89">
        <f t="shared" si="189"/>
        <v>0.3100000000000005</v>
      </c>
      <c r="O1372" s="89">
        <f t="shared" si="190"/>
        <v>12.290000002227329</v>
      </c>
      <c r="P1372" s="97">
        <f t="shared" si="191"/>
        <v>4.0000000022273285</v>
      </c>
      <c r="Q1372" s="135">
        <f t="shared" si="194"/>
        <v>5.1286138136109594E-13</v>
      </c>
      <c r="R1372" s="89">
        <f t="shared" si="194"/>
        <v>9.9999999487138523E-5</v>
      </c>
      <c r="S1372" s="89">
        <f t="shared" si="195"/>
        <v>2.0417379446695278E-14</v>
      </c>
      <c r="T1372" s="136">
        <f t="shared" si="195"/>
        <v>0.48977881936844558</v>
      </c>
      <c r="U1372" s="137">
        <f t="shared" si="196"/>
        <v>5.1286138136109643E-9</v>
      </c>
      <c r="V1372" s="88">
        <f t="shared" si="192"/>
        <v>9.6899999977726701</v>
      </c>
      <c r="W1372" s="86">
        <f t="shared" si="197"/>
        <v>11.980000002227328</v>
      </c>
      <c r="X1372" s="90">
        <f t="shared" si="193"/>
        <v>9.9999948713861871E-3</v>
      </c>
    </row>
    <row r="1373" spans="13:24" x14ac:dyDescent="0.25">
      <c r="M1373" s="91">
        <v>13.7</v>
      </c>
      <c r="N1373" s="89">
        <f t="shared" si="189"/>
        <v>0.30000000000000071</v>
      </c>
      <c r="O1373" s="89">
        <f t="shared" si="190"/>
        <v>12.300000002176628</v>
      </c>
      <c r="P1373" s="97">
        <f t="shared" si="191"/>
        <v>4.0000000021766287</v>
      </c>
      <c r="Q1373" s="135">
        <f t="shared" si="194"/>
        <v>5.0118723111538537E-13</v>
      </c>
      <c r="R1373" s="89">
        <f t="shared" si="194"/>
        <v>9.9999999498812738E-5</v>
      </c>
      <c r="S1373" s="89">
        <f t="shared" si="195"/>
        <v>1.9952623149688784E-14</v>
      </c>
      <c r="T1373" s="136">
        <f t="shared" si="195"/>
        <v>0.50118723362727147</v>
      </c>
      <c r="U1373" s="137">
        <f t="shared" si="196"/>
        <v>5.0118723111538559E-9</v>
      </c>
      <c r="V1373" s="88">
        <f t="shared" si="192"/>
        <v>9.6999999978233706</v>
      </c>
      <c r="W1373" s="86">
        <f t="shared" si="197"/>
        <v>12.000000002176627</v>
      </c>
      <c r="X1373" s="90">
        <f t="shared" si="193"/>
        <v>9.9999949881276889E-3</v>
      </c>
    </row>
    <row r="1374" spans="13:24" x14ac:dyDescent="0.25">
      <c r="M1374" s="91">
        <v>13.71</v>
      </c>
      <c r="N1374" s="89">
        <f t="shared" si="189"/>
        <v>0.28999999999999915</v>
      </c>
      <c r="O1374" s="89">
        <f t="shared" si="190"/>
        <v>12.310000002127083</v>
      </c>
      <c r="P1374" s="97">
        <f t="shared" si="191"/>
        <v>4.0000000021270825</v>
      </c>
      <c r="Q1374" s="135">
        <f t="shared" si="194"/>
        <v>4.8977881696961145E-13</v>
      </c>
      <c r="R1374" s="89">
        <f t="shared" si="194"/>
        <v>9.9999999510221025E-5</v>
      </c>
      <c r="S1374" s="89">
        <f t="shared" si="195"/>
        <v>1.9498445997580372E-14</v>
      </c>
      <c r="T1374" s="136">
        <f t="shared" si="195"/>
        <v>0.51286138399136583</v>
      </c>
      <c r="U1374" s="137">
        <f t="shared" si="196"/>
        <v>4.8977881696961222E-9</v>
      </c>
      <c r="V1374" s="88">
        <f t="shared" si="192"/>
        <v>9.7099999978729183</v>
      </c>
      <c r="W1374" s="86">
        <f t="shared" si="197"/>
        <v>12.020000002127084</v>
      </c>
      <c r="X1374" s="90">
        <f t="shared" si="193"/>
        <v>9.9999951022118304E-3</v>
      </c>
    </row>
    <row r="1375" spans="13:24" x14ac:dyDescent="0.25">
      <c r="M1375" s="91">
        <v>13.72</v>
      </c>
      <c r="N1375" s="89">
        <f t="shared" si="189"/>
        <v>0.27999999999999936</v>
      </c>
      <c r="O1375" s="89">
        <f t="shared" si="190"/>
        <v>12.320000002078665</v>
      </c>
      <c r="P1375" s="97">
        <f t="shared" si="191"/>
        <v>4.0000000020786644</v>
      </c>
      <c r="Q1375" s="135">
        <f t="shared" si="194"/>
        <v>4.7863009003176913E-13</v>
      </c>
      <c r="R1375" s="89">
        <f t="shared" si="194"/>
        <v>9.9999999521369794E-5</v>
      </c>
      <c r="S1375" s="89">
        <f t="shared" si="195"/>
        <v>1.9054607179632396E-14</v>
      </c>
      <c r="T1375" s="136">
        <f t="shared" si="195"/>
        <v>0.52480746024977343</v>
      </c>
      <c r="U1375" s="137">
        <f t="shared" si="196"/>
        <v>4.7863009003176967E-9</v>
      </c>
      <c r="V1375" s="88">
        <f t="shared" si="192"/>
        <v>9.7199999979213363</v>
      </c>
      <c r="W1375" s="86">
        <f t="shared" si="197"/>
        <v>12.040000002078665</v>
      </c>
      <c r="X1375" s="90">
        <f t="shared" si="193"/>
        <v>9.9999952136990995E-3</v>
      </c>
    </row>
    <row r="1376" spans="13:24" x14ac:dyDescent="0.25">
      <c r="M1376" s="91">
        <v>13.73</v>
      </c>
      <c r="N1376" s="89">
        <f t="shared" si="189"/>
        <v>0.26999999999999957</v>
      </c>
      <c r="O1376" s="89">
        <f t="shared" si="190"/>
        <v>12.330000002031349</v>
      </c>
      <c r="P1376" s="97">
        <f t="shared" si="191"/>
        <v>4.0000000020313475</v>
      </c>
      <c r="Q1376" s="135">
        <f t="shared" si="194"/>
        <v>4.677351390994342E-13</v>
      </c>
      <c r="R1376" s="89">
        <f t="shared" si="194"/>
        <v>9.9999999532264901E-5</v>
      </c>
      <c r="S1376" s="89">
        <f t="shared" si="195"/>
        <v>1.8620871366628604E-14</v>
      </c>
      <c r="T1376" s="136">
        <f t="shared" si="195"/>
        <v>0.53703179637025322</v>
      </c>
      <c r="U1376" s="137">
        <f t="shared" si="196"/>
        <v>4.6773513909943397E-9</v>
      </c>
      <c r="V1376" s="88">
        <f t="shared" si="192"/>
        <v>9.7299999979686529</v>
      </c>
      <c r="W1376" s="86">
        <f t="shared" si="197"/>
        <v>12.06000000203135</v>
      </c>
      <c r="X1376" s="90">
        <f t="shared" si="193"/>
        <v>9.9999953226486086E-3</v>
      </c>
    </row>
    <row r="1377" spans="13:24" x14ac:dyDescent="0.25">
      <c r="M1377" s="91">
        <v>13.74</v>
      </c>
      <c r="N1377" s="89">
        <f t="shared" si="189"/>
        <v>0.25999999999999979</v>
      </c>
      <c r="O1377" s="89">
        <f t="shared" si="190"/>
        <v>12.340000001985109</v>
      </c>
      <c r="P1377" s="97">
        <f t="shared" si="191"/>
        <v>4.000000001985109</v>
      </c>
      <c r="Q1377" s="135">
        <f t="shared" si="194"/>
        <v>4.5708818752557736E-13</v>
      </c>
      <c r="R1377" s="89">
        <f t="shared" si="194"/>
        <v>9.9999999542911685E-5</v>
      </c>
      <c r="S1377" s="89">
        <f t="shared" si="195"/>
        <v>1.8197008586099766E-14</v>
      </c>
      <c r="T1377" s="136">
        <f t="shared" si="195"/>
        <v>0.54954087385762485</v>
      </c>
      <c r="U1377" s="137">
        <f t="shared" si="196"/>
        <v>4.5708818752557792E-9</v>
      </c>
      <c r="V1377" s="88">
        <f t="shared" si="192"/>
        <v>9.7399999980148912</v>
      </c>
      <c r="W1377" s="86">
        <f t="shared" si="197"/>
        <v>12.080000001985109</v>
      </c>
      <c r="X1377" s="90">
        <f t="shared" si="193"/>
        <v>9.9999954291181241E-3</v>
      </c>
    </row>
    <row r="1378" spans="13:24" x14ac:dyDescent="0.25">
      <c r="M1378" s="91">
        <v>13.75</v>
      </c>
      <c r="N1378" s="89">
        <f t="shared" si="189"/>
        <v>0.25</v>
      </c>
      <c r="O1378" s="89">
        <f t="shared" si="190"/>
        <v>12.350000001939923</v>
      </c>
      <c r="P1378" s="97">
        <f t="shared" si="191"/>
        <v>4.000000001939922</v>
      </c>
      <c r="Q1378" s="135">
        <f t="shared" si="194"/>
        <v>4.4668359015569882E-13</v>
      </c>
      <c r="R1378" s="89">
        <f t="shared" si="194"/>
        <v>9.999999955331634E-5</v>
      </c>
      <c r="S1378" s="89">
        <f t="shared" si="195"/>
        <v>1.7782794100389161E-14</v>
      </c>
      <c r="T1378" s="136">
        <f t="shared" si="195"/>
        <v>0.56234132519034907</v>
      </c>
      <c r="U1378" s="137">
        <f t="shared" si="196"/>
        <v>4.4668359015569915E-9</v>
      </c>
      <c r="V1378" s="88">
        <f t="shared" si="192"/>
        <v>9.749999998060078</v>
      </c>
      <c r="W1378" s="86">
        <f t="shared" si="197"/>
        <v>12.100000001939923</v>
      </c>
      <c r="X1378" s="90">
        <f t="shared" si="193"/>
        <v>9.999995533164099E-3</v>
      </c>
    </row>
    <row r="1379" spans="13:24" x14ac:dyDescent="0.25">
      <c r="M1379" s="91">
        <v>13.76</v>
      </c>
      <c r="N1379" s="89">
        <f t="shared" si="189"/>
        <v>0.24000000000000021</v>
      </c>
      <c r="O1379" s="89">
        <f t="shared" si="190"/>
        <v>12.360000001895765</v>
      </c>
      <c r="P1379" s="97">
        <f t="shared" si="191"/>
        <v>4.0000000018957644</v>
      </c>
      <c r="Q1379" s="135">
        <f t="shared" si="194"/>
        <v>4.3651583033470381E-13</v>
      </c>
      <c r="R1379" s="89">
        <f t="shared" si="194"/>
        <v>9.9999999563484015E-5</v>
      </c>
      <c r="S1379" s="89">
        <f t="shared" si="195"/>
        <v>1.7378008287493692E-14</v>
      </c>
      <c r="T1379" s="136">
        <f t="shared" si="195"/>
        <v>0.57543993733715659</v>
      </c>
      <c r="U1379" s="137">
        <f t="shared" si="196"/>
        <v>4.3651583033470446E-9</v>
      </c>
      <c r="V1379" s="88">
        <f t="shared" si="192"/>
        <v>9.7599999981042345</v>
      </c>
      <c r="W1379" s="86">
        <f t="shared" si="197"/>
        <v>12.120000001895765</v>
      </c>
      <c r="X1379" s="90">
        <f t="shared" si="193"/>
        <v>9.9999956348416977E-3</v>
      </c>
    </row>
    <row r="1380" spans="13:24" x14ac:dyDescent="0.25">
      <c r="M1380" s="91">
        <v>13.77</v>
      </c>
      <c r="N1380" s="89">
        <f t="shared" si="189"/>
        <v>0.23000000000000043</v>
      </c>
      <c r="O1380" s="89">
        <f t="shared" si="190"/>
        <v>12.370000001852612</v>
      </c>
      <c r="P1380" s="97">
        <f t="shared" si="191"/>
        <v>4.0000000018526114</v>
      </c>
      <c r="Q1380" s="135">
        <f t="shared" si="194"/>
        <v>4.2657951698189009E-13</v>
      </c>
      <c r="R1380" s="89">
        <f t="shared" si="194"/>
        <v>9.999999957342043E-5</v>
      </c>
      <c r="S1380" s="89">
        <f t="shared" si="195"/>
        <v>1.6982436524617383E-14</v>
      </c>
      <c r="T1380" s="136">
        <f t="shared" si="195"/>
        <v>0.58884365535558836</v>
      </c>
      <c r="U1380" s="137">
        <f t="shared" si="196"/>
        <v>4.2657951698189034E-9</v>
      </c>
      <c r="V1380" s="88">
        <f t="shared" si="192"/>
        <v>9.7699999981473873</v>
      </c>
      <c r="W1380" s="86">
        <f t="shared" si="197"/>
        <v>12.140000001852611</v>
      </c>
      <c r="X1380" s="90">
        <f t="shared" si="193"/>
        <v>9.99999573420483E-3</v>
      </c>
    </row>
    <row r="1381" spans="13:24" x14ac:dyDescent="0.25">
      <c r="M1381" s="91">
        <v>13.78</v>
      </c>
      <c r="N1381" s="89">
        <f t="shared" si="189"/>
        <v>0.22000000000000064</v>
      </c>
      <c r="O1381" s="89">
        <f t="shared" si="190"/>
        <v>12.380000001810441</v>
      </c>
      <c r="P1381" s="97">
        <f t="shared" si="191"/>
        <v>4.0000000018104407</v>
      </c>
      <c r="Q1381" s="135">
        <f t="shared" si="194"/>
        <v>4.1686938173253353E-13</v>
      </c>
      <c r="R1381" s="89">
        <f t="shared" si="194"/>
        <v>9.9999999583130517E-5</v>
      </c>
      <c r="S1381" s="89">
        <f t="shared" si="195"/>
        <v>1.659586907437561E-14</v>
      </c>
      <c r="T1381" s="136">
        <f t="shared" si="195"/>
        <v>0.60255958607435678</v>
      </c>
      <c r="U1381" s="137">
        <f t="shared" si="196"/>
        <v>4.1686938173253393E-9</v>
      </c>
      <c r="V1381" s="88">
        <f t="shared" si="192"/>
        <v>9.7799999981895596</v>
      </c>
      <c r="W1381" s="86">
        <f t="shared" si="197"/>
        <v>12.16000000181044</v>
      </c>
      <c r="X1381" s="90">
        <f t="shared" si="193"/>
        <v>9.999995831306183E-3</v>
      </c>
    </row>
    <row r="1382" spans="13:24" x14ac:dyDescent="0.25">
      <c r="M1382" s="91">
        <v>13.79</v>
      </c>
      <c r="N1382" s="89">
        <f t="shared" si="189"/>
        <v>0.21000000000000085</v>
      </c>
      <c r="O1382" s="89">
        <f t="shared" si="190"/>
        <v>12.390000001769229</v>
      </c>
      <c r="P1382" s="97">
        <f t="shared" si="191"/>
        <v>4.0000000017692301</v>
      </c>
      <c r="Q1382" s="135">
        <f t="shared" si="194"/>
        <v>4.0738027614452558E-13</v>
      </c>
      <c r="R1382" s="89">
        <f t="shared" si="194"/>
        <v>9.9999999592619644E-5</v>
      </c>
      <c r="S1382" s="89">
        <f t="shared" si="195"/>
        <v>1.6218100973589306E-14</v>
      </c>
      <c r="T1382" s="136">
        <f t="shared" si="195"/>
        <v>0.61659500186148097</v>
      </c>
      <c r="U1382" s="137">
        <f t="shared" si="196"/>
        <v>4.0738027614452587E-9</v>
      </c>
      <c r="V1382" s="88">
        <f t="shared" si="192"/>
        <v>9.7899999982307691</v>
      </c>
      <c r="W1382" s="86">
        <f t="shared" si="197"/>
        <v>12.180000001769228</v>
      </c>
      <c r="X1382" s="90">
        <f t="shared" si="193"/>
        <v>9.9999959261972381E-3</v>
      </c>
    </row>
    <row r="1383" spans="13:24" x14ac:dyDescent="0.25">
      <c r="M1383" s="91">
        <v>13.8</v>
      </c>
      <c r="N1383" s="89">
        <f t="shared" si="189"/>
        <v>0.19999999999999929</v>
      </c>
      <c r="O1383" s="89">
        <f t="shared" si="190"/>
        <v>12.400000001728959</v>
      </c>
      <c r="P1383" s="97">
        <f t="shared" si="191"/>
        <v>4.0000000017289574</v>
      </c>
      <c r="Q1383" s="135">
        <f t="shared" si="194"/>
        <v>3.981071689686018E-13</v>
      </c>
      <c r="R1383" s="89">
        <f t="shared" si="194"/>
        <v>9.9999999601892758E-5</v>
      </c>
      <c r="S1383" s="89">
        <f t="shared" si="195"/>
        <v>1.5848931924611084E-14</v>
      </c>
      <c r="T1383" s="136">
        <f t="shared" si="195"/>
        <v>0.63095734448019425</v>
      </c>
      <c r="U1383" s="137">
        <f t="shared" si="196"/>
        <v>3.9810716896860213E-9</v>
      </c>
      <c r="V1383" s="88">
        <f t="shared" si="192"/>
        <v>9.7999999982710442</v>
      </c>
      <c r="W1383" s="86">
        <f t="shared" si="197"/>
        <v>12.200000001728959</v>
      </c>
      <c r="X1383" s="90">
        <f t="shared" si="193"/>
        <v>9.9999960189283109E-3</v>
      </c>
    </row>
    <row r="1384" spans="13:24" x14ac:dyDescent="0.25">
      <c r="M1384" s="91">
        <v>13.81</v>
      </c>
      <c r="N1384" s="89">
        <f t="shared" si="189"/>
        <v>0.1899999999999995</v>
      </c>
      <c r="O1384" s="89">
        <f t="shared" si="190"/>
        <v>12.410000001689601</v>
      </c>
      <c r="P1384" s="97">
        <f t="shared" si="191"/>
        <v>4.0000000016896013</v>
      </c>
      <c r="Q1384" s="135">
        <f t="shared" si="194"/>
        <v>3.8904514348071809E-13</v>
      </c>
      <c r="R1384" s="89">
        <f t="shared" si="194"/>
        <v>9.9999999610954858E-5</v>
      </c>
      <c r="S1384" s="89">
        <f t="shared" si="195"/>
        <v>1.5488166189124764E-14</v>
      </c>
      <c r="T1384" s="136">
        <f t="shared" si="195"/>
        <v>0.64565422903465619</v>
      </c>
      <c r="U1384" s="137">
        <f t="shared" si="196"/>
        <v>3.8904514348071807E-9</v>
      </c>
      <c r="V1384" s="88">
        <f t="shared" si="192"/>
        <v>9.8099999983103991</v>
      </c>
      <c r="W1384" s="86">
        <f t="shared" si="197"/>
        <v>12.220000001689602</v>
      </c>
      <c r="X1384" s="90">
        <f t="shared" si="193"/>
        <v>9.9999961095485652E-3</v>
      </c>
    </row>
    <row r="1385" spans="13:24" x14ac:dyDescent="0.25">
      <c r="M1385" s="91">
        <v>13.82</v>
      </c>
      <c r="N1385" s="89">
        <f t="shared" si="189"/>
        <v>0.17999999999999972</v>
      </c>
      <c r="O1385" s="89">
        <f t="shared" si="190"/>
        <v>12.420000001651141</v>
      </c>
      <c r="P1385" s="97">
        <f t="shared" si="191"/>
        <v>4.0000000016511414</v>
      </c>
      <c r="Q1385" s="135">
        <f t="shared" si="194"/>
        <v>3.8018939487512065E-13</v>
      </c>
      <c r="R1385" s="89">
        <f t="shared" si="194"/>
        <v>9.9999999619810513E-5</v>
      </c>
      <c r="S1385" s="89">
        <f t="shared" si="195"/>
        <v>1.5135612484362038E-14</v>
      </c>
      <c r="T1385" s="136">
        <f t="shared" si="195"/>
        <v>0.66069344800759633</v>
      </c>
      <c r="U1385" s="137">
        <f t="shared" si="196"/>
        <v>3.8018939487512096E-9</v>
      </c>
      <c r="V1385" s="88">
        <f t="shared" si="192"/>
        <v>9.8199999983488588</v>
      </c>
      <c r="W1385" s="86">
        <f t="shared" si="197"/>
        <v>12.240000001651142</v>
      </c>
      <c r="X1385" s="90">
        <f t="shared" si="193"/>
        <v>9.9999961981060512E-3</v>
      </c>
    </row>
    <row r="1386" spans="13:24" x14ac:dyDescent="0.25">
      <c r="M1386" s="91">
        <v>13.83</v>
      </c>
      <c r="N1386" s="89">
        <f t="shared" si="189"/>
        <v>0.16999999999999993</v>
      </c>
      <c r="O1386" s="89">
        <f t="shared" si="190"/>
        <v>12.430000001613557</v>
      </c>
      <c r="P1386" s="97">
        <f t="shared" si="191"/>
        <v>4.0000000016135573</v>
      </c>
      <c r="Q1386" s="135">
        <f t="shared" si="194"/>
        <v>3.715352277167871E-13</v>
      </c>
      <c r="R1386" s="89">
        <f t="shared" si="194"/>
        <v>9.9999999628464574E-5</v>
      </c>
      <c r="S1386" s="89">
        <f t="shared" si="195"/>
        <v>1.4791083881682031E-14</v>
      </c>
      <c r="T1386" s="136">
        <f t="shared" si="195"/>
        <v>0.67608297539198181</v>
      </c>
      <c r="U1386" s="137">
        <f t="shared" si="196"/>
        <v>3.7153522771678782E-9</v>
      </c>
      <c r="V1386" s="88">
        <f t="shared" si="192"/>
        <v>9.8299999983864428</v>
      </c>
      <c r="W1386" s="86">
        <f t="shared" si="197"/>
        <v>12.260000001613557</v>
      </c>
      <c r="X1386" s="90">
        <f t="shared" si="193"/>
        <v>9.9999962846477226E-3</v>
      </c>
    </row>
    <row r="1387" spans="13:24" x14ac:dyDescent="0.25">
      <c r="M1387" s="91">
        <v>13.84</v>
      </c>
      <c r="N1387" s="89">
        <f t="shared" si="189"/>
        <v>0.16000000000000014</v>
      </c>
      <c r="O1387" s="89">
        <f t="shared" si="190"/>
        <v>12.440000001576829</v>
      </c>
      <c r="P1387" s="97">
        <f t="shared" si="191"/>
        <v>4.0000000015768276</v>
      </c>
      <c r="Q1387" s="135">
        <f t="shared" si="194"/>
        <v>3.6307805345184241E-13</v>
      </c>
      <c r="R1387" s="89">
        <f t="shared" si="194"/>
        <v>9.9999999636921988E-5</v>
      </c>
      <c r="S1387" s="89">
        <f t="shared" si="195"/>
        <v>1.4454397707459233E-14</v>
      </c>
      <c r="T1387" s="136">
        <f t="shared" si="195"/>
        <v>0.69183097091893619</v>
      </c>
      <c r="U1387" s="137">
        <f t="shared" si="196"/>
        <v>3.6307805345184222E-9</v>
      </c>
      <c r="V1387" s="88">
        <f t="shared" si="192"/>
        <v>9.8399999984231723</v>
      </c>
      <c r="W1387" s="86">
        <f t="shared" si="197"/>
        <v>12.280000001576829</v>
      </c>
      <c r="X1387" s="90">
        <f t="shared" si="193"/>
        <v>9.9999963692194663E-3</v>
      </c>
    </row>
    <row r="1388" spans="13:24" x14ac:dyDescent="0.25">
      <c r="M1388" s="91">
        <v>13.85</v>
      </c>
      <c r="N1388" s="89">
        <f t="shared" si="189"/>
        <v>0.15000000000000036</v>
      </c>
      <c r="O1388" s="89">
        <f t="shared" si="190"/>
        <v>12.450000001540936</v>
      </c>
      <c r="P1388" s="97">
        <f t="shared" si="191"/>
        <v>4.0000000015409345</v>
      </c>
      <c r="Q1388" s="135">
        <f t="shared" si="194"/>
        <v>3.5481338797464801E-13</v>
      </c>
      <c r="R1388" s="89">
        <f t="shared" si="194"/>
        <v>9.9999999645186672E-5</v>
      </c>
      <c r="S1388" s="89">
        <f t="shared" si="195"/>
        <v>1.4125375446227505E-14</v>
      </c>
      <c r="T1388" s="136">
        <f t="shared" si="195"/>
        <v>0.70794578438413736</v>
      </c>
      <c r="U1388" s="137">
        <f t="shared" si="196"/>
        <v>3.548133879746478E-9</v>
      </c>
      <c r="V1388" s="88">
        <f t="shared" si="192"/>
        <v>9.8499999984590652</v>
      </c>
      <c r="W1388" s="86">
        <f t="shared" si="197"/>
        <v>12.300000001540935</v>
      </c>
      <c r="X1388" s="90">
        <f t="shared" si="193"/>
        <v>9.9999964518661198E-3</v>
      </c>
    </row>
    <row r="1389" spans="13:24" x14ac:dyDescent="0.25">
      <c r="M1389" s="91">
        <v>13.86</v>
      </c>
      <c r="N1389" s="89">
        <f t="shared" si="189"/>
        <v>0.14000000000000057</v>
      </c>
      <c r="O1389" s="89">
        <f t="shared" si="190"/>
        <v>12.460000001505859</v>
      </c>
      <c r="P1389" s="97">
        <f t="shared" si="191"/>
        <v>4.0000000015058594</v>
      </c>
      <c r="Q1389" s="135">
        <f t="shared" si="194"/>
        <v>3.4673684925026593E-13</v>
      </c>
      <c r="R1389" s="89">
        <f t="shared" si="194"/>
        <v>9.9999999653263056E-5</v>
      </c>
      <c r="S1389" s="89">
        <f t="shared" si="195"/>
        <v>1.3803842646028814E-14</v>
      </c>
      <c r="T1389" s="136">
        <f t="shared" si="195"/>
        <v>0.724435960074989</v>
      </c>
      <c r="U1389" s="137">
        <f t="shared" si="196"/>
        <v>3.4673684925026625E-9</v>
      </c>
      <c r="V1389" s="88">
        <f t="shared" si="192"/>
        <v>9.8599999984941391</v>
      </c>
      <c r="W1389" s="86">
        <f t="shared" si="197"/>
        <v>12.320000001505859</v>
      </c>
      <c r="X1389" s="90">
        <f t="shared" si="193"/>
        <v>9.9999965326315072E-3</v>
      </c>
    </row>
    <row r="1390" spans="13:24" x14ac:dyDescent="0.25">
      <c r="M1390" s="91">
        <v>13.87</v>
      </c>
      <c r="N1390" s="89">
        <f t="shared" si="189"/>
        <v>0.13000000000000078</v>
      </c>
      <c r="O1390" s="89">
        <f t="shared" si="190"/>
        <v>12.470000001471583</v>
      </c>
      <c r="P1390" s="97">
        <f t="shared" si="191"/>
        <v>4.0000000014715811</v>
      </c>
      <c r="Q1390" s="135">
        <f t="shared" si="194"/>
        <v>3.3884415499104658E-13</v>
      </c>
      <c r="R1390" s="89">
        <f t="shared" si="194"/>
        <v>9.9999999661155763E-5</v>
      </c>
      <c r="S1390" s="89">
        <f t="shared" si="195"/>
        <v>1.3489628825916503E-14</v>
      </c>
      <c r="T1390" s="136">
        <f t="shared" si="195"/>
        <v>0.74131024130091616</v>
      </c>
      <c r="U1390" s="137">
        <f t="shared" si="196"/>
        <v>3.3884415499104685E-9</v>
      </c>
      <c r="V1390" s="88">
        <f t="shared" si="192"/>
        <v>9.8699999985284173</v>
      </c>
      <c r="W1390" s="86">
        <f t="shared" si="197"/>
        <v>12.340000001471582</v>
      </c>
      <c r="X1390" s="90">
        <f t="shared" si="193"/>
        <v>9.9999966115584503E-3</v>
      </c>
    </row>
    <row r="1391" spans="13:24" x14ac:dyDescent="0.25">
      <c r="M1391" s="91">
        <v>13.88</v>
      </c>
      <c r="N1391" s="89">
        <f t="shared" si="189"/>
        <v>0.11999999999999922</v>
      </c>
      <c r="O1391" s="89">
        <f t="shared" si="190"/>
        <v>12.480000001438086</v>
      </c>
      <c r="P1391" s="97">
        <f t="shared" si="191"/>
        <v>4.0000000014380843</v>
      </c>
      <c r="Q1391" s="135">
        <f t="shared" si="194"/>
        <v>3.3113112038611035E-13</v>
      </c>
      <c r="R1391" s="89">
        <f t="shared" si="194"/>
        <v>9.9999999668868696E-5</v>
      </c>
      <c r="S1391" s="89">
        <f t="shared" si="195"/>
        <v>1.3182567385563993E-14</v>
      </c>
      <c r="T1391" s="136">
        <f t="shared" si="195"/>
        <v>0.7585775750291851</v>
      </c>
      <c r="U1391" s="137">
        <f t="shared" si="196"/>
        <v>3.3113112038611097E-9</v>
      </c>
      <c r="V1391" s="88">
        <f t="shared" si="192"/>
        <v>9.8799999985619174</v>
      </c>
      <c r="W1391" s="86">
        <f t="shared" si="197"/>
        <v>12.360000001438086</v>
      </c>
      <c r="X1391" s="90">
        <f t="shared" si="193"/>
        <v>9.9999966886887958E-3</v>
      </c>
    </row>
    <row r="1392" spans="13:24" x14ac:dyDescent="0.25">
      <c r="M1392" s="91">
        <v>13.89</v>
      </c>
      <c r="N1392" s="89">
        <f t="shared" si="189"/>
        <v>0.10999999999999943</v>
      </c>
      <c r="O1392" s="89">
        <f t="shared" si="190"/>
        <v>12.490000001405349</v>
      </c>
      <c r="P1392" s="97">
        <f t="shared" si="191"/>
        <v>4.0000000014053496</v>
      </c>
      <c r="Q1392" s="135">
        <f t="shared" si="194"/>
        <v>3.2359365588249944E-13</v>
      </c>
      <c r="R1392" s="89">
        <f t="shared" si="194"/>
        <v>9.9999999676406138E-5</v>
      </c>
      <c r="S1392" s="89">
        <f t="shared" si="195"/>
        <v>1.2882495516931265E-14</v>
      </c>
      <c r="T1392" s="136">
        <f t="shared" si="195"/>
        <v>0.77624711662869272</v>
      </c>
      <c r="U1392" s="137">
        <f t="shared" si="196"/>
        <v>3.2359365588250014E-9</v>
      </c>
      <c r="V1392" s="88">
        <f t="shared" si="192"/>
        <v>9.8899999985946501</v>
      </c>
      <c r="W1392" s="86">
        <f t="shared" si="197"/>
        <v>12.38000000140535</v>
      </c>
      <c r="X1392" s="90">
        <f t="shared" si="193"/>
        <v>9.9999967640634416E-3</v>
      </c>
    </row>
    <row r="1393" spans="13:24" x14ac:dyDescent="0.25">
      <c r="M1393" s="91">
        <v>13.9</v>
      </c>
      <c r="N1393" s="89">
        <f t="shared" si="189"/>
        <v>9.9999999999999645E-2</v>
      </c>
      <c r="O1393" s="89">
        <f t="shared" si="190"/>
        <v>12.50000000137336</v>
      </c>
      <c r="P1393" s="97">
        <f t="shared" si="191"/>
        <v>4.0000000013733601</v>
      </c>
      <c r="Q1393" s="135">
        <f t="shared" si="194"/>
        <v>3.1622776501683644E-13</v>
      </c>
      <c r="R1393" s="89">
        <f t="shared" si="194"/>
        <v>9.999999968377199E-5</v>
      </c>
      <c r="S1393" s="89">
        <f t="shared" si="195"/>
        <v>1.2589254117941644E-14</v>
      </c>
      <c r="T1393" s="136">
        <f t="shared" si="195"/>
        <v>0.79432823472428216</v>
      </c>
      <c r="U1393" s="137">
        <f t="shared" si="196"/>
        <v>3.1622776501683718E-9</v>
      </c>
      <c r="V1393" s="88">
        <f t="shared" si="192"/>
        <v>9.8999999986266403</v>
      </c>
      <c r="W1393" s="86">
        <f t="shared" si="197"/>
        <v>12.40000000137336</v>
      </c>
      <c r="X1393" s="90">
        <f t="shared" si="193"/>
        <v>9.9999968377223504E-3</v>
      </c>
    </row>
    <row r="1394" spans="13:24" x14ac:dyDescent="0.25">
      <c r="M1394" s="91">
        <v>13.91</v>
      </c>
      <c r="N1394" s="89">
        <f t="shared" si="189"/>
        <v>8.9999999999999858E-2</v>
      </c>
      <c r="O1394" s="89">
        <f t="shared" si="190"/>
        <v>12.510000001342098</v>
      </c>
      <c r="P1394" s="97">
        <f t="shared" si="191"/>
        <v>4.000000001342098</v>
      </c>
      <c r="Q1394" s="135">
        <f t="shared" si="194"/>
        <v>3.0902954229636592E-13</v>
      </c>
      <c r="R1394" s="89">
        <f t="shared" si="194"/>
        <v>9.9999999690970497E-5</v>
      </c>
      <c r="S1394" s="89">
        <f t="shared" si="195"/>
        <v>1.230268770812379E-14</v>
      </c>
      <c r="T1394" s="136">
        <f t="shared" si="195"/>
        <v>0.81283051616409951</v>
      </c>
      <c r="U1394" s="137">
        <f t="shared" si="196"/>
        <v>3.0902954229636577E-9</v>
      </c>
      <c r="V1394" s="88">
        <f t="shared" si="192"/>
        <v>9.9099999986579022</v>
      </c>
      <c r="W1394" s="86">
        <f t="shared" si="197"/>
        <v>12.420000001342098</v>
      </c>
      <c r="X1394" s="90">
        <f t="shared" si="193"/>
        <v>9.9999969097045779E-3</v>
      </c>
    </row>
    <row r="1395" spans="13:24" x14ac:dyDescent="0.25">
      <c r="M1395" s="91">
        <v>13.92</v>
      </c>
      <c r="N1395" s="89">
        <f t="shared" si="189"/>
        <v>8.0000000000000071E-2</v>
      </c>
      <c r="O1395" s="89">
        <f t="shared" si="190"/>
        <v>12.520000001311548</v>
      </c>
      <c r="P1395" s="97">
        <f t="shared" si="191"/>
        <v>4.0000000013115482</v>
      </c>
      <c r="Q1395" s="135">
        <f t="shared" si="194"/>
        <v>3.0199517112819022E-13</v>
      </c>
      <c r="R1395" s="89">
        <f t="shared" si="194"/>
        <v>9.9999999698004868E-5</v>
      </c>
      <c r="S1395" s="89">
        <f t="shared" si="195"/>
        <v>1.2022644346174106E-14</v>
      </c>
      <c r="T1395" s="136">
        <f t="shared" si="195"/>
        <v>0.83176377110267086</v>
      </c>
      <c r="U1395" s="137">
        <f t="shared" si="196"/>
        <v>3.0199517112819009E-9</v>
      </c>
      <c r="V1395" s="88">
        <f t="shared" si="192"/>
        <v>9.9199999986884517</v>
      </c>
      <c r="W1395" s="86">
        <f t="shared" si="197"/>
        <v>12.440000001311548</v>
      </c>
      <c r="X1395" s="90">
        <f t="shared" si="193"/>
        <v>9.9999969800482896E-3</v>
      </c>
    </row>
    <row r="1396" spans="13:24" x14ac:dyDescent="0.25">
      <c r="M1396" s="91">
        <v>13.93</v>
      </c>
      <c r="N1396" s="89">
        <f t="shared" si="189"/>
        <v>7.0000000000000284E-2</v>
      </c>
      <c r="O1396" s="89">
        <f t="shared" si="190"/>
        <v>12.530000001281694</v>
      </c>
      <c r="P1396" s="97">
        <f t="shared" si="191"/>
        <v>4.0000000012816939</v>
      </c>
      <c r="Q1396" s="135">
        <f t="shared" si="194"/>
        <v>2.951209217956742E-13</v>
      </c>
      <c r="R1396" s="89">
        <f t="shared" si="194"/>
        <v>9.9999999704879008E-5</v>
      </c>
      <c r="S1396" s="89">
        <f t="shared" si="195"/>
        <v>1.1748975549395272E-14</v>
      </c>
      <c r="T1396" s="136">
        <f t="shared" si="195"/>
        <v>0.85113803820237588</v>
      </c>
      <c r="U1396" s="137">
        <f t="shared" si="196"/>
        <v>2.9512092179567444E-9</v>
      </c>
      <c r="V1396" s="88">
        <f t="shared" si="192"/>
        <v>9.929999998718305</v>
      </c>
      <c r="W1396" s="86">
        <f t="shared" si="197"/>
        <v>12.460000001281694</v>
      </c>
      <c r="X1396" s="90">
        <f t="shared" si="193"/>
        <v>9.9999970487907822E-3</v>
      </c>
    </row>
    <row r="1397" spans="13:24" x14ac:dyDescent="0.25">
      <c r="M1397" s="91">
        <v>13.94</v>
      </c>
      <c r="N1397" s="89">
        <f t="shared" si="189"/>
        <v>6.0000000000000497E-2</v>
      </c>
      <c r="O1397" s="89">
        <f t="shared" si="190"/>
        <v>12.540000001252519</v>
      </c>
      <c r="P1397" s="97">
        <f t="shared" si="191"/>
        <v>4.000000001252519</v>
      </c>
      <c r="Q1397" s="135">
        <f t="shared" si="194"/>
        <v>2.8840314948089622E-13</v>
      </c>
      <c r="R1397" s="89">
        <f t="shared" si="194"/>
        <v>9.9999999711596833E-5</v>
      </c>
      <c r="S1397" s="89">
        <f t="shared" si="195"/>
        <v>1.1481536214968808E-14</v>
      </c>
      <c r="T1397" s="136">
        <f t="shared" si="195"/>
        <v>0.87096358995607959</v>
      </c>
      <c r="U1397" s="137">
        <f t="shared" si="196"/>
        <v>2.8840314948089628E-9</v>
      </c>
      <c r="V1397" s="88">
        <f t="shared" si="192"/>
        <v>9.9399999987474814</v>
      </c>
      <c r="W1397" s="86">
        <f t="shared" si="197"/>
        <v>12.480000001252519</v>
      </c>
      <c r="X1397" s="90">
        <f t="shared" si="193"/>
        <v>9.9999971159685057E-3</v>
      </c>
    </row>
    <row r="1398" spans="13:24" x14ac:dyDescent="0.25">
      <c r="M1398" s="91">
        <v>13.95</v>
      </c>
      <c r="N1398" s="89">
        <f t="shared" si="189"/>
        <v>5.0000000000000711E-2</v>
      </c>
      <c r="O1398" s="89">
        <f t="shared" si="190"/>
        <v>12.550000001224008</v>
      </c>
      <c r="P1398" s="97">
        <f t="shared" si="191"/>
        <v>4.0000000012240085</v>
      </c>
      <c r="Q1398" s="135">
        <f t="shared" si="194"/>
        <v>2.8183829233211616E-13</v>
      </c>
      <c r="R1398" s="89">
        <f t="shared" si="194"/>
        <v>9.9999999718161542E-5</v>
      </c>
      <c r="S1398" s="89">
        <f t="shared" si="195"/>
        <v>1.1220184543019616E-14</v>
      </c>
      <c r="T1398" s="136">
        <f t="shared" si="195"/>
        <v>0.89125093813374401</v>
      </c>
      <c r="U1398" s="137">
        <f t="shared" si="196"/>
        <v>2.8183829233211667E-9</v>
      </c>
      <c r="V1398" s="88">
        <f t="shared" si="192"/>
        <v>9.94999999877599</v>
      </c>
      <c r="W1398" s="86">
        <f t="shared" si="197"/>
        <v>12.500000001224008</v>
      </c>
      <c r="X1398" s="90">
        <f t="shared" si="193"/>
        <v>9.9999971816170773E-3</v>
      </c>
    </row>
    <row r="1399" spans="13:24" x14ac:dyDescent="0.25">
      <c r="M1399" s="91">
        <v>13.96</v>
      </c>
      <c r="N1399" s="89">
        <f t="shared" si="189"/>
        <v>3.9999999999999147E-2</v>
      </c>
      <c r="O1399" s="89">
        <f t="shared" si="190"/>
        <v>12.560000001196148</v>
      </c>
      <c r="P1399" s="97">
        <f t="shared" si="191"/>
        <v>4.0000000011961463</v>
      </c>
      <c r="Q1399" s="135">
        <f t="shared" si="194"/>
        <v>2.7542286957523736E-13</v>
      </c>
      <c r="R1399" s="89">
        <f t="shared" si="194"/>
        <v>9.9999999724577023E-5</v>
      </c>
      <c r="S1399" s="89">
        <f t="shared" si="195"/>
        <v>1.0964781961431832E-14</v>
      </c>
      <c r="T1399" s="136">
        <f t="shared" si="195"/>
        <v>0.91201083935591154</v>
      </c>
      <c r="U1399" s="137">
        <f t="shared" si="196"/>
        <v>2.7542286957523766E-9</v>
      </c>
      <c r="V1399" s="88">
        <f t="shared" si="192"/>
        <v>9.9599999988038554</v>
      </c>
      <c r="W1399" s="86">
        <f t="shared" si="197"/>
        <v>12.520000001196149</v>
      </c>
      <c r="X1399" s="90">
        <f t="shared" si="193"/>
        <v>9.9999972457713044E-3</v>
      </c>
    </row>
    <row r="1400" spans="13:24" x14ac:dyDescent="0.25">
      <c r="M1400" s="91">
        <v>13.97</v>
      </c>
      <c r="N1400" s="89">
        <f t="shared" si="189"/>
        <v>2.9999999999999361E-2</v>
      </c>
      <c r="O1400" s="89">
        <f t="shared" si="190"/>
        <v>12.570000001168919</v>
      </c>
      <c r="P1400" s="97">
        <f t="shared" si="191"/>
        <v>4.0000000011689183</v>
      </c>
      <c r="Q1400" s="135">
        <f t="shared" si="194"/>
        <v>2.6915347966825418E-13</v>
      </c>
      <c r="R1400" s="89">
        <f t="shared" si="194"/>
        <v>9.9999999730846504E-5</v>
      </c>
      <c r="S1400" s="89">
        <f t="shared" si="195"/>
        <v>1.0715193052376047E-14</v>
      </c>
      <c r="T1400" s="136">
        <f t="shared" si="195"/>
        <v>0.93325430079699245</v>
      </c>
      <c r="U1400" s="137">
        <f t="shared" si="196"/>
        <v>2.6915347966825425E-9</v>
      </c>
      <c r="V1400" s="88">
        <f t="shared" si="192"/>
        <v>9.9699999988310815</v>
      </c>
      <c r="W1400" s="86">
        <f t="shared" si="197"/>
        <v>12.54000000116892</v>
      </c>
      <c r="X1400" s="90">
        <f t="shared" si="193"/>
        <v>9.9999973084652031E-3</v>
      </c>
    </row>
    <row r="1401" spans="13:24" x14ac:dyDescent="0.25">
      <c r="M1401" s="91">
        <v>13.98</v>
      </c>
      <c r="N1401" s="89">
        <f t="shared" si="189"/>
        <v>1.9999999999999574E-2</v>
      </c>
      <c r="O1401" s="89">
        <f t="shared" si="190"/>
        <v>12.580000001142313</v>
      </c>
      <c r="P1401" s="97">
        <f t="shared" si="191"/>
        <v>4.0000000011423111</v>
      </c>
      <c r="Q1401" s="135">
        <f t="shared" si="194"/>
        <v>2.6302679849770481E-13</v>
      </c>
      <c r="R1401" s="89">
        <f t="shared" si="194"/>
        <v>9.9999999736972991E-5</v>
      </c>
      <c r="S1401" s="89">
        <f t="shared" si="195"/>
        <v>1.047128548050898E-14</v>
      </c>
      <c r="T1401" s="136">
        <f t="shared" si="195"/>
        <v>0.95499258602143688</v>
      </c>
      <c r="U1401" s="137">
        <f t="shared" si="196"/>
        <v>2.6302679849770539E-9</v>
      </c>
      <c r="V1401" s="88">
        <f t="shared" si="192"/>
        <v>9.9799999988576893</v>
      </c>
      <c r="W1401" s="86">
        <f t="shared" si="197"/>
        <v>12.560000001142313</v>
      </c>
      <c r="X1401" s="90">
        <f t="shared" si="193"/>
        <v>9.9999973697320159E-3</v>
      </c>
    </row>
    <row r="1402" spans="13:24" x14ac:dyDescent="0.25">
      <c r="M1402" s="91">
        <v>13.99</v>
      </c>
      <c r="N1402" s="89">
        <f t="shared" si="189"/>
        <v>9.9999999999997868E-3</v>
      </c>
      <c r="O1402" s="89">
        <f t="shared" si="190"/>
        <v>12.59000000111631</v>
      </c>
      <c r="P1402" s="97">
        <f t="shared" si="191"/>
        <v>4.0000000011163088</v>
      </c>
      <c r="Q1402" s="135">
        <f t="shared" si="194"/>
        <v>2.5703957761619107E-13</v>
      </c>
      <c r="R1402" s="89">
        <f t="shared" si="194"/>
        <v>9.9999999742960376E-5</v>
      </c>
      <c r="S1402" s="89">
        <f t="shared" si="195"/>
        <v>1.0232929922807526E-14</v>
      </c>
      <c r="T1402" s="136">
        <f t="shared" si="195"/>
        <v>0.97723722095581111</v>
      </c>
      <c r="U1402" s="137">
        <f t="shared" si="196"/>
        <v>2.5703957761619121E-9</v>
      </c>
      <c r="V1402" s="88">
        <f t="shared" si="192"/>
        <v>9.9899999988836914</v>
      </c>
      <c r="W1402" s="86">
        <f t="shared" si="197"/>
        <v>12.580000001116311</v>
      </c>
      <c r="X1402" s="90">
        <f t="shared" si="193"/>
        <v>9.9999974296042238E-3</v>
      </c>
    </row>
    <row r="1403" spans="13:24" ht="15.75" thickBot="1" x14ac:dyDescent="0.3">
      <c r="M1403" s="138">
        <v>14</v>
      </c>
      <c r="N1403" s="93">
        <f t="shared" si="189"/>
        <v>0</v>
      </c>
      <c r="O1403" s="93">
        <f t="shared" si="190"/>
        <v>12.600000001090898</v>
      </c>
      <c r="P1403" s="143">
        <f t="shared" si="191"/>
        <v>4.000000001090898</v>
      </c>
      <c r="Q1403" s="144">
        <f t="shared" si="194"/>
        <v>2.5118864252000074E-13</v>
      </c>
      <c r="R1403" s="93">
        <f t="shared" si="194"/>
        <v>9.9999999748811327E-5</v>
      </c>
      <c r="S1403" s="93">
        <f t="shared" si="195"/>
        <v>1E-14</v>
      </c>
      <c r="T1403" s="145">
        <f t="shared" si="195"/>
        <v>1</v>
      </c>
      <c r="U1403" s="146">
        <f t="shared" si="196"/>
        <v>2.5118864252000083E-9</v>
      </c>
      <c r="V1403" s="147">
        <f t="shared" si="192"/>
        <v>9.999999998909102</v>
      </c>
      <c r="W1403" s="86">
        <f t="shared" si="197"/>
        <v>12.600000001090898</v>
      </c>
      <c r="X1403" s="139">
        <f t="shared" si="193"/>
        <v>9.9999974881135757E-3</v>
      </c>
    </row>
  </sheetData>
  <mergeCells count="9">
    <mergeCell ref="A1:B1"/>
    <mergeCell ref="C1:H1"/>
    <mergeCell ref="I1:L1"/>
    <mergeCell ref="M1:P1"/>
    <mergeCell ref="Q1:T1"/>
    <mergeCell ref="C2:D2"/>
    <mergeCell ref="E2:F2"/>
    <mergeCell ref="G2:H2"/>
    <mergeCell ref="K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M3" sqref="M3"/>
    </sheetView>
  </sheetViews>
  <sheetFormatPr defaultRowHeight="15" x14ac:dyDescent="0.25"/>
  <cols>
    <col min="1" max="1" width="8.85546875" bestFit="1" customWidth="1"/>
    <col min="2" max="2" width="4.7109375" bestFit="1" customWidth="1"/>
    <col min="3" max="3" width="13.7109375" bestFit="1" customWidth="1"/>
    <col min="4" max="5" width="7" bestFit="1" customWidth="1"/>
    <col min="6" max="6" width="6" bestFit="1" customWidth="1"/>
    <col min="7" max="7" width="4.5703125" bestFit="1" customWidth="1"/>
    <col min="8" max="9" width="9" bestFit="1" customWidth="1"/>
    <col min="10" max="10" width="12" bestFit="1" customWidth="1"/>
    <col min="11" max="12" width="11" bestFit="1" customWidth="1"/>
    <col min="13" max="13" width="10.28515625" customWidth="1"/>
    <col min="14" max="15" width="12" bestFit="1" customWidth="1"/>
  </cols>
  <sheetData>
    <row r="1" spans="1:19" ht="15.75" thickBot="1" x14ac:dyDescent="0.3">
      <c r="A1" s="324" t="s">
        <v>9</v>
      </c>
      <c r="B1" s="324"/>
      <c r="C1" s="75" t="s">
        <v>149</v>
      </c>
      <c r="D1" s="324" t="s">
        <v>153</v>
      </c>
      <c r="E1" s="324"/>
      <c r="F1" s="324"/>
      <c r="G1" s="324"/>
      <c r="H1" s="324"/>
      <c r="I1" s="324"/>
      <c r="J1" s="324" t="s">
        <v>156</v>
      </c>
      <c r="K1" s="324"/>
      <c r="L1" s="324"/>
      <c r="M1" s="324"/>
      <c r="N1" s="324"/>
      <c r="O1" s="324"/>
      <c r="P1" s="2"/>
      <c r="Q1" s="2"/>
      <c r="R1" s="2"/>
      <c r="S1" s="2"/>
    </row>
    <row r="2" spans="1:19" x14ac:dyDescent="0.25">
      <c r="A2" s="77" t="s">
        <v>0</v>
      </c>
      <c r="B2" s="79" t="s">
        <v>1</v>
      </c>
      <c r="C2" s="80" t="s">
        <v>150</v>
      </c>
      <c r="D2" s="77" t="s">
        <v>141</v>
      </c>
      <c r="E2" s="78" t="s">
        <v>144</v>
      </c>
      <c r="F2" s="78" t="s">
        <v>34</v>
      </c>
      <c r="G2" s="78" t="s">
        <v>147</v>
      </c>
      <c r="H2" s="78" t="s">
        <v>145</v>
      </c>
      <c r="I2" s="79" t="s">
        <v>146</v>
      </c>
      <c r="J2" s="77" t="s">
        <v>141</v>
      </c>
      <c r="K2" s="78" t="s">
        <v>144</v>
      </c>
      <c r="L2" s="78" t="s">
        <v>34</v>
      </c>
      <c r="M2" s="78" t="s">
        <v>147</v>
      </c>
      <c r="N2" s="78" t="s">
        <v>145</v>
      </c>
      <c r="O2" s="79" t="s">
        <v>146</v>
      </c>
      <c r="S2" s="1"/>
    </row>
    <row r="3" spans="1:19" ht="15.75" thickBot="1" x14ac:dyDescent="0.3">
      <c r="A3" s="170" t="s">
        <v>154</v>
      </c>
      <c r="B3" s="171" t="s">
        <v>151</v>
      </c>
      <c r="C3" s="169">
        <v>1</v>
      </c>
      <c r="D3" s="170">
        <v>78.084000000000003</v>
      </c>
      <c r="E3" s="169">
        <v>20.946000000000002</v>
      </c>
      <c r="F3" s="169">
        <v>0.93400000000000005</v>
      </c>
      <c r="G3" s="169">
        <v>0</v>
      </c>
      <c r="H3" s="169">
        <v>1.7899999999999999E-4</v>
      </c>
      <c r="I3" s="171">
        <v>5.5000000000000002E-5</v>
      </c>
      <c r="J3" s="100">
        <f>$C3*D3/100*'Henrys law constants'!$B$2*1000</f>
        <v>0.47631239999999997</v>
      </c>
      <c r="K3" s="105">
        <f>$C3*E3/100*'Henrys law constants'!$B$3*1000</f>
        <v>0.27229799999999998</v>
      </c>
      <c r="L3" s="105">
        <f>$C3*F3/100*'Henrys law constants'!$B$4*1000</f>
        <v>1.3076000000000001E-2</v>
      </c>
      <c r="M3" s="281">
        <f>$C3*G3/100*'Henrys law constants'!$B$7*1000</f>
        <v>0</v>
      </c>
      <c r="N3" s="105">
        <f>$C3*H3/100*'Henrys law constants'!$B$5*1000</f>
        <v>2.6849999999999997E-6</v>
      </c>
      <c r="O3" s="106">
        <f>$C3*I3/100*'Henrys law constants'!$B$6*1000</f>
        <v>4.2900000000000004E-7</v>
      </c>
    </row>
    <row r="4" spans="1:19" x14ac:dyDescent="0.25">
      <c r="A4" s="182" t="s">
        <v>155</v>
      </c>
      <c r="B4" s="183" t="s">
        <v>152</v>
      </c>
      <c r="C4" s="184">
        <v>0.59</v>
      </c>
      <c r="D4" s="182">
        <v>78.084000000000003</v>
      </c>
      <c r="E4" s="184">
        <v>20.946000000000002</v>
      </c>
      <c r="F4" s="184">
        <v>0.93400000000000005</v>
      </c>
      <c r="G4" s="184">
        <v>0</v>
      </c>
      <c r="H4" s="184">
        <v>1.7899999999999999E-4</v>
      </c>
      <c r="I4" s="183">
        <v>5.5000000000000002E-5</v>
      </c>
      <c r="J4" s="101">
        <f>$C4*D4/100*'Henrys law constants'!$B$2*1000</f>
        <v>0.28102431600000005</v>
      </c>
      <c r="K4" s="94">
        <f>$C4*E4/100*'Henrys law constants'!$B$3*1000</f>
        <v>0.16065582</v>
      </c>
      <c r="L4" s="94">
        <f>$C4*F4/100*'Henrys law constants'!$B$4*1000</f>
        <v>7.7148400000000006E-3</v>
      </c>
      <c r="M4" s="94">
        <f>$C4*G4/100*'Henrys law constants'!$B$7*1000</f>
        <v>0</v>
      </c>
      <c r="N4" s="94">
        <f>$C4*H4/100*'Henrys law constants'!$B$5*1000</f>
        <v>1.5841499999999999E-6</v>
      </c>
      <c r="O4" s="95">
        <f>$C4*I4/100*'Henrys law constants'!$B$6*1000</f>
        <v>2.5311000000000002E-7</v>
      </c>
    </row>
    <row r="5" spans="1:1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mergeCells count="3">
    <mergeCell ref="A1:B1"/>
    <mergeCell ref="D1:I1"/>
    <mergeCell ref="J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G5" sqref="G5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11.7109375" bestFit="1" customWidth="1"/>
    <col min="4" max="4" width="22.5703125" bestFit="1" customWidth="1"/>
    <col min="6" max="6" width="13.140625" bestFit="1" customWidth="1"/>
    <col min="7" max="7" width="14.7109375" bestFit="1" customWidth="1"/>
    <col min="8" max="8" width="11.7109375" bestFit="1" customWidth="1"/>
    <col min="9" max="9" width="22.5703125" bestFit="1" customWidth="1"/>
    <col min="10" max="10" width="9.7109375" customWidth="1"/>
    <col min="11" max="11" width="9.28515625" bestFit="1" customWidth="1"/>
    <col min="12" max="12" width="12" bestFit="1" customWidth="1"/>
  </cols>
  <sheetData>
    <row r="1" spans="1:9" ht="15.75" thickBot="1" x14ac:dyDescent="0.3">
      <c r="A1" s="153" t="s">
        <v>167</v>
      </c>
      <c r="B1" s="154" t="s">
        <v>168</v>
      </c>
      <c r="C1" s="155" t="s">
        <v>173</v>
      </c>
      <c r="D1" s="155" t="s">
        <v>258</v>
      </c>
      <c r="F1" s="155" t="s">
        <v>273</v>
      </c>
      <c r="G1" s="155" t="s">
        <v>274</v>
      </c>
      <c r="H1" s="155" t="s">
        <v>173</v>
      </c>
      <c r="I1" s="155" t="s">
        <v>258</v>
      </c>
    </row>
    <row r="2" spans="1:9" x14ac:dyDescent="0.25">
      <c r="A2" s="82" t="s">
        <v>21</v>
      </c>
      <c r="B2" s="130">
        <v>1.0079400000000001</v>
      </c>
      <c r="C2" s="157"/>
      <c r="D2" s="158">
        <v>900</v>
      </c>
      <c r="F2" s="81" t="s">
        <v>229</v>
      </c>
      <c r="G2" s="130">
        <f>2*$B$2+$B$7+3*$B$9</f>
        <v>62.024779999999993</v>
      </c>
      <c r="H2" s="157"/>
      <c r="I2" s="158"/>
    </row>
    <row r="3" spans="1:9" x14ac:dyDescent="0.25">
      <c r="A3" s="156" t="s">
        <v>22</v>
      </c>
      <c r="B3" s="91">
        <v>4.0026020000000004</v>
      </c>
      <c r="C3" s="89"/>
      <c r="D3" s="136"/>
      <c r="F3" s="162" t="s">
        <v>6</v>
      </c>
      <c r="G3" s="91">
        <f>$B$2+$B$7+3*$B$9</f>
        <v>61.016839999999995</v>
      </c>
      <c r="H3" s="89"/>
      <c r="I3" s="136">
        <v>400</v>
      </c>
    </row>
    <row r="4" spans="1:9" x14ac:dyDescent="0.25">
      <c r="A4" s="156" t="s">
        <v>23</v>
      </c>
      <c r="B4" s="91">
        <v>6.9409999999999998</v>
      </c>
      <c r="C4" s="89"/>
      <c r="D4" s="136"/>
      <c r="F4" s="162" t="s">
        <v>230</v>
      </c>
      <c r="G4" s="91">
        <f>$B$7+3*$B$9</f>
        <v>60.008899999999997</v>
      </c>
      <c r="H4" s="89">
        <v>-675.23</v>
      </c>
      <c r="I4" s="136">
        <v>450</v>
      </c>
    </row>
    <row r="5" spans="1:9" x14ac:dyDescent="0.25">
      <c r="A5" s="156" t="s">
        <v>24</v>
      </c>
      <c r="B5" s="91">
        <v>9.0121819999999992</v>
      </c>
      <c r="C5" s="89"/>
      <c r="D5" s="136"/>
      <c r="F5" s="162" t="s">
        <v>20</v>
      </c>
      <c r="G5" s="91">
        <f>$B$17+4*$B$9</f>
        <v>96.062600000000003</v>
      </c>
      <c r="H5" s="89">
        <v>-907500</v>
      </c>
      <c r="I5" s="136">
        <v>400</v>
      </c>
    </row>
    <row r="6" spans="1:9" x14ac:dyDescent="0.25">
      <c r="A6" s="156" t="s">
        <v>25</v>
      </c>
      <c r="B6" s="91">
        <v>10.811</v>
      </c>
      <c r="C6" s="89"/>
      <c r="D6" s="136"/>
      <c r="F6" s="162" t="s">
        <v>107</v>
      </c>
      <c r="G6" s="91">
        <f>$B$8+4*$B$2</f>
        <v>18.038460000000001</v>
      </c>
      <c r="H6" s="89"/>
      <c r="I6" s="136">
        <v>250</v>
      </c>
    </row>
    <row r="7" spans="1:9" x14ac:dyDescent="0.25">
      <c r="A7" s="156" t="s">
        <v>26</v>
      </c>
      <c r="B7" s="91">
        <v>12.0107</v>
      </c>
      <c r="C7" s="89"/>
      <c r="D7" s="136"/>
      <c r="F7" s="162" t="s">
        <v>120</v>
      </c>
      <c r="G7" s="91">
        <f>$B$8+3*$B$9</f>
        <v>62.004899999999999</v>
      </c>
      <c r="H7" s="89"/>
      <c r="I7" s="136">
        <v>300</v>
      </c>
    </row>
    <row r="8" spans="1:9" x14ac:dyDescent="0.25">
      <c r="A8" s="156" t="s">
        <v>27</v>
      </c>
      <c r="B8" s="91">
        <v>14.0067</v>
      </c>
      <c r="C8" s="89"/>
      <c r="D8" s="136"/>
      <c r="F8" s="162" t="s">
        <v>245</v>
      </c>
      <c r="G8" s="91">
        <f>B2+B9</f>
        <v>17.007339999999999</v>
      </c>
      <c r="H8" s="89"/>
      <c r="I8" s="136">
        <v>350</v>
      </c>
    </row>
    <row r="9" spans="1:9" x14ac:dyDescent="0.25">
      <c r="A9" s="156" t="s">
        <v>28</v>
      </c>
      <c r="B9" s="91">
        <v>15.9994</v>
      </c>
      <c r="C9" s="89"/>
      <c r="D9" s="136"/>
      <c r="F9" s="162" t="s">
        <v>251</v>
      </c>
      <c r="G9" s="91"/>
      <c r="H9" s="89"/>
      <c r="I9" s="136">
        <v>400</v>
      </c>
    </row>
    <row r="10" spans="1:9" x14ac:dyDescent="0.25">
      <c r="A10" s="156" t="s">
        <v>29</v>
      </c>
      <c r="B10" s="91">
        <v>18.998403199999998</v>
      </c>
      <c r="C10" s="89">
        <v>-329100</v>
      </c>
      <c r="D10" s="136">
        <v>350</v>
      </c>
      <c r="F10" s="162" t="s">
        <v>252</v>
      </c>
      <c r="G10" s="91"/>
      <c r="H10" s="89"/>
      <c r="I10" s="136">
        <v>400</v>
      </c>
    </row>
    <row r="11" spans="1:9" x14ac:dyDescent="0.25">
      <c r="A11" s="156" t="s">
        <v>30</v>
      </c>
      <c r="B11" s="91">
        <v>20.1797</v>
      </c>
      <c r="C11" s="89"/>
      <c r="D11" s="136"/>
      <c r="F11" s="162" t="s">
        <v>253</v>
      </c>
      <c r="G11" s="91"/>
      <c r="H11" s="89"/>
      <c r="I11" s="136">
        <v>400</v>
      </c>
    </row>
    <row r="12" spans="1:9" x14ac:dyDescent="0.25">
      <c r="A12" s="156" t="s">
        <v>3</v>
      </c>
      <c r="B12" s="91">
        <v>22.989769280000001</v>
      </c>
      <c r="C12" s="89"/>
      <c r="D12" s="136">
        <v>400</v>
      </c>
      <c r="F12" s="162" t="s">
        <v>254</v>
      </c>
      <c r="G12" s="91"/>
      <c r="H12" s="89"/>
      <c r="I12" s="136">
        <v>400</v>
      </c>
    </row>
    <row r="13" spans="1:9" x14ac:dyDescent="0.25">
      <c r="A13" s="156" t="s">
        <v>18</v>
      </c>
      <c r="B13" s="91">
        <v>24.305</v>
      </c>
      <c r="C13" s="89"/>
      <c r="D13" s="136">
        <v>800</v>
      </c>
      <c r="F13" s="162" t="s">
        <v>255</v>
      </c>
      <c r="G13" s="91"/>
      <c r="H13" s="89"/>
      <c r="I13" s="136">
        <v>300</v>
      </c>
    </row>
    <row r="14" spans="1:9" x14ac:dyDescent="0.25">
      <c r="A14" s="156" t="s">
        <v>31</v>
      </c>
      <c r="B14" s="91">
        <v>26.9815386</v>
      </c>
      <c r="C14" s="89"/>
      <c r="D14" s="136">
        <v>900</v>
      </c>
      <c r="F14" s="162" t="s">
        <v>257</v>
      </c>
      <c r="G14" s="91"/>
      <c r="H14" s="89"/>
      <c r="I14" s="136">
        <v>300</v>
      </c>
    </row>
    <row r="15" spans="1:9" x14ac:dyDescent="0.25">
      <c r="A15" s="156" t="s">
        <v>32</v>
      </c>
      <c r="B15" s="91">
        <v>28.0855</v>
      </c>
      <c r="C15" s="89"/>
      <c r="D15" s="136"/>
      <c r="F15" s="162" t="s">
        <v>299</v>
      </c>
      <c r="G15" s="91">
        <f>B34+3*B9</f>
        <v>122.92019999999999</v>
      </c>
      <c r="H15" s="89"/>
      <c r="I15" s="136"/>
    </row>
    <row r="16" spans="1:9" x14ac:dyDescent="0.25">
      <c r="A16" s="156" t="s">
        <v>33</v>
      </c>
      <c r="B16" s="91">
        <v>30.973762000000001</v>
      </c>
      <c r="C16" s="89"/>
      <c r="D16" s="136"/>
      <c r="F16" s="162" t="s">
        <v>145</v>
      </c>
      <c r="G16" s="91">
        <f>B7+4*B2</f>
        <v>16.042459999999998</v>
      </c>
      <c r="H16" s="89"/>
      <c r="I16" s="136"/>
    </row>
    <row r="17" spans="1:9" x14ac:dyDescent="0.25">
      <c r="A17" s="156" t="s">
        <v>106</v>
      </c>
      <c r="B17" s="91">
        <v>32.064999999999998</v>
      </c>
      <c r="C17" s="89"/>
      <c r="D17" s="136"/>
      <c r="F17" s="162" t="s">
        <v>303</v>
      </c>
      <c r="G17" s="91">
        <f>2*B2+B17</f>
        <v>34.080880000000001</v>
      </c>
      <c r="H17" s="89"/>
      <c r="I17" s="136"/>
    </row>
    <row r="18" spans="1:9" x14ac:dyDescent="0.25">
      <c r="A18" s="156" t="s">
        <v>19</v>
      </c>
      <c r="B18" s="91">
        <v>35.453000000000003</v>
      </c>
      <c r="C18" s="89"/>
      <c r="D18" s="136">
        <v>300</v>
      </c>
      <c r="F18" s="162" t="s">
        <v>321</v>
      </c>
      <c r="G18" s="91">
        <f>B8+2*B9</f>
        <v>46.005499999999998</v>
      </c>
      <c r="H18" s="89"/>
      <c r="I18" s="136"/>
    </row>
    <row r="19" spans="1:9" x14ac:dyDescent="0.25">
      <c r="A19" s="156" t="s">
        <v>34</v>
      </c>
      <c r="B19" s="91">
        <v>39.948</v>
      </c>
      <c r="C19" s="89"/>
      <c r="D19" s="136"/>
      <c r="F19" s="162" t="s">
        <v>298</v>
      </c>
      <c r="G19" s="91">
        <f>B34+4*B9</f>
        <v>138.9196</v>
      </c>
      <c r="H19" s="89"/>
      <c r="I19" s="136"/>
    </row>
    <row r="20" spans="1:9" x14ac:dyDescent="0.25">
      <c r="A20" s="156" t="s">
        <v>16</v>
      </c>
      <c r="B20" s="91">
        <v>39.098300000000002</v>
      </c>
      <c r="C20" s="89"/>
      <c r="D20" s="136">
        <v>300</v>
      </c>
    </row>
    <row r="21" spans="1:9" x14ac:dyDescent="0.25">
      <c r="A21" s="156" t="s">
        <v>17</v>
      </c>
      <c r="B21" s="91">
        <v>40.078000000000003</v>
      </c>
      <c r="C21" s="89">
        <v>-543000</v>
      </c>
      <c r="D21" s="136">
        <v>600</v>
      </c>
    </row>
    <row r="22" spans="1:9" x14ac:dyDescent="0.25">
      <c r="A22" s="156" t="s">
        <v>35</v>
      </c>
      <c r="B22" s="91"/>
      <c r="C22" s="89"/>
      <c r="D22" s="136"/>
    </row>
    <row r="23" spans="1:9" x14ac:dyDescent="0.25">
      <c r="A23" s="156" t="s">
        <v>36</v>
      </c>
      <c r="B23" s="91"/>
      <c r="C23" s="89"/>
      <c r="D23" s="136"/>
    </row>
    <row r="24" spans="1:9" x14ac:dyDescent="0.25">
      <c r="A24" s="156" t="s">
        <v>37</v>
      </c>
      <c r="B24" s="91"/>
      <c r="C24" s="89"/>
      <c r="D24" s="136"/>
    </row>
    <row r="25" spans="1:9" x14ac:dyDescent="0.25">
      <c r="A25" s="156" t="s">
        <v>38</v>
      </c>
      <c r="B25" s="91"/>
      <c r="C25" s="89"/>
      <c r="D25" s="136"/>
    </row>
    <row r="26" spans="1:9" x14ac:dyDescent="0.25">
      <c r="A26" s="156" t="s">
        <v>39</v>
      </c>
      <c r="B26" s="91">
        <v>54.938000000000002</v>
      </c>
      <c r="C26" s="89"/>
      <c r="D26" s="136">
        <v>600</v>
      </c>
    </row>
    <row r="27" spans="1:9" x14ac:dyDescent="0.25">
      <c r="A27" s="156" t="s">
        <v>40</v>
      </c>
      <c r="B27" s="91">
        <v>55.844999999999999</v>
      </c>
      <c r="C27" s="89"/>
      <c r="D27" s="136">
        <v>600</v>
      </c>
    </row>
    <row r="28" spans="1:9" x14ac:dyDescent="0.25">
      <c r="A28" s="156" t="s">
        <v>41</v>
      </c>
      <c r="B28" s="91"/>
      <c r="C28" s="89"/>
      <c r="D28" s="136"/>
    </row>
    <row r="29" spans="1:9" x14ac:dyDescent="0.25">
      <c r="A29" s="156" t="s">
        <v>42</v>
      </c>
      <c r="B29" s="91"/>
      <c r="C29" s="89"/>
      <c r="D29" s="136"/>
    </row>
    <row r="30" spans="1:9" x14ac:dyDescent="0.25">
      <c r="A30" s="156" t="s">
        <v>43</v>
      </c>
      <c r="B30" s="91"/>
      <c r="C30" s="89"/>
      <c r="D30" s="136">
        <v>600</v>
      </c>
    </row>
    <row r="31" spans="1:9" x14ac:dyDescent="0.25">
      <c r="A31" s="156" t="s">
        <v>44</v>
      </c>
      <c r="B31" s="91"/>
      <c r="C31" s="89"/>
      <c r="D31" s="136">
        <v>600</v>
      </c>
    </row>
    <row r="32" spans="1:9" x14ac:dyDescent="0.25">
      <c r="A32" s="156" t="s">
        <v>45</v>
      </c>
      <c r="B32" s="91"/>
      <c r="C32" s="89"/>
      <c r="D32" s="136"/>
    </row>
    <row r="33" spans="1:4" x14ac:dyDescent="0.25">
      <c r="A33" s="156" t="s">
        <v>46</v>
      </c>
      <c r="B33" s="91"/>
      <c r="C33" s="89"/>
      <c r="D33" s="136"/>
    </row>
    <row r="34" spans="1:4" x14ac:dyDescent="0.25">
      <c r="A34" s="156" t="s">
        <v>47</v>
      </c>
      <c r="B34" s="91">
        <v>74.921999999999997</v>
      </c>
      <c r="C34" s="89"/>
      <c r="D34" s="136"/>
    </row>
    <row r="35" spans="1:4" x14ac:dyDescent="0.25">
      <c r="A35" s="156" t="s">
        <v>48</v>
      </c>
      <c r="B35" s="91"/>
      <c r="C35" s="89"/>
      <c r="D35" s="136"/>
    </row>
    <row r="36" spans="1:4" x14ac:dyDescent="0.25">
      <c r="A36" s="156" t="s">
        <v>49</v>
      </c>
      <c r="B36" s="91"/>
      <c r="C36" s="89"/>
      <c r="D36" s="136"/>
    </row>
    <row r="37" spans="1:4" x14ac:dyDescent="0.25">
      <c r="A37" s="156" t="s">
        <v>50</v>
      </c>
      <c r="B37" s="91"/>
      <c r="C37" s="89"/>
      <c r="D37" s="136"/>
    </row>
    <row r="38" spans="1:4" x14ac:dyDescent="0.25">
      <c r="A38" s="156" t="s">
        <v>51</v>
      </c>
      <c r="B38" s="91"/>
      <c r="C38" s="89"/>
      <c r="D38" s="136"/>
    </row>
    <row r="39" spans="1:4" x14ac:dyDescent="0.25">
      <c r="A39" s="156" t="s">
        <v>52</v>
      </c>
      <c r="B39" s="91"/>
      <c r="C39" s="89"/>
      <c r="D39" s="136">
        <v>500</v>
      </c>
    </row>
    <row r="40" spans="1:4" x14ac:dyDescent="0.25">
      <c r="A40" s="156" t="s">
        <v>53</v>
      </c>
      <c r="B40" s="91"/>
      <c r="C40" s="89"/>
      <c r="D40" s="136"/>
    </row>
    <row r="41" spans="1:4" x14ac:dyDescent="0.25">
      <c r="A41" s="156" t="s">
        <v>54</v>
      </c>
      <c r="B41" s="91"/>
      <c r="C41" s="89"/>
      <c r="D41" s="136"/>
    </row>
    <row r="42" spans="1:4" x14ac:dyDescent="0.25">
      <c r="A42" s="156" t="s">
        <v>55</v>
      </c>
      <c r="B42" s="91"/>
      <c r="C42" s="89"/>
      <c r="D42" s="136"/>
    </row>
    <row r="43" spans="1:4" x14ac:dyDescent="0.25">
      <c r="A43" s="156" t="s">
        <v>56</v>
      </c>
      <c r="B43" s="91"/>
      <c r="C43" s="89"/>
      <c r="D43" s="136"/>
    </row>
    <row r="44" spans="1:4" x14ac:dyDescent="0.25">
      <c r="A44" s="156" t="s">
        <v>57</v>
      </c>
      <c r="B44" s="91"/>
      <c r="C44" s="89"/>
      <c r="D44" s="136"/>
    </row>
    <row r="45" spans="1:4" x14ac:dyDescent="0.25">
      <c r="A45" s="156" t="s">
        <v>58</v>
      </c>
      <c r="B45" s="91"/>
      <c r="C45" s="89"/>
      <c r="D45" s="136"/>
    </row>
    <row r="46" spans="1:4" x14ac:dyDescent="0.25">
      <c r="A46" s="156" t="s">
        <v>59</v>
      </c>
      <c r="B46" s="91"/>
      <c r="C46" s="89"/>
      <c r="D46" s="136"/>
    </row>
    <row r="47" spans="1:4" x14ac:dyDescent="0.25">
      <c r="A47" s="156" t="s">
        <v>60</v>
      </c>
      <c r="B47" s="91"/>
      <c r="C47" s="89"/>
      <c r="D47" s="136"/>
    </row>
    <row r="48" spans="1:4" x14ac:dyDescent="0.25">
      <c r="A48" s="156" t="s">
        <v>61</v>
      </c>
      <c r="B48" s="91"/>
      <c r="C48" s="89"/>
      <c r="D48" s="136">
        <v>250</v>
      </c>
    </row>
    <row r="49" spans="1:4" x14ac:dyDescent="0.25">
      <c r="A49" s="156" t="s">
        <v>62</v>
      </c>
      <c r="B49" s="91"/>
      <c r="C49" s="89"/>
      <c r="D49" s="136"/>
    </row>
    <row r="50" spans="1:4" x14ac:dyDescent="0.25">
      <c r="A50" s="156" t="s">
        <v>63</v>
      </c>
      <c r="B50" s="91"/>
      <c r="C50" s="89"/>
      <c r="D50" s="136"/>
    </row>
    <row r="51" spans="1:4" x14ac:dyDescent="0.25">
      <c r="A51" s="156" t="s">
        <v>64</v>
      </c>
      <c r="B51" s="91"/>
      <c r="C51" s="89"/>
      <c r="D51" s="136">
        <v>600</v>
      </c>
    </row>
    <row r="52" spans="1:4" x14ac:dyDescent="0.25">
      <c r="A52" s="156" t="s">
        <v>65</v>
      </c>
      <c r="B52" s="91"/>
      <c r="C52" s="89"/>
      <c r="D52" s="136"/>
    </row>
    <row r="53" spans="1:4" x14ac:dyDescent="0.25">
      <c r="A53" s="156" t="s">
        <v>66</v>
      </c>
      <c r="B53" s="91"/>
      <c r="C53" s="89"/>
      <c r="D53" s="136"/>
    </row>
    <row r="54" spans="1:4" x14ac:dyDescent="0.25">
      <c r="A54" s="156" t="s">
        <v>256</v>
      </c>
      <c r="B54" s="91"/>
      <c r="C54" s="89"/>
      <c r="D54" s="136">
        <v>300</v>
      </c>
    </row>
    <row r="55" spans="1:4" x14ac:dyDescent="0.25">
      <c r="A55" s="156" t="s">
        <v>67</v>
      </c>
      <c r="B55" s="91"/>
      <c r="C55" s="89"/>
      <c r="D55" s="136"/>
    </row>
    <row r="56" spans="1:4" x14ac:dyDescent="0.25">
      <c r="A56" s="156" t="s">
        <v>68</v>
      </c>
      <c r="B56" s="91"/>
      <c r="C56" s="89"/>
      <c r="D56" s="136"/>
    </row>
    <row r="57" spans="1:4" x14ac:dyDescent="0.25">
      <c r="A57" s="156" t="s">
        <v>69</v>
      </c>
      <c r="B57" s="91"/>
      <c r="C57" s="89"/>
      <c r="D57" s="136">
        <v>500</v>
      </c>
    </row>
    <row r="58" spans="1:4" x14ac:dyDescent="0.25">
      <c r="A58" s="156" t="s">
        <v>70</v>
      </c>
      <c r="B58" s="91"/>
      <c r="C58" s="89"/>
      <c r="D58" s="136">
        <v>900</v>
      </c>
    </row>
    <row r="59" spans="1:4" x14ac:dyDescent="0.25">
      <c r="A59" s="156" t="s">
        <v>71</v>
      </c>
      <c r="B59" s="91"/>
      <c r="C59" s="89"/>
      <c r="D59" s="136">
        <v>900</v>
      </c>
    </row>
    <row r="60" spans="1:4" x14ac:dyDescent="0.25">
      <c r="A60" s="156" t="s">
        <v>72</v>
      </c>
      <c r="B60" s="91"/>
      <c r="C60" s="89"/>
      <c r="D60" s="136"/>
    </row>
    <row r="61" spans="1:4" x14ac:dyDescent="0.25">
      <c r="A61" s="156" t="s">
        <v>73</v>
      </c>
      <c r="B61" s="91"/>
      <c r="C61" s="89"/>
      <c r="D61" s="136"/>
    </row>
    <row r="62" spans="1:4" x14ac:dyDescent="0.25">
      <c r="A62" s="156" t="s">
        <v>74</v>
      </c>
      <c r="B62" s="91"/>
      <c r="C62" s="89"/>
      <c r="D62" s="136"/>
    </row>
    <row r="63" spans="1:4" x14ac:dyDescent="0.25">
      <c r="A63" s="156" t="s">
        <v>75</v>
      </c>
      <c r="B63" s="91"/>
      <c r="C63" s="89"/>
      <c r="D63" s="136"/>
    </row>
    <row r="64" spans="1:4" x14ac:dyDescent="0.25">
      <c r="A64" s="156" t="s">
        <v>76</v>
      </c>
      <c r="B64" s="91"/>
      <c r="C64" s="89"/>
      <c r="D64" s="136"/>
    </row>
    <row r="65" spans="1:4" x14ac:dyDescent="0.25">
      <c r="A65" s="156" t="s">
        <v>77</v>
      </c>
      <c r="B65" s="91"/>
      <c r="C65" s="89"/>
      <c r="D65" s="136"/>
    </row>
    <row r="66" spans="1:4" x14ac:dyDescent="0.25">
      <c r="A66" s="156" t="s">
        <v>78</v>
      </c>
      <c r="B66" s="91"/>
      <c r="C66" s="89"/>
      <c r="D66" s="136"/>
    </row>
    <row r="67" spans="1:4" x14ac:dyDescent="0.25">
      <c r="A67" s="156" t="s">
        <v>79</v>
      </c>
      <c r="B67" s="91"/>
      <c r="C67" s="89"/>
      <c r="D67" s="136"/>
    </row>
    <row r="68" spans="1:4" x14ac:dyDescent="0.25">
      <c r="A68" s="156" t="s">
        <v>80</v>
      </c>
      <c r="B68" s="91"/>
      <c r="C68" s="89"/>
      <c r="D68" s="136"/>
    </row>
    <row r="69" spans="1:4" x14ac:dyDescent="0.25">
      <c r="A69" s="156" t="s">
        <v>81</v>
      </c>
      <c r="B69" s="91"/>
      <c r="C69" s="89"/>
      <c r="D69" s="136"/>
    </row>
    <row r="70" spans="1:4" x14ac:dyDescent="0.25">
      <c r="A70" s="156" t="s">
        <v>82</v>
      </c>
      <c r="B70" s="91"/>
      <c r="C70" s="89"/>
      <c r="D70" s="136"/>
    </row>
    <row r="71" spans="1:4" x14ac:dyDescent="0.25">
      <c r="A71" s="156" t="s">
        <v>83</v>
      </c>
      <c r="B71" s="91"/>
      <c r="C71" s="89"/>
      <c r="D71" s="136"/>
    </row>
    <row r="72" spans="1:4" x14ac:dyDescent="0.25">
      <c r="A72" s="156" t="s">
        <v>84</v>
      </c>
      <c r="B72" s="91"/>
      <c r="C72" s="89"/>
      <c r="D72" s="136"/>
    </row>
    <row r="73" spans="1:4" x14ac:dyDescent="0.25">
      <c r="A73" s="156" t="s">
        <v>85</v>
      </c>
      <c r="B73" s="91"/>
      <c r="C73" s="89"/>
      <c r="D73" s="136"/>
    </row>
    <row r="74" spans="1:4" x14ac:dyDescent="0.25">
      <c r="A74" s="156" t="s">
        <v>86</v>
      </c>
      <c r="B74" s="91"/>
      <c r="C74" s="89"/>
      <c r="D74" s="136"/>
    </row>
    <row r="75" spans="1:4" x14ac:dyDescent="0.25">
      <c r="A75" s="156" t="s">
        <v>87</v>
      </c>
      <c r="B75" s="91"/>
      <c r="C75" s="89"/>
      <c r="D75" s="136"/>
    </row>
    <row r="76" spans="1:4" x14ac:dyDescent="0.25">
      <c r="A76" s="156" t="s">
        <v>88</v>
      </c>
      <c r="B76" s="91"/>
      <c r="C76" s="89"/>
      <c r="D76" s="136"/>
    </row>
    <row r="77" spans="1:4" x14ac:dyDescent="0.25">
      <c r="A77" s="156" t="s">
        <v>89</v>
      </c>
      <c r="B77" s="91"/>
      <c r="C77" s="89"/>
      <c r="D77" s="136"/>
    </row>
    <row r="78" spans="1:4" x14ac:dyDescent="0.25">
      <c r="A78" s="156" t="s">
        <v>90</v>
      </c>
      <c r="B78" s="91"/>
      <c r="C78" s="89"/>
      <c r="D78" s="136"/>
    </row>
    <row r="79" spans="1:4" x14ac:dyDescent="0.25">
      <c r="A79" s="156" t="s">
        <v>91</v>
      </c>
      <c r="B79" s="91"/>
      <c r="C79" s="89"/>
      <c r="D79" s="136"/>
    </row>
    <row r="80" spans="1:4" x14ac:dyDescent="0.25">
      <c r="A80" s="156" t="s">
        <v>92</v>
      </c>
      <c r="B80" s="91"/>
      <c r="C80" s="89"/>
      <c r="D80" s="136"/>
    </row>
    <row r="81" spans="1:4" x14ac:dyDescent="0.25">
      <c r="A81" s="156" t="s">
        <v>93</v>
      </c>
      <c r="B81" s="91"/>
      <c r="C81" s="89"/>
      <c r="D81" s="136"/>
    </row>
    <row r="82" spans="1:4" x14ac:dyDescent="0.25">
      <c r="A82" s="156" t="s">
        <v>94</v>
      </c>
      <c r="B82" s="91"/>
      <c r="C82" s="89"/>
      <c r="D82" s="136"/>
    </row>
    <row r="83" spans="1:4" x14ac:dyDescent="0.25">
      <c r="A83" s="156" t="s">
        <v>95</v>
      </c>
      <c r="B83" s="91"/>
      <c r="C83" s="89"/>
      <c r="D83" s="136">
        <v>500</v>
      </c>
    </row>
    <row r="84" spans="1:4" x14ac:dyDescent="0.25">
      <c r="A84" s="156" t="s">
        <v>96</v>
      </c>
      <c r="B84" s="91"/>
      <c r="C84" s="89"/>
      <c r="D84" s="136"/>
    </row>
    <row r="85" spans="1:4" x14ac:dyDescent="0.25">
      <c r="A85" s="156" t="s">
        <v>97</v>
      </c>
      <c r="B85" s="91"/>
      <c r="C85" s="89"/>
      <c r="D85" s="136"/>
    </row>
    <row r="86" spans="1:4" x14ac:dyDescent="0.25">
      <c r="A86" s="156" t="s">
        <v>98</v>
      </c>
      <c r="B86" s="91"/>
      <c r="C86" s="89"/>
      <c r="D86" s="136"/>
    </row>
    <row r="87" spans="1:4" x14ac:dyDescent="0.25">
      <c r="A87" s="156" t="s">
        <v>99</v>
      </c>
      <c r="B87" s="91"/>
      <c r="C87" s="89"/>
      <c r="D87" s="136"/>
    </row>
    <row r="88" spans="1:4" x14ac:dyDescent="0.25">
      <c r="A88" s="156" t="s">
        <v>100</v>
      </c>
      <c r="B88" s="91"/>
      <c r="C88" s="89"/>
      <c r="D88" s="136"/>
    </row>
    <row r="89" spans="1:4" x14ac:dyDescent="0.25">
      <c r="A89" s="156" t="s">
        <v>101</v>
      </c>
      <c r="B89" s="91"/>
      <c r="C89" s="89"/>
      <c r="D89" s="136"/>
    </row>
    <row r="90" spans="1:4" x14ac:dyDescent="0.25">
      <c r="A90" s="156" t="s">
        <v>102</v>
      </c>
      <c r="B90" s="91"/>
      <c r="C90" s="89"/>
      <c r="D90" s="136"/>
    </row>
    <row r="91" spans="1:4" x14ac:dyDescent="0.25">
      <c r="A91" s="156" t="s">
        <v>103</v>
      </c>
      <c r="B91" s="91"/>
      <c r="C91" s="89"/>
      <c r="D91" s="136"/>
    </row>
    <row r="92" spans="1:4" x14ac:dyDescent="0.25">
      <c r="A92" s="156" t="s">
        <v>104</v>
      </c>
      <c r="B92" s="91"/>
      <c r="C92" s="89"/>
      <c r="D92" s="136"/>
    </row>
    <row r="93" spans="1:4" x14ac:dyDescent="0.25">
      <c r="A93" s="156" t="s">
        <v>105</v>
      </c>
      <c r="B93" s="159"/>
      <c r="C93" s="160"/>
      <c r="D93" s="1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6" sqref="J16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9.85546875" bestFit="1" customWidth="1"/>
    <col min="4" max="4" width="11.7109375" bestFit="1" customWidth="1"/>
    <col min="5" max="5" width="12.140625" bestFit="1" customWidth="1"/>
  </cols>
  <sheetData>
    <row r="1" spans="1:10" ht="15.75" thickBot="1" x14ac:dyDescent="0.3">
      <c r="A1" s="166"/>
      <c r="B1" s="164" t="s">
        <v>275</v>
      </c>
      <c r="C1" s="154" t="s">
        <v>169</v>
      </c>
      <c r="D1" s="155" t="s">
        <v>173</v>
      </c>
      <c r="E1" s="155" t="s">
        <v>174</v>
      </c>
    </row>
    <row r="2" spans="1:10" x14ac:dyDescent="0.25">
      <c r="A2" s="165" t="s">
        <v>157</v>
      </c>
      <c r="B2" s="130"/>
      <c r="C2" s="167">
        <v>2.6919999999999999E-11</v>
      </c>
      <c r="D2" s="157">
        <v>-1229260</v>
      </c>
      <c r="E2" s="158">
        <f>-(D2-'Elements and ions'!C21-2*'Elements and ions'!C10)</f>
        <v>28060</v>
      </c>
    </row>
    <row r="3" spans="1:10" x14ac:dyDescent="0.25">
      <c r="A3" s="156" t="s">
        <v>158</v>
      </c>
      <c r="B3" s="91"/>
      <c r="C3" s="168">
        <v>2.512E-5</v>
      </c>
      <c r="D3" s="89">
        <v>-2022628</v>
      </c>
      <c r="E3" s="136">
        <f>-(D3-'Elements and ions'!$C$21-'Elements and ions'!$H$5)</f>
        <v>572128</v>
      </c>
    </row>
    <row r="4" spans="1:10" x14ac:dyDescent="0.25">
      <c r="A4" s="156" t="s">
        <v>166</v>
      </c>
      <c r="B4" s="91"/>
      <c r="C4" s="168">
        <v>4.3652000000000002E-5</v>
      </c>
      <c r="D4" s="89">
        <v>-1434110</v>
      </c>
      <c r="E4" s="136">
        <f>-(D4-'Elements and ions'!$C$21-'Elements and ions'!$H$5)</f>
        <v>-16390</v>
      </c>
    </row>
    <row r="5" spans="1:10" x14ac:dyDescent="0.25">
      <c r="A5" s="156" t="s">
        <v>171</v>
      </c>
      <c r="B5" s="91">
        <f>'Elements and ions'!$B$21+'Elements and ions'!$B$7+3*'Elements and ions'!$B$9</f>
        <v>100.0869</v>
      </c>
      <c r="C5" s="168">
        <v>4.4699999999999997E-9</v>
      </c>
      <c r="D5" s="89">
        <v>-1207430</v>
      </c>
      <c r="E5" s="136">
        <f>D5-'Elements and ions'!$C$21-'Elements and ions'!$H$4</f>
        <v>-663754.77</v>
      </c>
    </row>
    <row r="6" spans="1:10" x14ac:dyDescent="0.25">
      <c r="A6" s="156" t="s">
        <v>170</v>
      </c>
      <c r="B6" s="91">
        <f>'Elements and ions'!$B$21+'Elements and ions'!$B$7+3*'Elements and ions'!$B$9</f>
        <v>100.0869</v>
      </c>
      <c r="C6" s="168">
        <v>3.3099999999999999E-9</v>
      </c>
      <c r="D6" s="89">
        <v>-1207370</v>
      </c>
      <c r="E6" s="136">
        <f>D6-'Elements and ions'!$C$21-'Elements and ions'!$H$4</f>
        <v>-663694.77</v>
      </c>
    </row>
    <row r="7" spans="1:10" x14ac:dyDescent="0.25">
      <c r="A7" s="156" t="s">
        <v>128</v>
      </c>
      <c r="B7" s="91">
        <f>'Elements and ions'!B$20+'Elements and ions'!B$14+3*'Elements and ions'!B$15+8*'Elements and ions'!B$9</f>
        <v>278.33153859999999</v>
      </c>
      <c r="C7" s="89"/>
      <c r="D7" s="89"/>
      <c r="E7" s="136"/>
    </row>
    <row r="8" spans="1:10" x14ac:dyDescent="0.25">
      <c r="A8" s="156" t="s">
        <v>129</v>
      </c>
      <c r="B8" s="91">
        <f>'Elements and ions'!B$12+'Elements and ions'!B$14+3*'Elements and ions'!B$15+8*'Elements and ions'!B$9</f>
        <v>262.22300788000001</v>
      </c>
      <c r="C8" s="89"/>
      <c r="D8" s="89"/>
      <c r="E8" s="136"/>
    </row>
    <row r="9" spans="1:10" x14ac:dyDescent="0.25">
      <c r="A9" s="181" t="s">
        <v>130</v>
      </c>
      <c r="B9" s="101">
        <f>'Elements and ions'!B$21+2*'Elements and ions'!B$14+2*'Elements and ions'!B$15+8*'Elements and ions'!B$9</f>
        <v>278.20727720000002</v>
      </c>
      <c r="C9" s="94"/>
      <c r="D9" s="94"/>
      <c r="E9" s="150"/>
    </row>
    <row r="10" spans="1:10" x14ac:dyDescent="0.25">
      <c r="A10" s="4"/>
      <c r="B10" s="4"/>
      <c r="C10" s="4"/>
      <c r="D10" s="4"/>
      <c r="E10" s="4"/>
    </row>
    <row r="15" spans="1:10" x14ac:dyDescent="0.25">
      <c r="J15">
        <f>LOG(C3)</f>
        <v>-4.5999803649348419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7" sqref="B7"/>
    </sheetView>
  </sheetViews>
  <sheetFormatPr defaultRowHeight="15" x14ac:dyDescent="0.25"/>
  <cols>
    <col min="1" max="1" width="4.5703125" bestFit="1" customWidth="1"/>
    <col min="2" max="2" width="12" bestFit="1" customWidth="1"/>
    <col min="13" max="13" width="11" bestFit="1" customWidth="1"/>
  </cols>
  <sheetData>
    <row r="1" spans="1:15" ht="15.75" thickBot="1" x14ac:dyDescent="0.3">
      <c r="A1" s="166" t="s">
        <v>142</v>
      </c>
      <c r="B1" s="174" t="s">
        <v>143</v>
      </c>
    </row>
    <row r="2" spans="1:15" x14ac:dyDescent="0.25">
      <c r="A2" s="173" t="s">
        <v>141</v>
      </c>
      <c r="B2" s="175">
        <v>6.0999999999999997E-4</v>
      </c>
      <c r="L2" t="s">
        <v>282</v>
      </c>
      <c r="M2" t="s">
        <v>336</v>
      </c>
      <c r="N2" t="s">
        <v>150</v>
      </c>
      <c r="O2" t="s">
        <v>337</v>
      </c>
    </row>
    <row r="3" spans="1:15" x14ac:dyDescent="0.25">
      <c r="A3" s="172" t="s">
        <v>144</v>
      </c>
      <c r="B3" s="176">
        <v>1.2999999999999999E-3</v>
      </c>
      <c r="G3" t="s">
        <v>147</v>
      </c>
      <c r="K3" t="s">
        <v>332</v>
      </c>
      <c r="L3" s="6">
        <v>0.6</v>
      </c>
      <c r="M3">
        <f>L3/32000</f>
        <v>1.8749999999999998E-5</v>
      </c>
      <c r="N3">
        <f>M3/$B$3</f>
        <v>1.4423076923076922E-2</v>
      </c>
      <c r="O3">
        <f>LOG(N3)</f>
        <v>-1.8409420802430991</v>
      </c>
    </row>
    <row r="4" spans="1:15" x14ac:dyDescent="0.25">
      <c r="A4" s="172" t="s">
        <v>34</v>
      </c>
      <c r="B4" s="176">
        <v>1.4E-3</v>
      </c>
      <c r="K4" t="s">
        <v>147</v>
      </c>
      <c r="L4">
        <v>0.47</v>
      </c>
      <c r="M4">
        <f>L4/44010</f>
        <v>1.0679391047489206E-5</v>
      </c>
      <c r="N4">
        <f>M4/$B$7</f>
        <v>3.1409973669085895E-4</v>
      </c>
      <c r="O4">
        <f>LOG(N4)</f>
        <v>-3.5029324276694829</v>
      </c>
    </row>
    <row r="5" spans="1:15" x14ac:dyDescent="0.25">
      <c r="A5" s="172" t="s">
        <v>145</v>
      </c>
      <c r="B5" s="176">
        <v>1.5E-3</v>
      </c>
      <c r="K5" t="s">
        <v>332</v>
      </c>
      <c r="L5">
        <v>7.3</v>
      </c>
      <c r="M5">
        <v>2.0000000000000001E-4</v>
      </c>
      <c r="N5">
        <f>M5/$B$3</f>
        <v>0.15384615384615385</v>
      </c>
      <c r="O5">
        <f>LOG(N5)</f>
        <v>-0.81291335664285558</v>
      </c>
    </row>
    <row r="6" spans="1:15" x14ac:dyDescent="0.25">
      <c r="A6" s="172" t="s">
        <v>146</v>
      </c>
      <c r="B6" s="176">
        <v>7.7999999999999999E-4</v>
      </c>
      <c r="G6">
        <v>4.6196677121581303E-3</v>
      </c>
      <c r="H6">
        <f>G6/B7</f>
        <v>0.13587257976935677</v>
      </c>
    </row>
    <row r="7" spans="1:15" x14ac:dyDescent="0.25">
      <c r="A7" s="172" t="s">
        <v>147</v>
      </c>
      <c r="B7" s="176">
        <v>3.4000000000000002E-2</v>
      </c>
      <c r="H7">
        <f>LOG(H6)</f>
        <v>-0.86686817870822153</v>
      </c>
    </row>
    <row r="8" spans="1:15" x14ac:dyDescent="0.25">
      <c r="A8" s="185" t="s">
        <v>148</v>
      </c>
      <c r="B8" s="186">
        <v>9.5E-4</v>
      </c>
    </row>
    <row r="9" spans="1:15" x14ac:dyDescent="0.25">
      <c r="A9" s="4"/>
      <c r="B9" s="4"/>
      <c r="L9" s="6">
        <f>[1]Raw!L6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5" x14ac:dyDescent="0.25"/>
  <sheetData>
    <row r="1" spans="1:3" ht="15.75" thickBot="1" x14ac:dyDescent="0.3">
      <c r="A1" s="76" t="s">
        <v>276</v>
      </c>
      <c r="B1" s="179" t="s">
        <v>277</v>
      </c>
      <c r="C1" s="180" t="s">
        <v>278</v>
      </c>
    </row>
    <row r="2" spans="1:3" x14ac:dyDescent="0.25">
      <c r="A2" s="187" t="s">
        <v>164</v>
      </c>
      <c r="B2" s="188">
        <v>8.3140000000000001</v>
      </c>
      <c r="C2" s="189" t="s">
        <v>172</v>
      </c>
    </row>
    <row r="3" spans="1:3" x14ac:dyDescent="0.25">
      <c r="A3" s="4"/>
      <c r="B3" s="4"/>
      <c r="C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ppm-mgL-1</vt:lpstr>
      <vt:lpstr>WC samples</vt:lpstr>
      <vt:lpstr>Stiff and Piper</vt:lpstr>
      <vt:lpstr>Bjerrum Plot</vt:lpstr>
      <vt:lpstr>Gas Solubility</vt:lpstr>
      <vt:lpstr>Elements and ions</vt:lpstr>
      <vt:lpstr>Minerals</vt:lpstr>
      <vt:lpstr>Henrys law constants</vt:lpstr>
      <vt:lpstr>Other Constants</vt:lpstr>
      <vt:lpstr>pKa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Carlson</dc:creator>
  <cp:lastModifiedBy>Carlson, Peter E</cp:lastModifiedBy>
  <dcterms:created xsi:type="dcterms:W3CDTF">2013-01-17T15:16:24Z</dcterms:created>
  <dcterms:modified xsi:type="dcterms:W3CDTF">2018-06-14T22:01:20Z</dcterms:modified>
</cp:coreProperties>
</file>