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85" yWindow="1965" windowWidth="17235" windowHeight="4185"/>
  </bookViews>
  <sheets>
    <sheet name="Piper Plot" sheetId="3" r:id="rId1"/>
    <sheet name="Elements and ions" sheetId="2" r:id="rId2"/>
    <sheet name="Instructions" sheetId="11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L15" i="3" l="1"/>
  <c r="AM15" i="3"/>
  <c r="AS15" i="3"/>
  <c r="AT15" i="3"/>
  <c r="BC15" i="3"/>
  <c r="BD15" i="3"/>
  <c r="BE15" i="3"/>
  <c r="BF15" i="3"/>
  <c r="AL16" i="3"/>
  <c r="AS17" i="3"/>
  <c r="AT17" i="3"/>
  <c r="BE17" i="3"/>
  <c r="BF17" i="3"/>
  <c r="AT18" i="3"/>
  <c r="BD18" i="3"/>
  <c r="BF18" i="3"/>
  <c r="AT20" i="3"/>
  <c r="BF20" i="3"/>
  <c r="AT21" i="3"/>
  <c r="BD21" i="3"/>
  <c r="BF21" i="3"/>
  <c r="AT23" i="3"/>
  <c r="BF23" i="3"/>
  <c r="AT24" i="3"/>
  <c r="BD24" i="3"/>
  <c r="BF24" i="3"/>
  <c r="AT26" i="3"/>
  <c r="BF26" i="3"/>
  <c r="AT27" i="3"/>
  <c r="BD27" i="3"/>
  <c r="BF27" i="3"/>
  <c r="AT29" i="3"/>
  <c r="BF29" i="3"/>
  <c r="AT30" i="3"/>
  <c r="BD30" i="3"/>
  <c r="BF30" i="3"/>
  <c r="AT32" i="3"/>
  <c r="BF32" i="3"/>
  <c r="AT33" i="3"/>
  <c r="BD33" i="3"/>
  <c r="BF33" i="3"/>
  <c r="AT35" i="3"/>
  <c r="BF35" i="3"/>
  <c r="AT36" i="3"/>
  <c r="BD36" i="3"/>
  <c r="BF36" i="3"/>
  <c r="AT38" i="3"/>
  <c r="BF38" i="3"/>
  <c r="AT39" i="3"/>
  <c r="BD39" i="3"/>
  <c r="BF39" i="3"/>
  <c r="AT41" i="3"/>
  <c r="BF41" i="3"/>
  <c r="AT42" i="3"/>
  <c r="BD42" i="3"/>
  <c r="BF42" i="3"/>
  <c r="AT44" i="3"/>
  <c r="BF44" i="3"/>
  <c r="AT45" i="3"/>
  <c r="BD45" i="3"/>
  <c r="BF45" i="3"/>
  <c r="AT47" i="3"/>
  <c r="BF47" i="3"/>
  <c r="AT48" i="3"/>
  <c r="BD48" i="3"/>
  <c r="BF48" i="3"/>
  <c r="AT50" i="3"/>
  <c r="BF50" i="3"/>
  <c r="AT51" i="3"/>
  <c r="BD51" i="3"/>
  <c r="BF51" i="3"/>
  <c r="AT53" i="3"/>
  <c r="BF53" i="3"/>
  <c r="AT54" i="3"/>
  <c r="BD54" i="3"/>
  <c r="BF54" i="3"/>
  <c r="AT56" i="3"/>
  <c r="BF56" i="3"/>
  <c r="AT57" i="3"/>
  <c r="BD57" i="3"/>
  <c r="BF57" i="3"/>
  <c r="AT59" i="3"/>
  <c r="BF59" i="3"/>
  <c r="AT60" i="3"/>
  <c r="BD60" i="3"/>
  <c r="BF60" i="3"/>
  <c r="AT62" i="3"/>
  <c r="BF62" i="3"/>
  <c r="AT63" i="3"/>
  <c r="BD63" i="3"/>
  <c r="BF63" i="3"/>
  <c r="AT65" i="3"/>
  <c r="BF65" i="3"/>
  <c r="AT66" i="3"/>
  <c r="BD66" i="3"/>
  <c r="BF66" i="3"/>
  <c r="AT68" i="3"/>
  <c r="BF68" i="3"/>
  <c r="AT69" i="3"/>
  <c r="BD69" i="3"/>
  <c r="BF69" i="3"/>
  <c r="AT71" i="3"/>
  <c r="BF71" i="3"/>
  <c r="AT72" i="3"/>
  <c r="BD72" i="3"/>
  <c r="BF72" i="3"/>
  <c r="AT74" i="3"/>
  <c r="BF74" i="3"/>
  <c r="AT75" i="3"/>
  <c r="BD75" i="3"/>
  <c r="BF75" i="3"/>
  <c r="AT77" i="3"/>
  <c r="BF77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S9" i="3" s="1"/>
  <c r="Z9" i="3" s="1"/>
  <c r="N9" i="3"/>
  <c r="O9" i="3"/>
  <c r="U9" i="3" s="1"/>
  <c r="P9" i="3"/>
  <c r="V9" i="3" s="1"/>
  <c r="K10" i="3"/>
  <c r="Q10" i="3" s="1"/>
  <c r="W10" i="3" s="1"/>
  <c r="L10" i="3"/>
  <c r="R10" i="3" s="1"/>
  <c r="M10" i="3"/>
  <c r="S10" i="3" s="1"/>
  <c r="Z10" i="3" s="1"/>
  <c r="N10" i="3"/>
  <c r="T10" i="3" s="1"/>
  <c r="AA10" i="3" s="1"/>
  <c r="O10" i="3"/>
  <c r="U10" i="3" s="1"/>
  <c r="P10" i="3"/>
  <c r="V10" i="3" s="1"/>
  <c r="X10" i="3" s="1"/>
  <c r="K11" i="3"/>
  <c r="Q11" i="3" s="1"/>
  <c r="W11" i="3" s="1"/>
  <c r="L11" i="3"/>
  <c r="R11" i="3" s="1"/>
  <c r="M11" i="3"/>
  <c r="S11" i="3" s="1"/>
  <c r="Z11" i="3" s="1"/>
  <c r="N11" i="3"/>
  <c r="T11" i="3" s="1"/>
  <c r="AA11" i="3" s="1"/>
  <c r="O11" i="3"/>
  <c r="U11" i="3" s="1"/>
  <c r="P11" i="3"/>
  <c r="V11" i="3" s="1"/>
  <c r="X11" i="3" s="1"/>
  <c r="K12" i="3"/>
  <c r="Q12" i="3" s="1"/>
  <c r="W12" i="3" s="1"/>
  <c r="L12" i="3"/>
  <c r="R12" i="3" s="1"/>
  <c r="M12" i="3"/>
  <c r="S12" i="3" s="1"/>
  <c r="Z12" i="3" s="1"/>
  <c r="N12" i="3"/>
  <c r="T12" i="3" s="1"/>
  <c r="AA12" i="3" s="1"/>
  <c r="O12" i="3"/>
  <c r="U12" i="3" s="1"/>
  <c r="P12" i="3"/>
  <c r="V12" i="3" s="1"/>
  <c r="X12" i="3" s="1"/>
  <c r="K13" i="3"/>
  <c r="Q13" i="3" s="1"/>
  <c r="W13" i="3" s="1"/>
  <c r="L13" i="3"/>
  <c r="R13" i="3" s="1"/>
  <c r="M13" i="3"/>
  <c r="N13" i="3"/>
  <c r="T13" i="3" s="1"/>
  <c r="AA13" i="3" s="1"/>
  <c r="O13" i="3"/>
  <c r="U13" i="3" s="1"/>
  <c r="P13" i="3"/>
  <c r="V13" i="3" s="1"/>
  <c r="X13" i="3" s="1"/>
  <c r="S13" i="3"/>
  <c r="Z13" i="3" s="1"/>
  <c r="K14" i="3"/>
  <c r="Q14" i="3" s="1"/>
  <c r="W14" i="3" s="1"/>
  <c r="L14" i="3"/>
  <c r="R14" i="3" s="1"/>
  <c r="M14" i="3"/>
  <c r="S14" i="3" s="1"/>
  <c r="Z14" i="3" s="1"/>
  <c r="N14" i="3"/>
  <c r="T14" i="3" s="1"/>
  <c r="AA14" i="3" s="1"/>
  <c r="O14" i="3"/>
  <c r="U14" i="3" s="1"/>
  <c r="P14" i="3"/>
  <c r="V14" i="3" s="1"/>
  <c r="X14" i="3" s="1"/>
  <c r="K15" i="3"/>
  <c r="L15" i="3"/>
  <c r="R15" i="3" s="1"/>
  <c r="M15" i="3"/>
  <c r="N15" i="3"/>
  <c r="T15" i="3" s="1"/>
  <c r="AA15" i="3" s="1"/>
  <c r="O15" i="3"/>
  <c r="U15" i="3" s="1"/>
  <c r="P15" i="3"/>
  <c r="V15" i="3" s="1"/>
  <c r="X15" i="3" s="1"/>
  <c r="K16" i="3"/>
  <c r="Q16" i="3" s="1"/>
  <c r="W16" i="3" s="1"/>
  <c r="L16" i="3"/>
  <c r="R16" i="3" s="1"/>
  <c r="M16" i="3"/>
  <c r="S16" i="3" s="1"/>
  <c r="Z16" i="3" s="1"/>
  <c r="N16" i="3"/>
  <c r="T16" i="3" s="1"/>
  <c r="AA16" i="3" s="1"/>
  <c r="O16" i="3"/>
  <c r="U16" i="3" s="1"/>
  <c r="P16" i="3"/>
  <c r="V16" i="3" s="1"/>
  <c r="X16" i="3" s="1"/>
  <c r="K17" i="3"/>
  <c r="Q17" i="3" s="1"/>
  <c r="W17" i="3" s="1"/>
  <c r="L17" i="3"/>
  <c r="R17" i="3" s="1"/>
  <c r="M17" i="3"/>
  <c r="S17" i="3" s="1"/>
  <c r="Z17" i="3" s="1"/>
  <c r="N17" i="3"/>
  <c r="T17" i="3" s="1"/>
  <c r="AA17" i="3" s="1"/>
  <c r="O17" i="3"/>
  <c r="U17" i="3" s="1"/>
  <c r="P17" i="3"/>
  <c r="V17" i="3" s="1"/>
  <c r="X17" i="3" s="1"/>
  <c r="K18" i="3"/>
  <c r="Q18" i="3" s="1"/>
  <c r="W18" i="3" s="1"/>
  <c r="L18" i="3"/>
  <c r="R18" i="3" s="1"/>
  <c r="M18" i="3"/>
  <c r="S18" i="3" s="1"/>
  <c r="Z18" i="3" s="1"/>
  <c r="N18" i="3"/>
  <c r="T18" i="3" s="1"/>
  <c r="AA18" i="3" s="1"/>
  <c r="O18" i="3"/>
  <c r="U18" i="3" s="1"/>
  <c r="P18" i="3"/>
  <c r="V18" i="3" s="1"/>
  <c r="X18" i="3" s="1"/>
  <c r="K19" i="3"/>
  <c r="L19" i="3"/>
  <c r="R19" i="3" s="1"/>
  <c r="M19" i="3"/>
  <c r="S19" i="3" s="1"/>
  <c r="Z19" i="3" s="1"/>
  <c r="N19" i="3"/>
  <c r="T19" i="3" s="1"/>
  <c r="AA19" i="3" s="1"/>
  <c r="O19" i="3"/>
  <c r="U19" i="3" s="1"/>
  <c r="P19" i="3"/>
  <c r="V19" i="3" s="1"/>
  <c r="X19" i="3" s="1"/>
  <c r="Q19" i="3"/>
  <c r="W19" i="3" s="1"/>
  <c r="K20" i="3"/>
  <c r="Q20" i="3" s="1"/>
  <c r="W20" i="3" s="1"/>
  <c r="L20" i="3"/>
  <c r="R20" i="3" s="1"/>
  <c r="M20" i="3"/>
  <c r="S20" i="3" s="1"/>
  <c r="Z20" i="3" s="1"/>
  <c r="N20" i="3"/>
  <c r="T20" i="3" s="1"/>
  <c r="AA20" i="3" s="1"/>
  <c r="O20" i="3"/>
  <c r="U20" i="3" s="1"/>
  <c r="P20" i="3"/>
  <c r="V20" i="3" s="1"/>
  <c r="X20" i="3" s="1"/>
  <c r="K21" i="3"/>
  <c r="Q21" i="3" s="1"/>
  <c r="W21" i="3" s="1"/>
  <c r="L21" i="3"/>
  <c r="R21" i="3" s="1"/>
  <c r="M21" i="3"/>
  <c r="S21" i="3" s="1"/>
  <c r="Z21" i="3" s="1"/>
  <c r="N21" i="3"/>
  <c r="T21" i="3" s="1"/>
  <c r="AA21" i="3" s="1"/>
  <c r="O21" i="3"/>
  <c r="U21" i="3" s="1"/>
  <c r="P21" i="3"/>
  <c r="V21" i="3" s="1"/>
  <c r="X21" i="3" s="1"/>
  <c r="K22" i="3"/>
  <c r="Q22" i="3" s="1"/>
  <c r="W22" i="3" s="1"/>
  <c r="L22" i="3"/>
  <c r="R22" i="3" s="1"/>
  <c r="M22" i="3"/>
  <c r="S22" i="3" s="1"/>
  <c r="Z22" i="3" s="1"/>
  <c r="N22" i="3"/>
  <c r="T22" i="3" s="1"/>
  <c r="AA22" i="3" s="1"/>
  <c r="O22" i="3"/>
  <c r="U22" i="3" s="1"/>
  <c r="P22" i="3"/>
  <c r="V22" i="3" s="1"/>
  <c r="X22" i="3" s="1"/>
  <c r="K23" i="3"/>
  <c r="L23" i="3"/>
  <c r="R23" i="3" s="1"/>
  <c r="M23" i="3"/>
  <c r="N23" i="3"/>
  <c r="T23" i="3" s="1"/>
  <c r="AA23" i="3" s="1"/>
  <c r="O23" i="3"/>
  <c r="U23" i="3" s="1"/>
  <c r="P23" i="3"/>
  <c r="V23" i="3" s="1"/>
  <c r="X23" i="3" s="1"/>
  <c r="K24" i="3"/>
  <c r="Q24" i="3" s="1"/>
  <c r="W24" i="3" s="1"/>
  <c r="L24" i="3"/>
  <c r="R24" i="3" s="1"/>
  <c r="M24" i="3"/>
  <c r="S24" i="3" s="1"/>
  <c r="Z24" i="3" s="1"/>
  <c r="N24" i="3"/>
  <c r="T24" i="3" s="1"/>
  <c r="AA24" i="3" s="1"/>
  <c r="O24" i="3"/>
  <c r="U24" i="3" s="1"/>
  <c r="P24" i="3"/>
  <c r="V24" i="3" s="1"/>
  <c r="X24" i="3" s="1"/>
  <c r="K25" i="3"/>
  <c r="Q25" i="3" s="1"/>
  <c r="W25" i="3" s="1"/>
  <c r="L25" i="3"/>
  <c r="R25" i="3" s="1"/>
  <c r="M25" i="3"/>
  <c r="S25" i="3" s="1"/>
  <c r="Z25" i="3" s="1"/>
  <c r="N25" i="3"/>
  <c r="T25" i="3" s="1"/>
  <c r="AA25" i="3" s="1"/>
  <c r="O25" i="3"/>
  <c r="U25" i="3" s="1"/>
  <c r="P25" i="3"/>
  <c r="V25" i="3" s="1"/>
  <c r="X25" i="3" s="1"/>
  <c r="K26" i="3"/>
  <c r="Q26" i="3" s="1"/>
  <c r="W26" i="3" s="1"/>
  <c r="L26" i="3"/>
  <c r="R26" i="3" s="1"/>
  <c r="M26" i="3"/>
  <c r="S26" i="3" s="1"/>
  <c r="Z26" i="3" s="1"/>
  <c r="N26" i="3"/>
  <c r="T26" i="3" s="1"/>
  <c r="AA26" i="3" s="1"/>
  <c r="O26" i="3"/>
  <c r="U26" i="3" s="1"/>
  <c r="P26" i="3"/>
  <c r="V26" i="3" s="1"/>
  <c r="X26" i="3" s="1"/>
  <c r="K27" i="3"/>
  <c r="L27" i="3"/>
  <c r="R27" i="3" s="1"/>
  <c r="M27" i="3"/>
  <c r="S27" i="3" s="1"/>
  <c r="Z27" i="3" s="1"/>
  <c r="N27" i="3"/>
  <c r="T27" i="3" s="1"/>
  <c r="AA27" i="3" s="1"/>
  <c r="O27" i="3"/>
  <c r="U27" i="3" s="1"/>
  <c r="P27" i="3"/>
  <c r="V27" i="3" s="1"/>
  <c r="X27" i="3" s="1"/>
  <c r="K28" i="3"/>
  <c r="Q28" i="3" s="1"/>
  <c r="W28" i="3" s="1"/>
  <c r="L28" i="3"/>
  <c r="R28" i="3" s="1"/>
  <c r="M28" i="3"/>
  <c r="S28" i="3" s="1"/>
  <c r="Z28" i="3" s="1"/>
  <c r="N28" i="3"/>
  <c r="T28" i="3" s="1"/>
  <c r="AA28" i="3" s="1"/>
  <c r="O28" i="3"/>
  <c r="U28" i="3" s="1"/>
  <c r="P28" i="3"/>
  <c r="V28" i="3" s="1"/>
  <c r="X28" i="3" s="1"/>
  <c r="K29" i="3"/>
  <c r="Q29" i="3" s="1"/>
  <c r="W29" i="3" s="1"/>
  <c r="L29" i="3"/>
  <c r="R29" i="3" s="1"/>
  <c r="M29" i="3"/>
  <c r="S29" i="3" s="1"/>
  <c r="Z29" i="3" s="1"/>
  <c r="N29" i="3"/>
  <c r="T29" i="3" s="1"/>
  <c r="AA29" i="3" s="1"/>
  <c r="O29" i="3"/>
  <c r="U29" i="3" s="1"/>
  <c r="P29" i="3"/>
  <c r="V29" i="3" s="1"/>
  <c r="X29" i="3" s="1"/>
  <c r="K30" i="3"/>
  <c r="Q30" i="3" s="1"/>
  <c r="W30" i="3" s="1"/>
  <c r="L30" i="3"/>
  <c r="R30" i="3" s="1"/>
  <c r="M30" i="3"/>
  <c r="S30" i="3" s="1"/>
  <c r="Z30" i="3" s="1"/>
  <c r="N30" i="3"/>
  <c r="T30" i="3" s="1"/>
  <c r="AA30" i="3" s="1"/>
  <c r="O30" i="3"/>
  <c r="U30" i="3" s="1"/>
  <c r="P30" i="3"/>
  <c r="V30" i="3" s="1"/>
  <c r="X30" i="3" s="1"/>
  <c r="K31" i="3"/>
  <c r="L31" i="3"/>
  <c r="R31" i="3" s="1"/>
  <c r="M31" i="3"/>
  <c r="S31" i="3" s="1"/>
  <c r="Z31" i="3" s="1"/>
  <c r="N31" i="3"/>
  <c r="T31" i="3" s="1"/>
  <c r="AA31" i="3" s="1"/>
  <c r="O31" i="3"/>
  <c r="U31" i="3" s="1"/>
  <c r="P31" i="3"/>
  <c r="V31" i="3" s="1"/>
  <c r="X31" i="3" s="1"/>
  <c r="K32" i="3"/>
  <c r="Q32" i="3" s="1"/>
  <c r="W32" i="3" s="1"/>
  <c r="L32" i="3"/>
  <c r="R32" i="3" s="1"/>
  <c r="M32" i="3"/>
  <c r="S32" i="3" s="1"/>
  <c r="Z32" i="3" s="1"/>
  <c r="N32" i="3"/>
  <c r="T32" i="3" s="1"/>
  <c r="AA32" i="3" s="1"/>
  <c r="O32" i="3"/>
  <c r="U32" i="3" s="1"/>
  <c r="P32" i="3"/>
  <c r="V32" i="3" s="1"/>
  <c r="X32" i="3" s="1"/>
  <c r="K33" i="3"/>
  <c r="Q33" i="3" s="1"/>
  <c r="W33" i="3" s="1"/>
  <c r="L33" i="3"/>
  <c r="R33" i="3" s="1"/>
  <c r="M33" i="3"/>
  <c r="S33" i="3" s="1"/>
  <c r="Z33" i="3" s="1"/>
  <c r="N33" i="3"/>
  <c r="T33" i="3" s="1"/>
  <c r="AA33" i="3" s="1"/>
  <c r="O33" i="3"/>
  <c r="U33" i="3" s="1"/>
  <c r="P33" i="3"/>
  <c r="V33" i="3" s="1"/>
  <c r="X33" i="3" s="1"/>
  <c r="K34" i="3"/>
  <c r="Q34" i="3" s="1"/>
  <c r="W34" i="3" s="1"/>
  <c r="L34" i="3"/>
  <c r="R34" i="3" s="1"/>
  <c r="M34" i="3"/>
  <c r="S34" i="3" s="1"/>
  <c r="Z34" i="3" s="1"/>
  <c r="N34" i="3"/>
  <c r="T34" i="3" s="1"/>
  <c r="AA34" i="3" s="1"/>
  <c r="O34" i="3"/>
  <c r="U34" i="3" s="1"/>
  <c r="P34" i="3"/>
  <c r="V34" i="3" s="1"/>
  <c r="X34" i="3" s="1"/>
  <c r="K35" i="3"/>
  <c r="L35" i="3"/>
  <c r="R35" i="3" s="1"/>
  <c r="M35" i="3"/>
  <c r="S35" i="3" s="1"/>
  <c r="Z35" i="3" s="1"/>
  <c r="N35" i="3"/>
  <c r="T35" i="3" s="1"/>
  <c r="AA35" i="3" s="1"/>
  <c r="O35" i="3"/>
  <c r="U35" i="3" s="1"/>
  <c r="P35" i="3"/>
  <c r="V35" i="3" s="1"/>
  <c r="X35" i="3" s="1"/>
  <c r="K36" i="3"/>
  <c r="Q36" i="3" s="1"/>
  <c r="W36" i="3" s="1"/>
  <c r="L36" i="3"/>
  <c r="R36" i="3" s="1"/>
  <c r="M36" i="3"/>
  <c r="S36" i="3" s="1"/>
  <c r="Z36" i="3" s="1"/>
  <c r="N36" i="3"/>
  <c r="T36" i="3" s="1"/>
  <c r="AA36" i="3" s="1"/>
  <c r="O36" i="3"/>
  <c r="U36" i="3" s="1"/>
  <c r="P36" i="3"/>
  <c r="V36" i="3" s="1"/>
  <c r="X36" i="3" s="1"/>
  <c r="K37" i="3"/>
  <c r="Q37" i="3" s="1"/>
  <c r="W37" i="3" s="1"/>
  <c r="L37" i="3"/>
  <c r="R37" i="3" s="1"/>
  <c r="M37" i="3"/>
  <c r="S37" i="3" s="1"/>
  <c r="Z37" i="3" s="1"/>
  <c r="N37" i="3"/>
  <c r="T37" i="3" s="1"/>
  <c r="AA37" i="3" s="1"/>
  <c r="O37" i="3"/>
  <c r="U37" i="3" s="1"/>
  <c r="P37" i="3"/>
  <c r="V37" i="3" s="1"/>
  <c r="X37" i="3" s="1"/>
  <c r="K38" i="3"/>
  <c r="L38" i="3"/>
  <c r="R38" i="3" s="1"/>
  <c r="M38" i="3"/>
  <c r="S38" i="3" s="1"/>
  <c r="Z38" i="3" s="1"/>
  <c r="N38" i="3"/>
  <c r="T38" i="3" s="1"/>
  <c r="AA38" i="3" s="1"/>
  <c r="O38" i="3"/>
  <c r="U38" i="3" s="1"/>
  <c r="P38" i="3"/>
  <c r="V38" i="3" s="1"/>
  <c r="X38" i="3" s="1"/>
  <c r="K39" i="3"/>
  <c r="L39" i="3"/>
  <c r="R39" i="3" s="1"/>
  <c r="M39" i="3"/>
  <c r="S39" i="3" s="1"/>
  <c r="Z39" i="3" s="1"/>
  <c r="N39" i="3"/>
  <c r="T39" i="3" s="1"/>
  <c r="AA39" i="3" s="1"/>
  <c r="O39" i="3"/>
  <c r="U39" i="3" s="1"/>
  <c r="P39" i="3"/>
  <c r="V39" i="3" s="1"/>
  <c r="X39" i="3" s="1"/>
  <c r="K40" i="3"/>
  <c r="Q40" i="3" s="1"/>
  <c r="W40" i="3" s="1"/>
  <c r="L40" i="3"/>
  <c r="R40" i="3" s="1"/>
  <c r="M40" i="3"/>
  <c r="S40" i="3" s="1"/>
  <c r="Z40" i="3" s="1"/>
  <c r="N40" i="3"/>
  <c r="T40" i="3" s="1"/>
  <c r="AA40" i="3" s="1"/>
  <c r="O40" i="3"/>
  <c r="U40" i="3" s="1"/>
  <c r="P40" i="3"/>
  <c r="V40" i="3" s="1"/>
  <c r="X40" i="3" s="1"/>
  <c r="K41" i="3"/>
  <c r="Q41" i="3" s="1"/>
  <c r="W41" i="3" s="1"/>
  <c r="L41" i="3"/>
  <c r="R41" i="3" s="1"/>
  <c r="M41" i="3"/>
  <c r="S41" i="3" s="1"/>
  <c r="Z41" i="3" s="1"/>
  <c r="N41" i="3"/>
  <c r="T41" i="3" s="1"/>
  <c r="AA41" i="3" s="1"/>
  <c r="O41" i="3"/>
  <c r="U41" i="3" s="1"/>
  <c r="P41" i="3"/>
  <c r="V41" i="3" s="1"/>
  <c r="X41" i="3" s="1"/>
  <c r="K42" i="3"/>
  <c r="Q42" i="3" s="1"/>
  <c r="W42" i="3" s="1"/>
  <c r="L42" i="3"/>
  <c r="R42" i="3" s="1"/>
  <c r="M42" i="3"/>
  <c r="S42" i="3" s="1"/>
  <c r="Z42" i="3" s="1"/>
  <c r="N42" i="3"/>
  <c r="T42" i="3" s="1"/>
  <c r="AA42" i="3" s="1"/>
  <c r="O42" i="3"/>
  <c r="U42" i="3" s="1"/>
  <c r="P42" i="3"/>
  <c r="V42" i="3" s="1"/>
  <c r="X42" i="3" s="1"/>
  <c r="K43" i="3"/>
  <c r="Q43" i="3" s="1"/>
  <c r="W43" i="3" s="1"/>
  <c r="L43" i="3"/>
  <c r="R43" i="3" s="1"/>
  <c r="M43" i="3"/>
  <c r="S43" i="3" s="1"/>
  <c r="Z43" i="3" s="1"/>
  <c r="N43" i="3"/>
  <c r="T43" i="3" s="1"/>
  <c r="AA43" i="3" s="1"/>
  <c r="O43" i="3"/>
  <c r="U43" i="3" s="1"/>
  <c r="P43" i="3"/>
  <c r="V43" i="3" s="1"/>
  <c r="X43" i="3" s="1"/>
  <c r="K44" i="3"/>
  <c r="L44" i="3"/>
  <c r="R44" i="3" s="1"/>
  <c r="M44" i="3"/>
  <c r="S44" i="3" s="1"/>
  <c r="Z44" i="3" s="1"/>
  <c r="N44" i="3"/>
  <c r="T44" i="3" s="1"/>
  <c r="AA44" i="3" s="1"/>
  <c r="O44" i="3"/>
  <c r="U44" i="3" s="1"/>
  <c r="P44" i="3"/>
  <c r="V44" i="3" s="1"/>
  <c r="X44" i="3" s="1"/>
  <c r="Q44" i="3"/>
  <c r="W44" i="3" s="1"/>
  <c r="K45" i="3"/>
  <c r="Q45" i="3" s="1"/>
  <c r="W45" i="3" s="1"/>
  <c r="L45" i="3"/>
  <c r="R45" i="3" s="1"/>
  <c r="M45" i="3"/>
  <c r="S45" i="3" s="1"/>
  <c r="Z45" i="3" s="1"/>
  <c r="N45" i="3"/>
  <c r="T45" i="3" s="1"/>
  <c r="AA45" i="3" s="1"/>
  <c r="O45" i="3"/>
  <c r="U45" i="3" s="1"/>
  <c r="P45" i="3"/>
  <c r="V45" i="3" s="1"/>
  <c r="X45" i="3" s="1"/>
  <c r="K46" i="3"/>
  <c r="Q46" i="3" s="1"/>
  <c r="W46" i="3" s="1"/>
  <c r="L46" i="3"/>
  <c r="R46" i="3" s="1"/>
  <c r="M46" i="3"/>
  <c r="S46" i="3" s="1"/>
  <c r="Z46" i="3" s="1"/>
  <c r="N46" i="3"/>
  <c r="T46" i="3" s="1"/>
  <c r="AA46" i="3" s="1"/>
  <c r="O46" i="3"/>
  <c r="U46" i="3" s="1"/>
  <c r="P46" i="3"/>
  <c r="V46" i="3" s="1"/>
  <c r="X46" i="3" s="1"/>
  <c r="K47" i="3"/>
  <c r="Q47" i="3" s="1"/>
  <c r="W47" i="3" s="1"/>
  <c r="L47" i="3"/>
  <c r="R47" i="3" s="1"/>
  <c r="M47" i="3"/>
  <c r="S47" i="3" s="1"/>
  <c r="Z47" i="3" s="1"/>
  <c r="N47" i="3"/>
  <c r="T47" i="3" s="1"/>
  <c r="AA47" i="3" s="1"/>
  <c r="O47" i="3"/>
  <c r="U47" i="3" s="1"/>
  <c r="P47" i="3"/>
  <c r="V47" i="3" s="1"/>
  <c r="X47" i="3" s="1"/>
  <c r="K48" i="3"/>
  <c r="L48" i="3"/>
  <c r="R48" i="3" s="1"/>
  <c r="M48" i="3"/>
  <c r="S48" i="3" s="1"/>
  <c r="Z48" i="3" s="1"/>
  <c r="N48" i="3"/>
  <c r="T48" i="3" s="1"/>
  <c r="AA48" i="3" s="1"/>
  <c r="O48" i="3"/>
  <c r="U48" i="3" s="1"/>
  <c r="P48" i="3"/>
  <c r="V48" i="3" s="1"/>
  <c r="X48" i="3" s="1"/>
  <c r="Q48" i="3"/>
  <c r="W48" i="3" s="1"/>
  <c r="K49" i="3"/>
  <c r="Q49" i="3" s="1"/>
  <c r="W49" i="3" s="1"/>
  <c r="L49" i="3"/>
  <c r="R49" i="3" s="1"/>
  <c r="M49" i="3"/>
  <c r="S49" i="3" s="1"/>
  <c r="Z49" i="3" s="1"/>
  <c r="N49" i="3"/>
  <c r="T49" i="3" s="1"/>
  <c r="AA49" i="3" s="1"/>
  <c r="O49" i="3"/>
  <c r="U49" i="3" s="1"/>
  <c r="P49" i="3"/>
  <c r="V49" i="3" s="1"/>
  <c r="X49" i="3" s="1"/>
  <c r="K50" i="3"/>
  <c r="Q50" i="3" s="1"/>
  <c r="W50" i="3" s="1"/>
  <c r="L50" i="3"/>
  <c r="R50" i="3" s="1"/>
  <c r="M50" i="3"/>
  <c r="S50" i="3" s="1"/>
  <c r="Z50" i="3" s="1"/>
  <c r="N50" i="3"/>
  <c r="T50" i="3" s="1"/>
  <c r="AA50" i="3" s="1"/>
  <c r="O50" i="3"/>
  <c r="U50" i="3" s="1"/>
  <c r="P50" i="3"/>
  <c r="V50" i="3" s="1"/>
  <c r="X50" i="3" s="1"/>
  <c r="K51" i="3"/>
  <c r="Q51" i="3" s="1"/>
  <c r="W51" i="3" s="1"/>
  <c r="L51" i="3"/>
  <c r="R51" i="3" s="1"/>
  <c r="M51" i="3"/>
  <c r="S51" i="3" s="1"/>
  <c r="Z51" i="3" s="1"/>
  <c r="N51" i="3"/>
  <c r="T51" i="3" s="1"/>
  <c r="AA51" i="3" s="1"/>
  <c r="O51" i="3"/>
  <c r="U51" i="3" s="1"/>
  <c r="P51" i="3"/>
  <c r="V51" i="3" s="1"/>
  <c r="X51" i="3" s="1"/>
  <c r="K52" i="3"/>
  <c r="Q52" i="3" s="1"/>
  <c r="W52" i="3" s="1"/>
  <c r="L52" i="3"/>
  <c r="R52" i="3" s="1"/>
  <c r="M52" i="3"/>
  <c r="S52" i="3" s="1"/>
  <c r="Z52" i="3" s="1"/>
  <c r="N52" i="3"/>
  <c r="T52" i="3" s="1"/>
  <c r="AA52" i="3" s="1"/>
  <c r="O52" i="3"/>
  <c r="U52" i="3" s="1"/>
  <c r="P52" i="3"/>
  <c r="V52" i="3" s="1"/>
  <c r="X52" i="3" s="1"/>
  <c r="K53" i="3"/>
  <c r="Q53" i="3" s="1"/>
  <c r="W53" i="3" s="1"/>
  <c r="L53" i="3"/>
  <c r="R53" i="3" s="1"/>
  <c r="M53" i="3"/>
  <c r="N53" i="3"/>
  <c r="T53" i="3" s="1"/>
  <c r="AA53" i="3" s="1"/>
  <c r="O53" i="3"/>
  <c r="U53" i="3" s="1"/>
  <c r="P53" i="3"/>
  <c r="V53" i="3" s="1"/>
  <c r="X53" i="3" s="1"/>
  <c r="S53" i="3"/>
  <c r="Z53" i="3" s="1"/>
  <c r="K54" i="3"/>
  <c r="Q54" i="3" s="1"/>
  <c r="W54" i="3" s="1"/>
  <c r="L54" i="3"/>
  <c r="R54" i="3" s="1"/>
  <c r="M54" i="3"/>
  <c r="S54" i="3" s="1"/>
  <c r="Z54" i="3" s="1"/>
  <c r="N54" i="3"/>
  <c r="T54" i="3" s="1"/>
  <c r="AA54" i="3" s="1"/>
  <c r="O54" i="3"/>
  <c r="U54" i="3" s="1"/>
  <c r="P54" i="3"/>
  <c r="V54" i="3" s="1"/>
  <c r="X54" i="3" s="1"/>
  <c r="K55" i="3"/>
  <c r="Q55" i="3" s="1"/>
  <c r="W55" i="3" s="1"/>
  <c r="L55" i="3"/>
  <c r="R55" i="3" s="1"/>
  <c r="M55" i="3"/>
  <c r="S55" i="3" s="1"/>
  <c r="Z55" i="3" s="1"/>
  <c r="N55" i="3"/>
  <c r="T55" i="3" s="1"/>
  <c r="AA55" i="3" s="1"/>
  <c r="O55" i="3"/>
  <c r="U55" i="3" s="1"/>
  <c r="P55" i="3"/>
  <c r="V55" i="3" s="1"/>
  <c r="X55" i="3" s="1"/>
  <c r="K56" i="3"/>
  <c r="Q56" i="3" s="1"/>
  <c r="W56" i="3" s="1"/>
  <c r="L56" i="3"/>
  <c r="R56" i="3" s="1"/>
  <c r="M56" i="3"/>
  <c r="S56" i="3" s="1"/>
  <c r="Z56" i="3" s="1"/>
  <c r="N56" i="3"/>
  <c r="T56" i="3" s="1"/>
  <c r="AA56" i="3" s="1"/>
  <c r="O56" i="3"/>
  <c r="U56" i="3" s="1"/>
  <c r="P56" i="3"/>
  <c r="V56" i="3" s="1"/>
  <c r="X56" i="3" s="1"/>
  <c r="K57" i="3"/>
  <c r="L57" i="3"/>
  <c r="R57" i="3" s="1"/>
  <c r="M57" i="3"/>
  <c r="S57" i="3" s="1"/>
  <c r="Z57" i="3" s="1"/>
  <c r="N57" i="3"/>
  <c r="T57" i="3" s="1"/>
  <c r="AA57" i="3" s="1"/>
  <c r="O57" i="3"/>
  <c r="U57" i="3" s="1"/>
  <c r="P57" i="3"/>
  <c r="V57" i="3" s="1"/>
  <c r="X57" i="3" s="1"/>
  <c r="K58" i="3"/>
  <c r="Q58" i="3" s="1"/>
  <c r="W58" i="3" s="1"/>
  <c r="L58" i="3"/>
  <c r="R58" i="3" s="1"/>
  <c r="M58" i="3"/>
  <c r="S58" i="3" s="1"/>
  <c r="Z58" i="3" s="1"/>
  <c r="N58" i="3"/>
  <c r="T58" i="3" s="1"/>
  <c r="AA58" i="3" s="1"/>
  <c r="O58" i="3"/>
  <c r="U58" i="3" s="1"/>
  <c r="P58" i="3"/>
  <c r="V58" i="3" s="1"/>
  <c r="X58" i="3" s="1"/>
  <c r="K59" i="3"/>
  <c r="Q59" i="3" s="1"/>
  <c r="W59" i="3" s="1"/>
  <c r="L59" i="3"/>
  <c r="R59" i="3" s="1"/>
  <c r="M59" i="3"/>
  <c r="S59" i="3" s="1"/>
  <c r="Z59" i="3" s="1"/>
  <c r="N59" i="3"/>
  <c r="T59" i="3" s="1"/>
  <c r="AA59" i="3" s="1"/>
  <c r="O59" i="3"/>
  <c r="U59" i="3" s="1"/>
  <c r="P59" i="3"/>
  <c r="V59" i="3" s="1"/>
  <c r="X59" i="3" s="1"/>
  <c r="K60" i="3"/>
  <c r="Q60" i="3" s="1"/>
  <c r="W60" i="3" s="1"/>
  <c r="L60" i="3"/>
  <c r="R60" i="3" s="1"/>
  <c r="M60" i="3"/>
  <c r="S60" i="3" s="1"/>
  <c r="Z60" i="3" s="1"/>
  <c r="N60" i="3"/>
  <c r="T60" i="3" s="1"/>
  <c r="AA60" i="3" s="1"/>
  <c r="O60" i="3"/>
  <c r="U60" i="3" s="1"/>
  <c r="P60" i="3"/>
  <c r="V60" i="3" s="1"/>
  <c r="X60" i="3" s="1"/>
  <c r="K61" i="3"/>
  <c r="Q61" i="3" s="1"/>
  <c r="W61" i="3" s="1"/>
  <c r="L61" i="3"/>
  <c r="R61" i="3" s="1"/>
  <c r="M61" i="3"/>
  <c r="S61" i="3" s="1"/>
  <c r="Z61" i="3" s="1"/>
  <c r="N61" i="3"/>
  <c r="T61" i="3" s="1"/>
  <c r="AA61" i="3" s="1"/>
  <c r="O61" i="3"/>
  <c r="U61" i="3" s="1"/>
  <c r="P61" i="3"/>
  <c r="V61" i="3" s="1"/>
  <c r="X61" i="3" s="1"/>
  <c r="K62" i="3"/>
  <c r="Q62" i="3" s="1"/>
  <c r="W62" i="3" s="1"/>
  <c r="L62" i="3"/>
  <c r="R62" i="3" s="1"/>
  <c r="M62" i="3"/>
  <c r="S62" i="3" s="1"/>
  <c r="Z62" i="3" s="1"/>
  <c r="N62" i="3"/>
  <c r="T62" i="3" s="1"/>
  <c r="AA62" i="3" s="1"/>
  <c r="O62" i="3"/>
  <c r="U62" i="3" s="1"/>
  <c r="P62" i="3"/>
  <c r="V62" i="3" s="1"/>
  <c r="X62" i="3" s="1"/>
  <c r="K63" i="3"/>
  <c r="L63" i="3"/>
  <c r="M63" i="3"/>
  <c r="S63" i="3" s="1"/>
  <c r="Z63" i="3" s="1"/>
  <c r="N63" i="3"/>
  <c r="T63" i="3" s="1"/>
  <c r="AA63" i="3" s="1"/>
  <c r="O63" i="3"/>
  <c r="U63" i="3" s="1"/>
  <c r="P63" i="3"/>
  <c r="V63" i="3" s="1"/>
  <c r="X63" i="3" s="1"/>
  <c r="K64" i="3"/>
  <c r="Q64" i="3" s="1"/>
  <c r="W64" i="3" s="1"/>
  <c r="L64" i="3"/>
  <c r="R64" i="3" s="1"/>
  <c r="M64" i="3"/>
  <c r="S64" i="3" s="1"/>
  <c r="Z64" i="3" s="1"/>
  <c r="N64" i="3"/>
  <c r="T64" i="3" s="1"/>
  <c r="AA64" i="3" s="1"/>
  <c r="O64" i="3"/>
  <c r="U64" i="3" s="1"/>
  <c r="P64" i="3"/>
  <c r="V64" i="3" s="1"/>
  <c r="X64" i="3" s="1"/>
  <c r="K65" i="3"/>
  <c r="Q65" i="3" s="1"/>
  <c r="W65" i="3" s="1"/>
  <c r="L65" i="3"/>
  <c r="R65" i="3" s="1"/>
  <c r="M65" i="3"/>
  <c r="S65" i="3" s="1"/>
  <c r="Z65" i="3" s="1"/>
  <c r="N65" i="3"/>
  <c r="T65" i="3" s="1"/>
  <c r="AA65" i="3" s="1"/>
  <c r="O65" i="3"/>
  <c r="U65" i="3" s="1"/>
  <c r="P65" i="3"/>
  <c r="V65" i="3" s="1"/>
  <c r="X65" i="3" s="1"/>
  <c r="K66" i="3"/>
  <c r="L66" i="3"/>
  <c r="R66" i="3" s="1"/>
  <c r="M66" i="3"/>
  <c r="S66" i="3" s="1"/>
  <c r="Z66" i="3" s="1"/>
  <c r="N66" i="3"/>
  <c r="T66" i="3" s="1"/>
  <c r="AA66" i="3" s="1"/>
  <c r="O66" i="3"/>
  <c r="U66" i="3" s="1"/>
  <c r="P66" i="3"/>
  <c r="V66" i="3" s="1"/>
  <c r="X66" i="3" s="1"/>
  <c r="K67" i="3"/>
  <c r="Q67" i="3" s="1"/>
  <c r="W67" i="3" s="1"/>
  <c r="L67" i="3"/>
  <c r="R67" i="3" s="1"/>
  <c r="M67" i="3"/>
  <c r="S67" i="3" s="1"/>
  <c r="Z67" i="3" s="1"/>
  <c r="N67" i="3"/>
  <c r="T67" i="3" s="1"/>
  <c r="AA67" i="3" s="1"/>
  <c r="O67" i="3"/>
  <c r="U67" i="3" s="1"/>
  <c r="P67" i="3"/>
  <c r="V67" i="3" s="1"/>
  <c r="X67" i="3" s="1"/>
  <c r="K68" i="3"/>
  <c r="Q68" i="3" s="1"/>
  <c r="W68" i="3" s="1"/>
  <c r="L68" i="3"/>
  <c r="R68" i="3" s="1"/>
  <c r="M68" i="3"/>
  <c r="S68" i="3" s="1"/>
  <c r="Z68" i="3" s="1"/>
  <c r="N68" i="3"/>
  <c r="T68" i="3" s="1"/>
  <c r="AA68" i="3" s="1"/>
  <c r="O68" i="3"/>
  <c r="U68" i="3" s="1"/>
  <c r="P68" i="3"/>
  <c r="V68" i="3" s="1"/>
  <c r="X68" i="3" s="1"/>
  <c r="K69" i="3"/>
  <c r="L69" i="3"/>
  <c r="R69" i="3" s="1"/>
  <c r="M69" i="3"/>
  <c r="S69" i="3" s="1"/>
  <c r="Z69" i="3" s="1"/>
  <c r="N69" i="3"/>
  <c r="T69" i="3" s="1"/>
  <c r="AA69" i="3" s="1"/>
  <c r="O69" i="3"/>
  <c r="U69" i="3" s="1"/>
  <c r="P69" i="3"/>
  <c r="V69" i="3" s="1"/>
  <c r="X69" i="3" s="1"/>
  <c r="K70" i="3"/>
  <c r="L70" i="3"/>
  <c r="R70" i="3" s="1"/>
  <c r="M70" i="3"/>
  <c r="S70" i="3" s="1"/>
  <c r="Z70" i="3" s="1"/>
  <c r="N70" i="3"/>
  <c r="T70" i="3" s="1"/>
  <c r="AA70" i="3" s="1"/>
  <c r="O70" i="3"/>
  <c r="U70" i="3" s="1"/>
  <c r="P70" i="3"/>
  <c r="V70" i="3" s="1"/>
  <c r="X70" i="3" s="1"/>
  <c r="K71" i="3"/>
  <c r="Q71" i="3" s="1"/>
  <c r="W71" i="3" s="1"/>
  <c r="L71" i="3"/>
  <c r="R71" i="3" s="1"/>
  <c r="M71" i="3"/>
  <c r="S71" i="3" s="1"/>
  <c r="Z71" i="3" s="1"/>
  <c r="N71" i="3"/>
  <c r="T71" i="3" s="1"/>
  <c r="AA71" i="3" s="1"/>
  <c r="O71" i="3"/>
  <c r="U71" i="3" s="1"/>
  <c r="P71" i="3"/>
  <c r="V71" i="3" s="1"/>
  <c r="X71" i="3" s="1"/>
  <c r="K72" i="3"/>
  <c r="L72" i="3"/>
  <c r="M72" i="3"/>
  <c r="S72" i="3" s="1"/>
  <c r="Z72" i="3" s="1"/>
  <c r="N72" i="3"/>
  <c r="T72" i="3" s="1"/>
  <c r="AA72" i="3" s="1"/>
  <c r="O72" i="3"/>
  <c r="U72" i="3" s="1"/>
  <c r="P72" i="3"/>
  <c r="V72" i="3" s="1"/>
  <c r="X72" i="3" s="1"/>
  <c r="K73" i="3"/>
  <c r="Q73" i="3" s="1"/>
  <c r="W73" i="3" s="1"/>
  <c r="L73" i="3"/>
  <c r="R73" i="3" s="1"/>
  <c r="M73" i="3"/>
  <c r="S73" i="3" s="1"/>
  <c r="Z73" i="3" s="1"/>
  <c r="N73" i="3"/>
  <c r="T73" i="3" s="1"/>
  <c r="AA73" i="3" s="1"/>
  <c r="O73" i="3"/>
  <c r="U73" i="3" s="1"/>
  <c r="P73" i="3"/>
  <c r="V73" i="3" s="1"/>
  <c r="X73" i="3" s="1"/>
  <c r="K74" i="3"/>
  <c r="Q74" i="3" s="1"/>
  <c r="W74" i="3" s="1"/>
  <c r="L74" i="3"/>
  <c r="R74" i="3" s="1"/>
  <c r="M74" i="3"/>
  <c r="S74" i="3" s="1"/>
  <c r="Z74" i="3" s="1"/>
  <c r="N74" i="3"/>
  <c r="T74" i="3" s="1"/>
  <c r="AA74" i="3" s="1"/>
  <c r="O74" i="3"/>
  <c r="U74" i="3" s="1"/>
  <c r="P74" i="3"/>
  <c r="V74" i="3" s="1"/>
  <c r="X74" i="3" s="1"/>
  <c r="K75" i="3"/>
  <c r="L75" i="3"/>
  <c r="R75" i="3" s="1"/>
  <c r="M75" i="3"/>
  <c r="S75" i="3" s="1"/>
  <c r="Z75" i="3" s="1"/>
  <c r="N75" i="3"/>
  <c r="T75" i="3" s="1"/>
  <c r="AA75" i="3" s="1"/>
  <c r="O75" i="3"/>
  <c r="U75" i="3" s="1"/>
  <c r="P75" i="3"/>
  <c r="V75" i="3" s="1"/>
  <c r="X75" i="3" s="1"/>
  <c r="K76" i="3"/>
  <c r="Q76" i="3" s="1"/>
  <c r="W76" i="3" s="1"/>
  <c r="L76" i="3"/>
  <c r="R76" i="3" s="1"/>
  <c r="M76" i="3"/>
  <c r="S76" i="3" s="1"/>
  <c r="Z76" i="3" s="1"/>
  <c r="N76" i="3"/>
  <c r="T76" i="3" s="1"/>
  <c r="AA76" i="3" s="1"/>
  <c r="O76" i="3"/>
  <c r="U76" i="3" s="1"/>
  <c r="P76" i="3"/>
  <c r="V76" i="3" s="1"/>
  <c r="X76" i="3" s="1"/>
  <c r="K77" i="3"/>
  <c r="Q77" i="3" s="1"/>
  <c r="W77" i="3" s="1"/>
  <c r="L77" i="3"/>
  <c r="R77" i="3" s="1"/>
  <c r="M77" i="3"/>
  <c r="S77" i="3" s="1"/>
  <c r="Z77" i="3" s="1"/>
  <c r="N77" i="3"/>
  <c r="T77" i="3" s="1"/>
  <c r="AA77" i="3" s="1"/>
  <c r="O77" i="3"/>
  <c r="U77" i="3" s="1"/>
  <c r="P77" i="3"/>
  <c r="V77" i="3" s="1"/>
  <c r="X77" i="3" s="1"/>
  <c r="K78" i="3"/>
  <c r="L78" i="3"/>
  <c r="R78" i="3" s="1"/>
  <c r="M78" i="3"/>
  <c r="S78" i="3" s="1"/>
  <c r="Z78" i="3" s="1"/>
  <c r="N78" i="3"/>
  <c r="T78" i="3" s="1"/>
  <c r="AA78" i="3" s="1"/>
  <c r="O78" i="3"/>
  <c r="U78" i="3" s="1"/>
  <c r="P78" i="3"/>
  <c r="V78" i="3" s="1"/>
  <c r="X78" i="3" s="1"/>
  <c r="K79" i="3"/>
  <c r="L79" i="3"/>
  <c r="M79" i="3"/>
  <c r="S79" i="3" s="1"/>
  <c r="Z79" i="3" s="1"/>
  <c r="N79" i="3"/>
  <c r="T79" i="3" s="1"/>
  <c r="AA79" i="3" s="1"/>
  <c r="O79" i="3"/>
  <c r="P79" i="3"/>
  <c r="V79" i="3" s="1"/>
  <c r="X79" i="3" s="1"/>
  <c r="U79" i="3"/>
  <c r="K80" i="3"/>
  <c r="L80" i="3"/>
  <c r="R80" i="3" s="1"/>
  <c r="M80" i="3"/>
  <c r="S80" i="3" s="1"/>
  <c r="Z80" i="3" s="1"/>
  <c r="N80" i="3"/>
  <c r="T80" i="3" s="1"/>
  <c r="AA80" i="3" s="1"/>
  <c r="O80" i="3"/>
  <c r="U80" i="3" s="1"/>
  <c r="P80" i="3"/>
  <c r="V80" i="3" s="1"/>
  <c r="X80" i="3" s="1"/>
  <c r="K81" i="3"/>
  <c r="Q81" i="3" s="1"/>
  <c r="W81" i="3" s="1"/>
  <c r="L81" i="3"/>
  <c r="R81" i="3" s="1"/>
  <c r="M81" i="3"/>
  <c r="S81" i="3" s="1"/>
  <c r="Z81" i="3" s="1"/>
  <c r="N81" i="3"/>
  <c r="T81" i="3" s="1"/>
  <c r="AA81" i="3" s="1"/>
  <c r="O81" i="3"/>
  <c r="U81" i="3" s="1"/>
  <c r="P81" i="3"/>
  <c r="V81" i="3" s="1"/>
  <c r="X81" i="3" s="1"/>
  <c r="K82" i="3"/>
  <c r="L82" i="3"/>
  <c r="R82" i="3" s="1"/>
  <c r="M82" i="3"/>
  <c r="S82" i="3" s="1"/>
  <c r="Z82" i="3" s="1"/>
  <c r="N82" i="3"/>
  <c r="T82" i="3" s="1"/>
  <c r="AA82" i="3" s="1"/>
  <c r="O82" i="3"/>
  <c r="U82" i="3" s="1"/>
  <c r="P82" i="3"/>
  <c r="V82" i="3" s="1"/>
  <c r="X82" i="3" s="1"/>
  <c r="K83" i="3"/>
  <c r="L83" i="3"/>
  <c r="M83" i="3"/>
  <c r="S83" i="3" s="1"/>
  <c r="Z83" i="3" s="1"/>
  <c r="N83" i="3"/>
  <c r="T83" i="3" s="1"/>
  <c r="AA83" i="3" s="1"/>
  <c r="O83" i="3"/>
  <c r="U83" i="3" s="1"/>
  <c r="P83" i="3"/>
  <c r="V83" i="3" s="1"/>
  <c r="X83" i="3" s="1"/>
  <c r="K84" i="3"/>
  <c r="L84" i="3"/>
  <c r="R84" i="3" s="1"/>
  <c r="M84" i="3"/>
  <c r="S84" i="3" s="1"/>
  <c r="Z84" i="3" s="1"/>
  <c r="N84" i="3"/>
  <c r="T84" i="3" s="1"/>
  <c r="AA84" i="3" s="1"/>
  <c r="O84" i="3"/>
  <c r="U84" i="3" s="1"/>
  <c r="P84" i="3"/>
  <c r="V84" i="3" s="1"/>
  <c r="X84" i="3" s="1"/>
  <c r="K85" i="3"/>
  <c r="Q85" i="3" s="1"/>
  <c r="W85" i="3" s="1"/>
  <c r="L85" i="3"/>
  <c r="R85" i="3" s="1"/>
  <c r="M85" i="3"/>
  <c r="S85" i="3" s="1"/>
  <c r="Z85" i="3" s="1"/>
  <c r="N85" i="3"/>
  <c r="T85" i="3" s="1"/>
  <c r="AA85" i="3" s="1"/>
  <c r="O85" i="3"/>
  <c r="U85" i="3" s="1"/>
  <c r="P85" i="3"/>
  <c r="V85" i="3" s="1"/>
  <c r="X85" i="3" s="1"/>
  <c r="K86" i="3"/>
  <c r="L86" i="3"/>
  <c r="R86" i="3" s="1"/>
  <c r="M86" i="3"/>
  <c r="S86" i="3" s="1"/>
  <c r="Z86" i="3" s="1"/>
  <c r="N86" i="3"/>
  <c r="T86" i="3" s="1"/>
  <c r="AA86" i="3" s="1"/>
  <c r="O86" i="3"/>
  <c r="U86" i="3" s="1"/>
  <c r="P86" i="3"/>
  <c r="V86" i="3" s="1"/>
  <c r="X86" i="3" s="1"/>
  <c r="K87" i="3"/>
  <c r="Q87" i="3" s="1"/>
  <c r="W87" i="3" s="1"/>
  <c r="L87" i="3"/>
  <c r="R87" i="3" s="1"/>
  <c r="M87" i="3"/>
  <c r="S87" i="3" s="1"/>
  <c r="Z87" i="3" s="1"/>
  <c r="N87" i="3"/>
  <c r="T87" i="3" s="1"/>
  <c r="AA87" i="3" s="1"/>
  <c r="O87" i="3"/>
  <c r="U87" i="3" s="1"/>
  <c r="P87" i="3"/>
  <c r="V87" i="3" s="1"/>
  <c r="X87" i="3" s="1"/>
  <c r="K88" i="3"/>
  <c r="Q88" i="3" s="1"/>
  <c r="W88" i="3" s="1"/>
  <c r="L88" i="3"/>
  <c r="R88" i="3" s="1"/>
  <c r="M88" i="3"/>
  <c r="S88" i="3" s="1"/>
  <c r="Z88" i="3" s="1"/>
  <c r="N88" i="3"/>
  <c r="T88" i="3" s="1"/>
  <c r="AA88" i="3" s="1"/>
  <c r="O88" i="3"/>
  <c r="U88" i="3" s="1"/>
  <c r="P88" i="3"/>
  <c r="V88" i="3" s="1"/>
  <c r="X88" i="3" s="1"/>
  <c r="K89" i="3"/>
  <c r="Q89" i="3" s="1"/>
  <c r="W89" i="3" s="1"/>
  <c r="L89" i="3"/>
  <c r="R89" i="3" s="1"/>
  <c r="M89" i="3"/>
  <c r="S89" i="3" s="1"/>
  <c r="Z89" i="3" s="1"/>
  <c r="N89" i="3"/>
  <c r="T89" i="3" s="1"/>
  <c r="AA89" i="3" s="1"/>
  <c r="O89" i="3"/>
  <c r="U89" i="3" s="1"/>
  <c r="P89" i="3"/>
  <c r="V89" i="3" s="1"/>
  <c r="X89" i="3" s="1"/>
  <c r="K90" i="3"/>
  <c r="L90" i="3"/>
  <c r="R90" i="3" s="1"/>
  <c r="M90" i="3"/>
  <c r="S90" i="3" s="1"/>
  <c r="Z90" i="3" s="1"/>
  <c r="N90" i="3"/>
  <c r="T90" i="3" s="1"/>
  <c r="AA90" i="3" s="1"/>
  <c r="O90" i="3"/>
  <c r="U90" i="3" s="1"/>
  <c r="P90" i="3"/>
  <c r="V90" i="3" s="1"/>
  <c r="X90" i="3" s="1"/>
  <c r="K91" i="3"/>
  <c r="Q91" i="3" s="1"/>
  <c r="W91" i="3" s="1"/>
  <c r="L91" i="3"/>
  <c r="R91" i="3" s="1"/>
  <c r="M91" i="3"/>
  <c r="S91" i="3" s="1"/>
  <c r="Z91" i="3" s="1"/>
  <c r="N91" i="3"/>
  <c r="T91" i="3" s="1"/>
  <c r="AA91" i="3" s="1"/>
  <c r="O91" i="3"/>
  <c r="U91" i="3" s="1"/>
  <c r="P91" i="3"/>
  <c r="V91" i="3" s="1"/>
  <c r="X91" i="3" s="1"/>
  <c r="K92" i="3"/>
  <c r="Q92" i="3" s="1"/>
  <c r="W92" i="3" s="1"/>
  <c r="L92" i="3"/>
  <c r="R92" i="3" s="1"/>
  <c r="M92" i="3"/>
  <c r="S92" i="3" s="1"/>
  <c r="Z92" i="3" s="1"/>
  <c r="N92" i="3"/>
  <c r="T92" i="3" s="1"/>
  <c r="AA92" i="3" s="1"/>
  <c r="O92" i="3"/>
  <c r="U92" i="3" s="1"/>
  <c r="P92" i="3"/>
  <c r="V92" i="3" s="1"/>
  <c r="X92" i="3" s="1"/>
  <c r="K93" i="3"/>
  <c r="Q93" i="3" s="1"/>
  <c r="W93" i="3" s="1"/>
  <c r="L93" i="3"/>
  <c r="R93" i="3" s="1"/>
  <c r="M93" i="3"/>
  <c r="S93" i="3" s="1"/>
  <c r="Z93" i="3" s="1"/>
  <c r="N93" i="3"/>
  <c r="T93" i="3" s="1"/>
  <c r="AA93" i="3" s="1"/>
  <c r="O93" i="3"/>
  <c r="U93" i="3" s="1"/>
  <c r="P93" i="3"/>
  <c r="V93" i="3" s="1"/>
  <c r="X93" i="3" s="1"/>
  <c r="K94" i="3"/>
  <c r="L94" i="3"/>
  <c r="R94" i="3" s="1"/>
  <c r="M94" i="3"/>
  <c r="S94" i="3" s="1"/>
  <c r="Z94" i="3" s="1"/>
  <c r="N94" i="3"/>
  <c r="T94" i="3" s="1"/>
  <c r="AA94" i="3" s="1"/>
  <c r="O94" i="3"/>
  <c r="U94" i="3" s="1"/>
  <c r="P94" i="3"/>
  <c r="V94" i="3" s="1"/>
  <c r="X94" i="3" s="1"/>
  <c r="K95" i="3"/>
  <c r="Q95" i="3" s="1"/>
  <c r="W95" i="3" s="1"/>
  <c r="L95" i="3"/>
  <c r="R95" i="3" s="1"/>
  <c r="M95" i="3"/>
  <c r="S95" i="3" s="1"/>
  <c r="Z95" i="3" s="1"/>
  <c r="N95" i="3"/>
  <c r="T95" i="3" s="1"/>
  <c r="AA95" i="3" s="1"/>
  <c r="O95" i="3"/>
  <c r="U95" i="3" s="1"/>
  <c r="P95" i="3"/>
  <c r="V95" i="3" s="1"/>
  <c r="X95" i="3" s="1"/>
  <c r="K96" i="3"/>
  <c r="Q96" i="3" s="1"/>
  <c r="W96" i="3" s="1"/>
  <c r="L96" i="3"/>
  <c r="R96" i="3" s="1"/>
  <c r="M96" i="3"/>
  <c r="S96" i="3" s="1"/>
  <c r="Z96" i="3" s="1"/>
  <c r="N96" i="3"/>
  <c r="T96" i="3" s="1"/>
  <c r="AA96" i="3" s="1"/>
  <c r="O96" i="3"/>
  <c r="U96" i="3" s="1"/>
  <c r="P96" i="3"/>
  <c r="V96" i="3" s="1"/>
  <c r="X96" i="3" s="1"/>
  <c r="K97" i="3"/>
  <c r="Q97" i="3" s="1"/>
  <c r="W97" i="3" s="1"/>
  <c r="L97" i="3"/>
  <c r="R97" i="3" s="1"/>
  <c r="M97" i="3"/>
  <c r="S97" i="3" s="1"/>
  <c r="Z97" i="3" s="1"/>
  <c r="N97" i="3"/>
  <c r="T97" i="3" s="1"/>
  <c r="AA97" i="3" s="1"/>
  <c r="O97" i="3"/>
  <c r="U97" i="3" s="1"/>
  <c r="P97" i="3"/>
  <c r="V97" i="3" s="1"/>
  <c r="X97" i="3" s="1"/>
  <c r="K98" i="3"/>
  <c r="L98" i="3"/>
  <c r="R98" i="3" s="1"/>
  <c r="M98" i="3"/>
  <c r="S98" i="3" s="1"/>
  <c r="Z98" i="3" s="1"/>
  <c r="N98" i="3"/>
  <c r="T98" i="3" s="1"/>
  <c r="AA98" i="3" s="1"/>
  <c r="O98" i="3"/>
  <c r="U98" i="3" s="1"/>
  <c r="P98" i="3"/>
  <c r="V98" i="3" s="1"/>
  <c r="X98" i="3" s="1"/>
  <c r="K99" i="3"/>
  <c r="L99" i="3"/>
  <c r="R99" i="3" s="1"/>
  <c r="M99" i="3"/>
  <c r="N99" i="3"/>
  <c r="T99" i="3" s="1"/>
  <c r="AA99" i="3" s="1"/>
  <c r="O99" i="3"/>
  <c r="U99" i="3" s="1"/>
  <c r="P99" i="3"/>
  <c r="V99" i="3" s="1"/>
  <c r="X99" i="3" s="1"/>
  <c r="Q100" i="3"/>
  <c r="W100" i="3" s="1"/>
  <c r="K100" i="3"/>
  <c r="L100" i="3"/>
  <c r="R100" i="3" s="1"/>
  <c r="M100" i="3"/>
  <c r="S100" i="3" s="1"/>
  <c r="Z100" i="3" s="1"/>
  <c r="N100" i="3"/>
  <c r="T100" i="3" s="1"/>
  <c r="AA100" i="3" s="1"/>
  <c r="O100" i="3"/>
  <c r="U100" i="3" s="1"/>
  <c r="P100" i="3"/>
  <c r="V100" i="3" s="1"/>
  <c r="X100" i="3" s="1"/>
  <c r="K101" i="3"/>
  <c r="L101" i="3"/>
  <c r="R101" i="3" s="1"/>
  <c r="M101" i="3"/>
  <c r="S101" i="3" s="1"/>
  <c r="Z101" i="3" s="1"/>
  <c r="N101" i="3"/>
  <c r="T101" i="3" s="1"/>
  <c r="AA101" i="3" s="1"/>
  <c r="O101" i="3"/>
  <c r="U101" i="3" s="1"/>
  <c r="P101" i="3"/>
  <c r="V101" i="3" s="1"/>
  <c r="X101" i="3" s="1"/>
  <c r="K102" i="3"/>
  <c r="Q102" i="3" s="1"/>
  <c r="W102" i="3" s="1"/>
  <c r="L102" i="3"/>
  <c r="R102" i="3" s="1"/>
  <c r="M102" i="3"/>
  <c r="S102" i="3" s="1"/>
  <c r="Z102" i="3" s="1"/>
  <c r="N102" i="3"/>
  <c r="T102" i="3" s="1"/>
  <c r="AA102" i="3" s="1"/>
  <c r="O102" i="3"/>
  <c r="U102" i="3" s="1"/>
  <c r="P102" i="3"/>
  <c r="V102" i="3" s="1"/>
  <c r="X102" i="3" s="1"/>
  <c r="K103" i="3"/>
  <c r="Q103" i="3" s="1"/>
  <c r="W103" i="3" s="1"/>
  <c r="L103" i="3"/>
  <c r="R103" i="3" s="1"/>
  <c r="M103" i="3"/>
  <c r="S103" i="3" s="1"/>
  <c r="Z103" i="3" s="1"/>
  <c r="N103" i="3"/>
  <c r="T103" i="3" s="1"/>
  <c r="AA103" i="3" s="1"/>
  <c r="O103" i="3"/>
  <c r="U103" i="3" s="1"/>
  <c r="P103" i="3"/>
  <c r="V103" i="3" s="1"/>
  <c r="X103" i="3" s="1"/>
  <c r="K104" i="3"/>
  <c r="Q104" i="3" s="1"/>
  <c r="W104" i="3" s="1"/>
  <c r="L104" i="3"/>
  <c r="R104" i="3" s="1"/>
  <c r="M104" i="3"/>
  <c r="S104" i="3" s="1"/>
  <c r="Z104" i="3" s="1"/>
  <c r="N104" i="3"/>
  <c r="T104" i="3" s="1"/>
  <c r="AA104" i="3" s="1"/>
  <c r="O104" i="3"/>
  <c r="U104" i="3" s="1"/>
  <c r="P104" i="3"/>
  <c r="V104" i="3" s="1"/>
  <c r="X104" i="3" s="1"/>
  <c r="K105" i="3"/>
  <c r="Q105" i="3" s="1"/>
  <c r="W105" i="3" s="1"/>
  <c r="L105" i="3"/>
  <c r="R105" i="3" s="1"/>
  <c r="M105" i="3"/>
  <c r="S105" i="3" s="1"/>
  <c r="Z105" i="3" s="1"/>
  <c r="N105" i="3"/>
  <c r="T105" i="3" s="1"/>
  <c r="AA105" i="3" s="1"/>
  <c r="O105" i="3"/>
  <c r="U105" i="3" s="1"/>
  <c r="P105" i="3"/>
  <c r="V105" i="3" s="1"/>
  <c r="X105" i="3" s="1"/>
  <c r="K106" i="3"/>
  <c r="Q106" i="3" s="1"/>
  <c r="W106" i="3" s="1"/>
  <c r="L106" i="3"/>
  <c r="R106" i="3" s="1"/>
  <c r="M106" i="3"/>
  <c r="S106" i="3" s="1"/>
  <c r="Z106" i="3" s="1"/>
  <c r="N106" i="3"/>
  <c r="T106" i="3" s="1"/>
  <c r="AA106" i="3" s="1"/>
  <c r="O106" i="3"/>
  <c r="U106" i="3" s="1"/>
  <c r="P106" i="3"/>
  <c r="V106" i="3" s="1"/>
  <c r="X106" i="3" s="1"/>
  <c r="K107" i="3"/>
  <c r="Q107" i="3" s="1"/>
  <c r="W107" i="3" s="1"/>
  <c r="L107" i="3"/>
  <c r="R107" i="3" s="1"/>
  <c r="M107" i="3"/>
  <c r="S107" i="3" s="1"/>
  <c r="Z107" i="3" s="1"/>
  <c r="N107" i="3"/>
  <c r="T107" i="3" s="1"/>
  <c r="AA107" i="3" s="1"/>
  <c r="O107" i="3"/>
  <c r="U107" i="3" s="1"/>
  <c r="P107" i="3"/>
  <c r="V107" i="3" s="1"/>
  <c r="X107" i="3" s="1"/>
  <c r="K108" i="3"/>
  <c r="Q108" i="3" s="1"/>
  <c r="W108" i="3" s="1"/>
  <c r="L108" i="3"/>
  <c r="R108" i="3" s="1"/>
  <c r="M108" i="3"/>
  <c r="S108" i="3" s="1"/>
  <c r="Z108" i="3" s="1"/>
  <c r="N108" i="3"/>
  <c r="T108" i="3" s="1"/>
  <c r="AA108" i="3" s="1"/>
  <c r="O108" i="3"/>
  <c r="U108" i="3" s="1"/>
  <c r="P108" i="3"/>
  <c r="V108" i="3" s="1"/>
  <c r="X108" i="3" s="1"/>
  <c r="K109" i="3"/>
  <c r="Q109" i="3" s="1"/>
  <c r="W109" i="3" s="1"/>
  <c r="L109" i="3"/>
  <c r="R109" i="3" s="1"/>
  <c r="M109" i="3"/>
  <c r="S109" i="3" s="1"/>
  <c r="Z109" i="3" s="1"/>
  <c r="N109" i="3"/>
  <c r="T109" i="3" s="1"/>
  <c r="AA109" i="3" s="1"/>
  <c r="O109" i="3"/>
  <c r="U109" i="3" s="1"/>
  <c r="P109" i="3"/>
  <c r="V109" i="3" s="1"/>
  <c r="X109" i="3" s="1"/>
  <c r="K110" i="3"/>
  <c r="Q110" i="3" s="1"/>
  <c r="W110" i="3" s="1"/>
  <c r="L110" i="3"/>
  <c r="R110" i="3" s="1"/>
  <c r="M110" i="3"/>
  <c r="S110" i="3" s="1"/>
  <c r="Z110" i="3" s="1"/>
  <c r="N110" i="3"/>
  <c r="T110" i="3" s="1"/>
  <c r="AA110" i="3" s="1"/>
  <c r="O110" i="3"/>
  <c r="U110" i="3" s="1"/>
  <c r="P110" i="3"/>
  <c r="V110" i="3" s="1"/>
  <c r="X110" i="3" s="1"/>
  <c r="K111" i="3"/>
  <c r="Q111" i="3" s="1"/>
  <c r="W111" i="3" s="1"/>
  <c r="L111" i="3"/>
  <c r="R111" i="3" s="1"/>
  <c r="M111" i="3"/>
  <c r="S111" i="3" s="1"/>
  <c r="Z111" i="3" s="1"/>
  <c r="N111" i="3"/>
  <c r="T111" i="3" s="1"/>
  <c r="AA111" i="3" s="1"/>
  <c r="O111" i="3"/>
  <c r="U111" i="3" s="1"/>
  <c r="P111" i="3"/>
  <c r="V111" i="3" s="1"/>
  <c r="X111" i="3" s="1"/>
  <c r="K112" i="3"/>
  <c r="Q112" i="3" s="1"/>
  <c r="W112" i="3" s="1"/>
  <c r="L112" i="3"/>
  <c r="R112" i="3" s="1"/>
  <c r="M112" i="3"/>
  <c r="S112" i="3" s="1"/>
  <c r="Z112" i="3" s="1"/>
  <c r="N112" i="3"/>
  <c r="T112" i="3" s="1"/>
  <c r="AA112" i="3" s="1"/>
  <c r="O112" i="3"/>
  <c r="U112" i="3" s="1"/>
  <c r="P112" i="3"/>
  <c r="V112" i="3" s="1"/>
  <c r="X112" i="3" s="1"/>
  <c r="K113" i="3"/>
  <c r="Q113" i="3" s="1"/>
  <c r="W113" i="3" s="1"/>
  <c r="L113" i="3"/>
  <c r="R113" i="3" s="1"/>
  <c r="M113" i="3"/>
  <c r="S113" i="3" s="1"/>
  <c r="Z113" i="3" s="1"/>
  <c r="N113" i="3"/>
  <c r="T113" i="3" s="1"/>
  <c r="AA113" i="3" s="1"/>
  <c r="O113" i="3"/>
  <c r="U113" i="3" s="1"/>
  <c r="P113" i="3"/>
  <c r="V113" i="3" s="1"/>
  <c r="X113" i="3" s="1"/>
  <c r="K114" i="3"/>
  <c r="Q114" i="3" s="1"/>
  <c r="W114" i="3" s="1"/>
  <c r="L114" i="3"/>
  <c r="R114" i="3" s="1"/>
  <c r="M114" i="3"/>
  <c r="S114" i="3" s="1"/>
  <c r="Z114" i="3" s="1"/>
  <c r="N114" i="3"/>
  <c r="T114" i="3" s="1"/>
  <c r="AA114" i="3" s="1"/>
  <c r="O114" i="3"/>
  <c r="U114" i="3" s="1"/>
  <c r="P114" i="3"/>
  <c r="V114" i="3" s="1"/>
  <c r="X114" i="3" s="1"/>
  <c r="K115" i="3"/>
  <c r="L115" i="3"/>
  <c r="R115" i="3" s="1"/>
  <c r="M115" i="3"/>
  <c r="S115" i="3" s="1"/>
  <c r="Z115" i="3" s="1"/>
  <c r="N115" i="3"/>
  <c r="T115" i="3" s="1"/>
  <c r="AA115" i="3" s="1"/>
  <c r="O115" i="3"/>
  <c r="U115" i="3" s="1"/>
  <c r="P115" i="3"/>
  <c r="V115" i="3" s="1"/>
  <c r="X115" i="3" s="1"/>
  <c r="Q115" i="3"/>
  <c r="W115" i="3" s="1"/>
  <c r="K116" i="3"/>
  <c r="Q116" i="3" s="1"/>
  <c r="W116" i="3" s="1"/>
  <c r="L116" i="3"/>
  <c r="R116" i="3" s="1"/>
  <c r="M116" i="3"/>
  <c r="S116" i="3" s="1"/>
  <c r="Z116" i="3" s="1"/>
  <c r="N116" i="3"/>
  <c r="T116" i="3" s="1"/>
  <c r="AA116" i="3" s="1"/>
  <c r="O116" i="3"/>
  <c r="U116" i="3" s="1"/>
  <c r="P116" i="3"/>
  <c r="V116" i="3" s="1"/>
  <c r="X116" i="3" s="1"/>
  <c r="K117" i="3"/>
  <c r="Q117" i="3" s="1"/>
  <c r="W117" i="3" s="1"/>
  <c r="L117" i="3"/>
  <c r="R117" i="3" s="1"/>
  <c r="M117" i="3"/>
  <c r="S117" i="3" s="1"/>
  <c r="Z117" i="3" s="1"/>
  <c r="N117" i="3"/>
  <c r="T117" i="3" s="1"/>
  <c r="AA117" i="3" s="1"/>
  <c r="O117" i="3"/>
  <c r="U117" i="3" s="1"/>
  <c r="P117" i="3"/>
  <c r="V117" i="3" s="1"/>
  <c r="X117" i="3" s="1"/>
  <c r="K118" i="3"/>
  <c r="Q118" i="3" s="1"/>
  <c r="W118" i="3" s="1"/>
  <c r="L118" i="3"/>
  <c r="R118" i="3" s="1"/>
  <c r="M118" i="3"/>
  <c r="S118" i="3" s="1"/>
  <c r="Z118" i="3" s="1"/>
  <c r="N118" i="3"/>
  <c r="T118" i="3" s="1"/>
  <c r="AA118" i="3" s="1"/>
  <c r="O118" i="3"/>
  <c r="U118" i="3" s="1"/>
  <c r="P118" i="3"/>
  <c r="V118" i="3" s="1"/>
  <c r="X118" i="3" s="1"/>
  <c r="K119" i="3"/>
  <c r="L119" i="3"/>
  <c r="R119" i="3" s="1"/>
  <c r="M119" i="3"/>
  <c r="S119" i="3" s="1"/>
  <c r="Z119" i="3" s="1"/>
  <c r="N119" i="3"/>
  <c r="T119" i="3" s="1"/>
  <c r="AA119" i="3" s="1"/>
  <c r="O119" i="3"/>
  <c r="U119" i="3" s="1"/>
  <c r="P119" i="3"/>
  <c r="V119" i="3" s="1"/>
  <c r="X119" i="3" s="1"/>
  <c r="K120" i="3"/>
  <c r="Q120" i="3" s="1"/>
  <c r="W120" i="3" s="1"/>
  <c r="L120" i="3"/>
  <c r="R120" i="3" s="1"/>
  <c r="M120" i="3"/>
  <c r="S120" i="3" s="1"/>
  <c r="Z120" i="3" s="1"/>
  <c r="N120" i="3"/>
  <c r="T120" i="3" s="1"/>
  <c r="AA120" i="3" s="1"/>
  <c r="O120" i="3"/>
  <c r="U120" i="3" s="1"/>
  <c r="P120" i="3"/>
  <c r="V120" i="3" s="1"/>
  <c r="X120" i="3" s="1"/>
  <c r="K121" i="3"/>
  <c r="Q121" i="3" s="1"/>
  <c r="W121" i="3" s="1"/>
  <c r="L121" i="3"/>
  <c r="R121" i="3" s="1"/>
  <c r="M121" i="3"/>
  <c r="S121" i="3" s="1"/>
  <c r="Z121" i="3" s="1"/>
  <c r="N121" i="3"/>
  <c r="T121" i="3" s="1"/>
  <c r="AA121" i="3" s="1"/>
  <c r="O121" i="3"/>
  <c r="U121" i="3" s="1"/>
  <c r="P121" i="3"/>
  <c r="V121" i="3" s="1"/>
  <c r="X121" i="3" s="1"/>
  <c r="K122" i="3"/>
  <c r="Q122" i="3" s="1"/>
  <c r="W122" i="3" s="1"/>
  <c r="L122" i="3"/>
  <c r="R122" i="3" s="1"/>
  <c r="M122" i="3"/>
  <c r="S122" i="3" s="1"/>
  <c r="Z122" i="3" s="1"/>
  <c r="N122" i="3"/>
  <c r="T122" i="3" s="1"/>
  <c r="AA122" i="3" s="1"/>
  <c r="O122" i="3"/>
  <c r="U122" i="3" s="1"/>
  <c r="P122" i="3"/>
  <c r="V122" i="3" s="1"/>
  <c r="X122" i="3" s="1"/>
  <c r="K123" i="3"/>
  <c r="Q123" i="3" s="1"/>
  <c r="W123" i="3" s="1"/>
  <c r="L123" i="3"/>
  <c r="R123" i="3" s="1"/>
  <c r="M123" i="3"/>
  <c r="S123" i="3" s="1"/>
  <c r="Z123" i="3" s="1"/>
  <c r="N123" i="3"/>
  <c r="T123" i="3" s="1"/>
  <c r="AA123" i="3" s="1"/>
  <c r="O123" i="3"/>
  <c r="U123" i="3" s="1"/>
  <c r="P123" i="3"/>
  <c r="V123" i="3" s="1"/>
  <c r="X123" i="3" s="1"/>
  <c r="K124" i="3"/>
  <c r="Q124" i="3" s="1"/>
  <c r="W124" i="3" s="1"/>
  <c r="L124" i="3"/>
  <c r="R124" i="3" s="1"/>
  <c r="M124" i="3"/>
  <c r="S124" i="3" s="1"/>
  <c r="Z124" i="3" s="1"/>
  <c r="N124" i="3"/>
  <c r="T124" i="3" s="1"/>
  <c r="AA124" i="3" s="1"/>
  <c r="O124" i="3"/>
  <c r="U124" i="3" s="1"/>
  <c r="P124" i="3"/>
  <c r="V124" i="3" s="1"/>
  <c r="X124" i="3" s="1"/>
  <c r="K125" i="3"/>
  <c r="Q125" i="3" s="1"/>
  <c r="W125" i="3" s="1"/>
  <c r="L125" i="3"/>
  <c r="R125" i="3" s="1"/>
  <c r="M125" i="3"/>
  <c r="S125" i="3" s="1"/>
  <c r="Z125" i="3" s="1"/>
  <c r="N125" i="3"/>
  <c r="T125" i="3" s="1"/>
  <c r="AA125" i="3" s="1"/>
  <c r="O125" i="3"/>
  <c r="U125" i="3" s="1"/>
  <c r="P125" i="3"/>
  <c r="V125" i="3" s="1"/>
  <c r="X125" i="3" s="1"/>
  <c r="K126" i="3"/>
  <c r="Q126" i="3" s="1"/>
  <c r="W126" i="3" s="1"/>
  <c r="L126" i="3"/>
  <c r="R126" i="3" s="1"/>
  <c r="M126" i="3"/>
  <c r="S126" i="3" s="1"/>
  <c r="Z126" i="3" s="1"/>
  <c r="N126" i="3"/>
  <c r="T126" i="3" s="1"/>
  <c r="AA126" i="3" s="1"/>
  <c r="O126" i="3"/>
  <c r="U126" i="3" s="1"/>
  <c r="P126" i="3"/>
  <c r="V126" i="3" s="1"/>
  <c r="X126" i="3" s="1"/>
  <c r="K127" i="3"/>
  <c r="Q127" i="3" s="1"/>
  <c r="W127" i="3" s="1"/>
  <c r="L127" i="3"/>
  <c r="R127" i="3" s="1"/>
  <c r="M127" i="3"/>
  <c r="S127" i="3" s="1"/>
  <c r="Z127" i="3" s="1"/>
  <c r="N127" i="3"/>
  <c r="T127" i="3" s="1"/>
  <c r="AA127" i="3" s="1"/>
  <c r="O127" i="3"/>
  <c r="U127" i="3" s="1"/>
  <c r="P127" i="3"/>
  <c r="V127" i="3" s="1"/>
  <c r="X127" i="3" s="1"/>
  <c r="K128" i="3"/>
  <c r="Q128" i="3" s="1"/>
  <c r="W128" i="3" s="1"/>
  <c r="L128" i="3"/>
  <c r="R128" i="3" s="1"/>
  <c r="M128" i="3"/>
  <c r="S128" i="3" s="1"/>
  <c r="Z128" i="3" s="1"/>
  <c r="N128" i="3"/>
  <c r="T128" i="3" s="1"/>
  <c r="AA128" i="3" s="1"/>
  <c r="O128" i="3"/>
  <c r="U128" i="3" s="1"/>
  <c r="P128" i="3"/>
  <c r="V128" i="3" s="1"/>
  <c r="X128" i="3" s="1"/>
  <c r="K129" i="3"/>
  <c r="L129" i="3"/>
  <c r="R129" i="3" s="1"/>
  <c r="M129" i="3"/>
  <c r="S129" i="3" s="1"/>
  <c r="Z129" i="3" s="1"/>
  <c r="N129" i="3"/>
  <c r="T129" i="3" s="1"/>
  <c r="AA129" i="3" s="1"/>
  <c r="O129" i="3"/>
  <c r="U129" i="3" s="1"/>
  <c r="P129" i="3"/>
  <c r="V129" i="3" s="1"/>
  <c r="X129" i="3" s="1"/>
  <c r="K130" i="3"/>
  <c r="Q130" i="3" s="1"/>
  <c r="W130" i="3" s="1"/>
  <c r="L130" i="3"/>
  <c r="R130" i="3" s="1"/>
  <c r="M130" i="3"/>
  <c r="S130" i="3" s="1"/>
  <c r="Z130" i="3" s="1"/>
  <c r="N130" i="3"/>
  <c r="T130" i="3" s="1"/>
  <c r="AA130" i="3" s="1"/>
  <c r="O130" i="3"/>
  <c r="U130" i="3" s="1"/>
  <c r="P130" i="3"/>
  <c r="V130" i="3" s="1"/>
  <c r="X130" i="3" s="1"/>
  <c r="K131" i="3"/>
  <c r="Q131" i="3" s="1"/>
  <c r="W131" i="3" s="1"/>
  <c r="L131" i="3"/>
  <c r="R131" i="3" s="1"/>
  <c r="M131" i="3"/>
  <c r="S131" i="3" s="1"/>
  <c r="Z131" i="3" s="1"/>
  <c r="N131" i="3"/>
  <c r="T131" i="3" s="1"/>
  <c r="AA131" i="3" s="1"/>
  <c r="O131" i="3"/>
  <c r="U131" i="3" s="1"/>
  <c r="P131" i="3"/>
  <c r="V131" i="3" s="1"/>
  <c r="X131" i="3" s="1"/>
  <c r="K132" i="3"/>
  <c r="Q132" i="3" s="1"/>
  <c r="W132" i="3" s="1"/>
  <c r="L132" i="3"/>
  <c r="R132" i="3" s="1"/>
  <c r="M132" i="3"/>
  <c r="S132" i="3" s="1"/>
  <c r="Z132" i="3" s="1"/>
  <c r="N132" i="3"/>
  <c r="T132" i="3" s="1"/>
  <c r="AA132" i="3" s="1"/>
  <c r="O132" i="3"/>
  <c r="U132" i="3" s="1"/>
  <c r="P132" i="3"/>
  <c r="V132" i="3" s="1"/>
  <c r="X132" i="3" s="1"/>
  <c r="K133" i="3"/>
  <c r="Q133" i="3" s="1"/>
  <c r="W133" i="3" s="1"/>
  <c r="L133" i="3"/>
  <c r="R133" i="3" s="1"/>
  <c r="M133" i="3"/>
  <c r="S133" i="3" s="1"/>
  <c r="Z133" i="3" s="1"/>
  <c r="N133" i="3"/>
  <c r="T133" i="3" s="1"/>
  <c r="AA133" i="3" s="1"/>
  <c r="O133" i="3"/>
  <c r="U133" i="3" s="1"/>
  <c r="P133" i="3"/>
  <c r="V133" i="3" s="1"/>
  <c r="X133" i="3" s="1"/>
  <c r="K134" i="3"/>
  <c r="Q134" i="3" s="1"/>
  <c r="W134" i="3" s="1"/>
  <c r="L134" i="3"/>
  <c r="R134" i="3" s="1"/>
  <c r="M134" i="3"/>
  <c r="S134" i="3" s="1"/>
  <c r="Z134" i="3" s="1"/>
  <c r="N134" i="3"/>
  <c r="T134" i="3" s="1"/>
  <c r="AA134" i="3" s="1"/>
  <c r="O134" i="3"/>
  <c r="U134" i="3" s="1"/>
  <c r="P134" i="3"/>
  <c r="V134" i="3" s="1"/>
  <c r="X134" i="3" s="1"/>
  <c r="K135" i="3"/>
  <c r="Q135" i="3" s="1"/>
  <c r="W135" i="3" s="1"/>
  <c r="L135" i="3"/>
  <c r="R135" i="3" s="1"/>
  <c r="M135" i="3"/>
  <c r="S135" i="3" s="1"/>
  <c r="Z135" i="3" s="1"/>
  <c r="N135" i="3"/>
  <c r="T135" i="3" s="1"/>
  <c r="AA135" i="3" s="1"/>
  <c r="O135" i="3"/>
  <c r="U135" i="3" s="1"/>
  <c r="P135" i="3"/>
  <c r="V135" i="3" s="1"/>
  <c r="X135" i="3" s="1"/>
  <c r="K136" i="3"/>
  <c r="Q136" i="3" s="1"/>
  <c r="W136" i="3" s="1"/>
  <c r="L136" i="3"/>
  <c r="R136" i="3" s="1"/>
  <c r="M136" i="3"/>
  <c r="S136" i="3" s="1"/>
  <c r="Z136" i="3" s="1"/>
  <c r="N136" i="3"/>
  <c r="T136" i="3" s="1"/>
  <c r="AA136" i="3" s="1"/>
  <c r="O136" i="3"/>
  <c r="U136" i="3" s="1"/>
  <c r="P136" i="3"/>
  <c r="V136" i="3" s="1"/>
  <c r="X136" i="3" s="1"/>
  <c r="K137" i="3"/>
  <c r="Q137" i="3" s="1"/>
  <c r="W137" i="3" s="1"/>
  <c r="L137" i="3"/>
  <c r="R137" i="3" s="1"/>
  <c r="M137" i="3"/>
  <c r="S137" i="3" s="1"/>
  <c r="Z137" i="3" s="1"/>
  <c r="N137" i="3"/>
  <c r="T137" i="3" s="1"/>
  <c r="AA137" i="3" s="1"/>
  <c r="O137" i="3"/>
  <c r="U137" i="3" s="1"/>
  <c r="P137" i="3"/>
  <c r="V137" i="3" s="1"/>
  <c r="X137" i="3" s="1"/>
  <c r="K138" i="3"/>
  <c r="Q138" i="3" s="1"/>
  <c r="W138" i="3" s="1"/>
  <c r="L138" i="3"/>
  <c r="R138" i="3" s="1"/>
  <c r="M138" i="3"/>
  <c r="S138" i="3" s="1"/>
  <c r="Z138" i="3" s="1"/>
  <c r="N138" i="3"/>
  <c r="T138" i="3" s="1"/>
  <c r="AA138" i="3" s="1"/>
  <c r="O138" i="3"/>
  <c r="U138" i="3" s="1"/>
  <c r="P138" i="3"/>
  <c r="V138" i="3" s="1"/>
  <c r="X138" i="3" s="1"/>
  <c r="K139" i="3"/>
  <c r="L139" i="3"/>
  <c r="R139" i="3" s="1"/>
  <c r="M139" i="3"/>
  <c r="S139" i="3" s="1"/>
  <c r="Z139" i="3" s="1"/>
  <c r="N139" i="3"/>
  <c r="T139" i="3" s="1"/>
  <c r="AA139" i="3" s="1"/>
  <c r="O139" i="3"/>
  <c r="U139" i="3" s="1"/>
  <c r="P139" i="3"/>
  <c r="V139" i="3" s="1"/>
  <c r="X139" i="3" s="1"/>
  <c r="K140" i="3"/>
  <c r="Q140" i="3" s="1"/>
  <c r="W140" i="3" s="1"/>
  <c r="L140" i="3"/>
  <c r="R140" i="3" s="1"/>
  <c r="M140" i="3"/>
  <c r="S140" i="3" s="1"/>
  <c r="Z140" i="3" s="1"/>
  <c r="N140" i="3"/>
  <c r="T140" i="3" s="1"/>
  <c r="AA140" i="3" s="1"/>
  <c r="O140" i="3"/>
  <c r="U140" i="3" s="1"/>
  <c r="P140" i="3"/>
  <c r="V140" i="3" s="1"/>
  <c r="X140" i="3" s="1"/>
  <c r="K141" i="3"/>
  <c r="Q141" i="3" s="1"/>
  <c r="W141" i="3" s="1"/>
  <c r="L141" i="3"/>
  <c r="R141" i="3" s="1"/>
  <c r="M141" i="3"/>
  <c r="S141" i="3" s="1"/>
  <c r="Z141" i="3" s="1"/>
  <c r="N141" i="3"/>
  <c r="T141" i="3" s="1"/>
  <c r="AA141" i="3" s="1"/>
  <c r="O141" i="3"/>
  <c r="U141" i="3" s="1"/>
  <c r="P141" i="3"/>
  <c r="V141" i="3" s="1"/>
  <c r="X141" i="3" s="1"/>
  <c r="K142" i="3"/>
  <c r="Q142" i="3" s="1"/>
  <c r="W142" i="3" s="1"/>
  <c r="L142" i="3"/>
  <c r="R142" i="3" s="1"/>
  <c r="M142" i="3"/>
  <c r="S142" i="3" s="1"/>
  <c r="Z142" i="3" s="1"/>
  <c r="N142" i="3"/>
  <c r="T142" i="3" s="1"/>
  <c r="AA142" i="3" s="1"/>
  <c r="O142" i="3"/>
  <c r="U142" i="3" s="1"/>
  <c r="P142" i="3"/>
  <c r="V142" i="3" s="1"/>
  <c r="X142" i="3" s="1"/>
  <c r="K143" i="3"/>
  <c r="Q143" i="3" s="1"/>
  <c r="W143" i="3" s="1"/>
  <c r="L143" i="3"/>
  <c r="R143" i="3" s="1"/>
  <c r="M143" i="3"/>
  <c r="S143" i="3" s="1"/>
  <c r="Z143" i="3" s="1"/>
  <c r="N143" i="3"/>
  <c r="T143" i="3" s="1"/>
  <c r="AA143" i="3" s="1"/>
  <c r="O143" i="3"/>
  <c r="U143" i="3" s="1"/>
  <c r="P143" i="3"/>
  <c r="V143" i="3" s="1"/>
  <c r="X143" i="3" s="1"/>
  <c r="K144" i="3"/>
  <c r="L144" i="3"/>
  <c r="R144" i="3" s="1"/>
  <c r="M144" i="3"/>
  <c r="S144" i="3" s="1"/>
  <c r="Z144" i="3" s="1"/>
  <c r="N144" i="3"/>
  <c r="T144" i="3" s="1"/>
  <c r="AA144" i="3" s="1"/>
  <c r="O144" i="3"/>
  <c r="U144" i="3" s="1"/>
  <c r="P144" i="3"/>
  <c r="V144" i="3" s="1"/>
  <c r="X144" i="3" s="1"/>
  <c r="K145" i="3"/>
  <c r="Q145" i="3" s="1"/>
  <c r="W145" i="3" s="1"/>
  <c r="L145" i="3"/>
  <c r="R145" i="3" s="1"/>
  <c r="M145" i="3"/>
  <c r="S145" i="3" s="1"/>
  <c r="Z145" i="3" s="1"/>
  <c r="N145" i="3"/>
  <c r="T145" i="3" s="1"/>
  <c r="AA145" i="3" s="1"/>
  <c r="O145" i="3"/>
  <c r="U145" i="3" s="1"/>
  <c r="P145" i="3"/>
  <c r="V145" i="3" s="1"/>
  <c r="X145" i="3" s="1"/>
  <c r="K146" i="3"/>
  <c r="Q146" i="3" s="1"/>
  <c r="W146" i="3" s="1"/>
  <c r="L146" i="3"/>
  <c r="R146" i="3" s="1"/>
  <c r="M146" i="3"/>
  <c r="S146" i="3" s="1"/>
  <c r="Z146" i="3" s="1"/>
  <c r="N146" i="3"/>
  <c r="T146" i="3" s="1"/>
  <c r="AA146" i="3" s="1"/>
  <c r="O146" i="3"/>
  <c r="U146" i="3" s="1"/>
  <c r="P146" i="3"/>
  <c r="V146" i="3" s="1"/>
  <c r="X146" i="3" s="1"/>
  <c r="K147" i="3"/>
  <c r="Q147" i="3" s="1"/>
  <c r="W147" i="3" s="1"/>
  <c r="L147" i="3"/>
  <c r="R147" i="3" s="1"/>
  <c r="M147" i="3"/>
  <c r="S147" i="3" s="1"/>
  <c r="Z147" i="3" s="1"/>
  <c r="N147" i="3"/>
  <c r="T147" i="3" s="1"/>
  <c r="AA147" i="3" s="1"/>
  <c r="O147" i="3"/>
  <c r="U147" i="3" s="1"/>
  <c r="P147" i="3"/>
  <c r="V147" i="3" s="1"/>
  <c r="X147" i="3" s="1"/>
  <c r="K148" i="3"/>
  <c r="Q148" i="3" s="1"/>
  <c r="W148" i="3" s="1"/>
  <c r="L148" i="3"/>
  <c r="R148" i="3" s="1"/>
  <c r="M148" i="3"/>
  <c r="S148" i="3" s="1"/>
  <c r="Z148" i="3" s="1"/>
  <c r="N148" i="3"/>
  <c r="T148" i="3" s="1"/>
  <c r="AA148" i="3" s="1"/>
  <c r="O148" i="3"/>
  <c r="U148" i="3" s="1"/>
  <c r="P148" i="3"/>
  <c r="V148" i="3" s="1"/>
  <c r="X148" i="3" s="1"/>
  <c r="K149" i="3"/>
  <c r="Q149" i="3" s="1"/>
  <c r="W149" i="3" s="1"/>
  <c r="L149" i="3"/>
  <c r="R149" i="3" s="1"/>
  <c r="M149" i="3"/>
  <c r="S149" i="3" s="1"/>
  <c r="Z149" i="3" s="1"/>
  <c r="N149" i="3"/>
  <c r="T149" i="3" s="1"/>
  <c r="AA149" i="3" s="1"/>
  <c r="O149" i="3"/>
  <c r="U149" i="3" s="1"/>
  <c r="P149" i="3"/>
  <c r="V149" i="3" s="1"/>
  <c r="X149" i="3" s="1"/>
  <c r="K150" i="3"/>
  <c r="Q150" i="3" s="1"/>
  <c r="W150" i="3" s="1"/>
  <c r="L150" i="3"/>
  <c r="R150" i="3" s="1"/>
  <c r="M150" i="3"/>
  <c r="S150" i="3" s="1"/>
  <c r="Z150" i="3" s="1"/>
  <c r="N150" i="3"/>
  <c r="T150" i="3" s="1"/>
  <c r="AA150" i="3" s="1"/>
  <c r="O150" i="3"/>
  <c r="U150" i="3" s="1"/>
  <c r="P150" i="3"/>
  <c r="V150" i="3" s="1"/>
  <c r="X150" i="3" s="1"/>
  <c r="K151" i="3"/>
  <c r="Q151" i="3" s="1"/>
  <c r="W151" i="3" s="1"/>
  <c r="L151" i="3"/>
  <c r="R151" i="3" s="1"/>
  <c r="M151" i="3"/>
  <c r="S151" i="3" s="1"/>
  <c r="Z151" i="3" s="1"/>
  <c r="N151" i="3"/>
  <c r="T151" i="3" s="1"/>
  <c r="AA151" i="3" s="1"/>
  <c r="O151" i="3"/>
  <c r="U151" i="3" s="1"/>
  <c r="P151" i="3"/>
  <c r="V151" i="3" s="1"/>
  <c r="X151" i="3" s="1"/>
  <c r="K152" i="3"/>
  <c r="Q152" i="3" s="1"/>
  <c r="W152" i="3" s="1"/>
  <c r="L152" i="3"/>
  <c r="R152" i="3" s="1"/>
  <c r="M152" i="3"/>
  <c r="S152" i="3" s="1"/>
  <c r="Z152" i="3" s="1"/>
  <c r="N152" i="3"/>
  <c r="T152" i="3" s="1"/>
  <c r="AA152" i="3" s="1"/>
  <c r="O152" i="3"/>
  <c r="U152" i="3" s="1"/>
  <c r="P152" i="3"/>
  <c r="V152" i="3" s="1"/>
  <c r="X152" i="3" s="1"/>
  <c r="K153" i="3"/>
  <c r="L153" i="3"/>
  <c r="R153" i="3" s="1"/>
  <c r="M153" i="3"/>
  <c r="S153" i="3" s="1"/>
  <c r="Z153" i="3" s="1"/>
  <c r="N153" i="3"/>
  <c r="T153" i="3" s="1"/>
  <c r="AA153" i="3" s="1"/>
  <c r="O153" i="3"/>
  <c r="U153" i="3" s="1"/>
  <c r="P153" i="3"/>
  <c r="V153" i="3" s="1"/>
  <c r="X153" i="3" s="1"/>
  <c r="K154" i="3"/>
  <c r="Q154" i="3" s="1"/>
  <c r="W154" i="3" s="1"/>
  <c r="L154" i="3"/>
  <c r="R154" i="3" s="1"/>
  <c r="M154" i="3"/>
  <c r="S154" i="3" s="1"/>
  <c r="Z154" i="3" s="1"/>
  <c r="N154" i="3"/>
  <c r="T154" i="3" s="1"/>
  <c r="AA154" i="3" s="1"/>
  <c r="O154" i="3"/>
  <c r="U154" i="3" s="1"/>
  <c r="P154" i="3"/>
  <c r="V154" i="3" s="1"/>
  <c r="X154" i="3" s="1"/>
  <c r="K155" i="3"/>
  <c r="L155" i="3"/>
  <c r="R155" i="3" s="1"/>
  <c r="M155" i="3"/>
  <c r="S155" i="3" s="1"/>
  <c r="Z155" i="3" s="1"/>
  <c r="N155" i="3"/>
  <c r="T155" i="3" s="1"/>
  <c r="AA155" i="3" s="1"/>
  <c r="O155" i="3"/>
  <c r="U155" i="3" s="1"/>
  <c r="P155" i="3"/>
  <c r="V155" i="3" s="1"/>
  <c r="X155" i="3" s="1"/>
  <c r="K156" i="3"/>
  <c r="Q156" i="3" s="1"/>
  <c r="W156" i="3" s="1"/>
  <c r="L156" i="3"/>
  <c r="R156" i="3" s="1"/>
  <c r="M156" i="3"/>
  <c r="S156" i="3" s="1"/>
  <c r="Z156" i="3" s="1"/>
  <c r="N156" i="3"/>
  <c r="T156" i="3" s="1"/>
  <c r="AA156" i="3" s="1"/>
  <c r="O156" i="3"/>
  <c r="U156" i="3" s="1"/>
  <c r="P156" i="3"/>
  <c r="V156" i="3" s="1"/>
  <c r="X156" i="3" s="1"/>
  <c r="K157" i="3"/>
  <c r="Q157" i="3" s="1"/>
  <c r="W157" i="3" s="1"/>
  <c r="L157" i="3"/>
  <c r="R157" i="3" s="1"/>
  <c r="M157" i="3"/>
  <c r="S157" i="3" s="1"/>
  <c r="Z157" i="3" s="1"/>
  <c r="N157" i="3"/>
  <c r="T157" i="3" s="1"/>
  <c r="AA157" i="3" s="1"/>
  <c r="O157" i="3"/>
  <c r="U157" i="3" s="1"/>
  <c r="P157" i="3"/>
  <c r="V157" i="3" s="1"/>
  <c r="X157" i="3" s="1"/>
  <c r="K158" i="3"/>
  <c r="L158" i="3"/>
  <c r="R158" i="3" s="1"/>
  <c r="M158" i="3"/>
  <c r="S158" i="3" s="1"/>
  <c r="Z158" i="3" s="1"/>
  <c r="N158" i="3"/>
  <c r="T158" i="3" s="1"/>
  <c r="AA158" i="3" s="1"/>
  <c r="O158" i="3"/>
  <c r="U158" i="3" s="1"/>
  <c r="P158" i="3"/>
  <c r="V158" i="3" s="1"/>
  <c r="X158" i="3" s="1"/>
  <c r="K159" i="3"/>
  <c r="Q159" i="3" s="1"/>
  <c r="W159" i="3" s="1"/>
  <c r="L159" i="3"/>
  <c r="R159" i="3" s="1"/>
  <c r="M159" i="3"/>
  <c r="S159" i="3" s="1"/>
  <c r="Z159" i="3" s="1"/>
  <c r="N159" i="3"/>
  <c r="T159" i="3" s="1"/>
  <c r="AA159" i="3" s="1"/>
  <c r="O159" i="3"/>
  <c r="U159" i="3" s="1"/>
  <c r="P159" i="3"/>
  <c r="V159" i="3" s="1"/>
  <c r="X159" i="3" s="1"/>
  <c r="K160" i="3"/>
  <c r="L160" i="3"/>
  <c r="R160" i="3" s="1"/>
  <c r="M160" i="3"/>
  <c r="S160" i="3" s="1"/>
  <c r="Z160" i="3" s="1"/>
  <c r="N160" i="3"/>
  <c r="T160" i="3" s="1"/>
  <c r="AA160" i="3" s="1"/>
  <c r="O160" i="3"/>
  <c r="U160" i="3" s="1"/>
  <c r="P160" i="3"/>
  <c r="V160" i="3" s="1"/>
  <c r="X160" i="3" s="1"/>
  <c r="K161" i="3"/>
  <c r="Q161" i="3" s="1"/>
  <c r="W161" i="3" s="1"/>
  <c r="L161" i="3"/>
  <c r="R161" i="3" s="1"/>
  <c r="M161" i="3"/>
  <c r="S161" i="3" s="1"/>
  <c r="Z161" i="3" s="1"/>
  <c r="N161" i="3"/>
  <c r="T161" i="3" s="1"/>
  <c r="AA161" i="3" s="1"/>
  <c r="O161" i="3"/>
  <c r="U161" i="3" s="1"/>
  <c r="P161" i="3"/>
  <c r="V161" i="3" s="1"/>
  <c r="X161" i="3" s="1"/>
  <c r="K162" i="3"/>
  <c r="Q162" i="3" s="1"/>
  <c r="W162" i="3" s="1"/>
  <c r="L162" i="3"/>
  <c r="R162" i="3" s="1"/>
  <c r="M162" i="3"/>
  <c r="S162" i="3" s="1"/>
  <c r="Z162" i="3" s="1"/>
  <c r="N162" i="3"/>
  <c r="T162" i="3" s="1"/>
  <c r="AA162" i="3" s="1"/>
  <c r="O162" i="3"/>
  <c r="U162" i="3" s="1"/>
  <c r="P162" i="3"/>
  <c r="V162" i="3" s="1"/>
  <c r="X162" i="3" s="1"/>
  <c r="K163" i="3"/>
  <c r="Q163" i="3" s="1"/>
  <c r="W163" i="3" s="1"/>
  <c r="L163" i="3"/>
  <c r="R163" i="3" s="1"/>
  <c r="M163" i="3"/>
  <c r="S163" i="3" s="1"/>
  <c r="Z163" i="3" s="1"/>
  <c r="N163" i="3"/>
  <c r="T163" i="3" s="1"/>
  <c r="AA163" i="3" s="1"/>
  <c r="O163" i="3"/>
  <c r="P163" i="3"/>
  <c r="V163" i="3" s="1"/>
  <c r="X163" i="3" s="1"/>
  <c r="U163" i="3"/>
  <c r="K164" i="3"/>
  <c r="Q164" i="3" s="1"/>
  <c r="W164" i="3" s="1"/>
  <c r="L164" i="3"/>
  <c r="R164" i="3" s="1"/>
  <c r="M164" i="3"/>
  <c r="S164" i="3" s="1"/>
  <c r="Z164" i="3" s="1"/>
  <c r="N164" i="3"/>
  <c r="T164" i="3" s="1"/>
  <c r="AA164" i="3" s="1"/>
  <c r="O164" i="3"/>
  <c r="U164" i="3" s="1"/>
  <c r="P164" i="3"/>
  <c r="V164" i="3" s="1"/>
  <c r="X164" i="3" s="1"/>
  <c r="K165" i="3"/>
  <c r="Q165" i="3" s="1"/>
  <c r="W165" i="3" s="1"/>
  <c r="L165" i="3"/>
  <c r="R165" i="3" s="1"/>
  <c r="M165" i="3"/>
  <c r="S165" i="3" s="1"/>
  <c r="Z165" i="3" s="1"/>
  <c r="N165" i="3"/>
  <c r="T165" i="3" s="1"/>
  <c r="AA165" i="3" s="1"/>
  <c r="O165" i="3"/>
  <c r="U165" i="3" s="1"/>
  <c r="P165" i="3"/>
  <c r="V165" i="3" s="1"/>
  <c r="X165" i="3" s="1"/>
  <c r="K166" i="3"/>
  <c r="Q166" i="3" s="1"/>
  <c r="W166" i="3" s="1"/>
  <c r="L166" i="3"/>
  <c r="R166" i="3" s="1"/>
  <c r="M166" i="3"/>
  <c r="S166" i="3" s="1"/>
  <c r="Z166" i="3" s="1"/>
  <c r="N166" i="3"/>
  <c r="T166" i="3" s="1"/>
  <c r="AA166" i="3" s="1"/>
  <c r="O166" i="3"/>
  <c r="U166" i="3" s="1"/>
  <c r="P166" i="3"/>
  <c r="V166" i="3" s="1"/>
  <c r="X166" i="3" s="1"/>
  <c r="K167" i="3"/>
  <c r="Q167" i="3" s="1"/>
  <c r="W167" i="3" s="1"/>
  <c r="L167" i="3"/>
  <c r="R167" i="3" s="1"/>
  <c r="M167" i="3"/>
  <c r="S167" i="3" s="1"/>
  <c r="Z167" i="3" s="1"/>
  <c r="N167" i="3"/>
  <c r="T167" i="3" s="1"/>
  <c r="AA167" i="3" s="1"/>
  <c r="O167" i="3"/>
  <c r="U167" i="3" s="1"/>
  <c r="P167" i="3"/>
  <c r="V167" i="3" s="1"/>
  <c r="X167" i="3" s="1"/>
  <c r="K168" i="3"/>
  <c r="Q168" i="3" s="1"/>
  <c r="W168" i="3" s="1"/>
  <c r="L168" i="3"/>
  <c r="R168" i="3" s="1"/>
  <c r="M168" i="3"/>
  <c r="S168" i="3" s="1"/>
  <c r="Z168" i="3" s="1"/>
  <c r="N168" i="3"/>
  <c r="T168" i="3" s="1"/>
  <c r="AA168" i="3" s="1"/>
  <c r="O168" i="3"/>
  <c r="U168" i="3" s="1"/>
  <c r="P168" i="3"/>
  <c r="V168" i="3" s="1"/>
  <c r="X168" i="3" s="1"/>
  <c r="K169" i="3"/>
  <c r="L169" i="3"/>
  <c r="R169" i="3" s="1"/>
  <c r="M169" i="3"/>
  <c r="S169" i="3" s="1"/>
  <c r="Z169" i="3" s="1"/>
  <c r="N169" i="3"/>
  <c r="T169" i="3" s="1"/>
  <c r="AA169" i="3" s="1"/>
  <c r="O169" i="3"/>
  <c r="U169" i="3" s="1"/>
  <c r="P169" i="3"/>
  <c r="V169" i="3" s="1"/>
  <c r="X169" i="3" s="1"/>
  <c r="K170" i="3"/>
  <c r="L170" i="3"/>
  <c r="R170" i="3" s="1"/>
  <c r="M170" i="3"/>
  <c r="S170" i="3" s="1"/>
  <c r="Z170" i="3" s="1"/>
  <c r="N170" i="3"/>
  <c r="T170" i="3" s="1"/>
  <c r="AA170" i="3" s="1"/>
  <c r="O170" i="3"/>
  <c r="U170" i="3" s="1"/>
  <c r="P170" i="3"/>
  <c r="V170" i="3" s="1"/>
  <c r="X170" i="3" s="1"/>
  <c r="K171" i="3"/>
  <c r="L171" i="3"/>
  <c r="R171" i="3" s="1"/>
  <c r="M171" i="3"/>
  <c r="S171" i="3" s="1"/>
  <c r="Z171" i="3" s="1"/>
  <c r="N171" i="3"/>
  <c r="T171" i="3" s="1"/>
  <c r="AA171" i="3" s="1"/>
  <c r="O171" i="3"/>
  <c r="U171" i="3" s="1"/>
  <c r="P171" i="3"/>
  <c r="V171" i="3" s="1"/>
  <c r="X171" i="3" s="1"/>
  <c r="K172" i="3"/>
  <c r="Q172" i="3" s="1"/>
  <c r="W172" i="3" s="1"/>
  <c r="L172" i="3"/>
  <c r="R172" i="3" s="1"/>
  <c r="M172" i="3"/>
  <c r="S172" i="3" s="1"/>
  <c r="Z172" i="3" s="1"/>
  <c r="N172" i="3"/>
  <c r="T172" i="3" s="1"/>
  <c r="AA172" i="3" s="1"/>
  <c r="O172" i="3"/>
  <c r="U172" i="3" s="1"/>
  <c r="P172" i="3"/>
  <c r="V172" i="3" s="1"/>
  <c r="X172" i="3" s="1"/>
  <c r="K173" i="3"/>
  <c r="L173" i="3"/>
  <c r="R173" i="3" s="1"/>
  <c r="M173" i="3"/>
  <c r="S173" i="3" s="1"/>
  <c r="Z173" i="3" s="1"/>
  <c r="N173" i="3"/>
  <c r="T173" i="3" s="1"/>
  <c r="AA173" i="3" s="1"/>
  <c r="O173" i="3"/>
  <c r="U173" i="3" s="1"/>
  <c r="P173" i="3"/>
  <c r="V173" i="3" s="1"/>
  <c r="X173" i="3" s="1"/>
  <c r="K174" i="3"/>
  <c r="Q174" i="3" s="1"/>
  <c r="W174" i="3" s="1"/>
  <c r="L174" i="3"/>
  <c r="R174" i="3" s="1"/>
  <c r="M174" i="3"/>
  <c r="S174" i="3" s="1"/>
  <c r="Z174" i="3" s="1"/>
  <c r="N174" i="3"/>
  <c r="T174" i="3" s="1"/>
  <c r="AA174" i="3" s="1"/>
  <c r="O174" i="3"/>
  <c r="U174" i="3" s="1"/>
  <c r="P174" i="3"/>
  <c r="V174" i="3" s="1"/>
  <c r="X174" i="3" s="1"/>
  <c r="K175" i="3"/>
  <c r="Q175" i="3" s="1"/>
  <c r="W175" i="3" s="1"/>
  <c r="L175" i="3"/>
  <c r="R175" i="3" s="1"/>
  <c r="M175" i="3"/>
  <c r="S175" i="3" s="1"/>
  <c r="Z175" i="3" s="1"/>
  <c r="N175" i="3"/>
  <c r="T175" i="3" s="1"/>
  <c r="AA175" i="3" s="1"/>
  <c r="O175" i="3"/>
  <c r="U175" i="3" s="1"/>
  <c r="P175" i="3"/>
  <c r="V175" i="3" s="1"/>
  <c r="X175" i="3" s="1"/>
  <c r="K176" i="3"/>
  <c r="L176" i="3"/>
  <c r="R176" i="3" s="1"/>
  <c r="M176" i="3"/>
  <c r="N176" i="3"/>
  <c r="T176" i="3" s="1"/>
  <c r="AA176" i="3" s="1"/>
  <c r="O176" i="3"/>
  <c r="U176" i="3" s="1"/>
  <c r="P176" i="3"/>
  <c r="V176" i="3" s="1"/>
  <c r="X176" i="3" s="1"/>
  <c r="K177" i="3"/>
  <c r="L177" i="3"/>
  <c r="R177" i="3" s="1"/>
  <c r="M177" i="3"/>
  <c r="S177" i="3" s="1"/>
  <c r="Z177" i="3" s="1"/>
  <c r="N177" i="3"/>
  <c r="T177" i="3" s="1"/>
  <c r="AA177" i="3" s="1"/>
  <c r="O177" i="3"/>
  <c r="U177" i="3" s="1"/>
  <c r="P177" i="3"/>
  <c r="V177" i="3" s="1"/>
  <c r="X177" i="3" s="1"/>
  <c r="K178" i="3"/>
  <c r="Q178" i="3" s="1"/>
  <c r="W178" i="3" s="1"/>
  <c r="L178" i="3"/>
  <c r="R178" i="3" s="1"/>
  <c r="M178" i="3"/>
  <c r="S178" i="3" s="1"/>
  <c r="Z178" i="3" s="1"/>
  <c r="N178" i="3"/>
  <c r="T178" i="3" s="1"/>
  <c r="AA178" i="3" s="1"/>
  <c r="O178" i="3"/>
  <c r="U178" i="3" s="1"/>
  <c r="P178" i="3"/>
  <c r="V178" i="3" s="1"/>
  <c r="X178" i="3" s="1"/>
  <c r="K179" i="3"/>
  <c r="L179" i="3"/>
  <c r="R179" i="3" s="1"/>
  <c r="M179" i="3"/>
  <c r="S179" i="3" s="1"/>
  <c r="Z179" i="3" s="1"/>
  <c r="N179" i="3"/>
  <c r="T179" i="3" s="1"/>
  <c r="AA179" i="3" s="1"/>
  <c r="O179" i="3"/>
  <c r="U179" i="3" s="1"/>
  <c r="P179" i="3"/>
  <c r="V179" i="3" s="1"/>
  <c r="X179" i="3" s="1"/>
  <c r="K180" i="3"/>
  <c r="Q180" i="3" s="1"/>
  <c r="W180" i="3" s="1"/>
  <c r="L180" i="3"/>
  <c r="R180" i="3" s="1"/>
  <c r="M180" i="3"/>
  <c r="S180" i="3" s="1"/>
  <c r="Z180" i="3" s="1"/>
  <c r="N180" i="3"/>
  <c r="T180" i="3" s="1"/>
  <c r="AA180" i="3" s="1"/>
  <c r="O180" i="3"/>
  <c r="U180" i="3" s="1"/>
  <c r="P180" i="3"/>
  <c r="V180" i="3" s="1"/>
  <c r="X180" i="3" s="1"/>
  <c r="K181" i="3"/>
  <c r="L181" i="3"/>
  <c r="R181" i="3" s="1"/>
  <c r="M181" i="3"/>
  <c r="S181" i="3" s="1"/>
  <c r="Z181" i="3" s="1"/>
  <c r="N181" i="3"/>
  <c r="T181" i="3" s="1"/>
  <c r="AA181" i="3" s="1"/>
  <c r="O181" i="3"/>
  <c r="U181" i="3" s="1"/>
  <c r="P181" i="3"/>
  <c r="V181" i="3" s="1"/>
  <c r="X181" i="3" s="1"/>
  <c r="K182" i="3"/>
  <c r="Q182" i="3" s="1"/>
  <c r="W182" i="3" s="1"/>
  <c r="L182" i="3"/>
  <c r="R182" i="3" s="1"/>
  <c r="M182" i="3"/>
  <c r="S182" i="3" s="1"/>
  <c r="Z182" i="3" s="1"/>
  <c r="N182" i="3"/>
  <c r="T182" i="3" s="1"/>
  <c r="AA182" i="3" s="1"/>
  <c r="O182" i="3"/>
  <c r="U182" i="3" s="1"/>
  <c r="P182" i="3"/>
  <c r="V182" i="3" s="1"/>
  <c r="X182" i="3" s="1"/>
  <c r="K183" i="3"/>
  <c r="Q183" i="3" s="1"/>
  <c r="W183" i="3" s="1"/>
  <c r="L183" i="3"/>
  <c r="R183" i="3" s="1"/>
  <c r="M183" i="3"/>
  <c r="S183" i="3" s="1"/>
  <c r="Z183" i="3" s="1"/>
  <c r="N183" i="3"/>
  <c r="T183" i="3" s="1"/>
  <c r="AA183" i="3" s="1"/>
  <c r="O183" i="3"/>
  <c r="U183" i="3" s="1"/>
  <c r="P183" i="3"/>
  <c r="V183" i="3" s="1"/>
  <c r="X183" i="3" s="1"/>
  <c r="K184" i="3"/>
  <c r="Q184" i="3" s="1"/>
  <c r="W184" i="3" s="1"/>
  <c r="L184" i="3"/>
  <c r="R184" i="3" s="1"/>
  <c r="M184" i="3"/>
  <c r="S184" i="3" s="1"/>
  <c r="Z184" i="3" s="1"/>
  <c r="N184" i="3"/>
  <c r="T184" i="3" s="1"/>
  <c r="AA184" i="3" s="1"/>
  <c r="O184" i="3"/>
  <c r="U184" i="3" s="1"/>
  <c r="P184" i="3"/>
  <c r="V184" i="3" s="1"/>
  <c r="X184" i="3" s="1"/>
  <c r="K185" i="3"/>
  <c r="L185" i="3"/>
  <c r="R185" i="3" s="1"/>
  <c r="M185" i="3"/>
  <c r="S185" i="3" s="1"/>
  <c r="Z185" i="3" s="1"/>
  <c r="N185" i="3"/>
  <c r="T185" i="3" s="1"/>
  <c r="AA185" i="3" s="1"/>
  <c r="O185" i="3"/>
  <c r="U185" i="3" s="1"/>
  <c r="P185" i="3"/>
  <c r="V185" i="3" s="1"/>
  <c r="X185" i="3" s="1"/>
  <c r="K186" i="3"/>
  <c r="Q186" i="3" s="1"/>
  <c r="W186" i="3" s="1"/>
  <c r="L186" i="3"/>
  <c r="R186" i="3" s="1"/>
  <c r="M186" i="3"/>
  <c r="S186" i="3" s="1"/>
  <c r="Z186" i="3" s="1"/>
  <c r="N186" i="3"/>
  <c r="T186" i="3" s="1"/>
  <c r="AA186" i="3" s="1"/>
  <c r="O186" i="3"/>
  <c r="U186" i="3" s="1"/>
  <c r="P186" i="3"/>
  <c r="V186" i="3" s="1"/>
  <c r="X186" i="3" s="1"/>
  <c r="K187" i="3"/>
  <c r="Q187" i="3" s="1"/>
  <c r="W187" i="3" s="1"/>
  <c r="L187" i="3"/>
  <c r="R187" i="3" s="1"/>
  <c r="M187" i="3"/>
  <c r="S187" i="3" s="1"/>
  <c r="Z187" i="3" s="1"/>
  <c r="N187" i="3"/>
  <c r="T187" i="3" s="1"/>
  <c r="AA187" i="3" s="1"/>
  <c r="O187" i="3"/>
  <c r="U187" i="3" s="1"/>
  <c r="P187" i="3"/>
  <c r="V187" i="3" s="1"/>
  <c r="X187" i="3" s="1"/>
  <c r="K188" i="3"/>
  <c r="Q188" i="3" s="1"/>
  <c r="W188" i="3" s="1"/>
  <c r="L188" i="3"/>
  <c r="R188" i="3" s="1"/>
  <c r="M188" i="3"/>
  <c r="S188" i="3" s="1"/>
  <c r="Z188" i="3" s="1"/>
  <c r="N188" i="3"/>
  <c r="T188" i="3" s="1"/>
  <c r="AA188" i="3" s="1"/>
  <c r="O188" i="3"/>
  <c r="U188" i="3" s="1"/>
  <c r="P188" i="3"/>
  <c r="V188" i="3" s="1"/>
  <c r="X188" i="3" s="1"/>
  <c r="K189" i="3"/>
  <c r="L189" i="3"/>
  <c r="R189" i="3" s="1"/>
  <c r="M189" i="3"/>
  <c r="S189" i="3" s="1"/>
  <c r="Z189" i="3" s="1"/>
  <c r="N189" i="3"/>
  <c r="T189" i="3" s="1"/>
  <c r="AA189" i="3" s="1"/>
  <c r="O189" i="3"/>
  <c r="U189" i="3" s="1"/>
  <c r="P189" i="3"/>
  <c r="V189" i="3" s="1"/>
  <c r="X189" i="3" s="1"/>
  <c r="K190" i="3"/>
  <c r="Q190" i="3" s="1"/>
  <c r="W190" i="3" s="1"/>
  <c r="L190" i="3"/>
  <c r="R190" i="3" s="1"/>
  <c r="M190" i="3"/>
  <c r="S190" i="3" s="1"/>
  <c r="Z190" i="3" s="1"/>
  <c r="N190" i="3"/>
  <c r="T190" i="3" s="1"/>
  <c r="AA190" i="3" s="1"/>
  <c r="O190" i="3"/>
  <c r="U190" i="3" s="1"/>
  <c r="P190" i="3"/>
  <c r="V190" i="3" s="1"/>
  <c r="X190" i="3" s="1"/>
  <c r="K191" i="3"/>
  <c r="Q191" i="3" s="1"/>
  <c r="W191" i="3" s="1"/>
  <c r="L191" i="3"/>
  <c r="R191" i="3" s="1"/>
  <c r="M191" i="3"/>
  <c r="S191" i="3" s="1"/>
  <c r="Z191" i="3" s="1"/>
  <c r="N191" i="3"/>
  <c r="T191" i="3" s="1"/>
  <c r="AA191" i="3" s="1"/>
  <c r="O191" i="3"/>
  <c r="U191" i="3" s="1"/>
  <c r="P191" i="3"/>
  <c r="V191" i="3" s="1"/>
  <c r="X191" i="3" s="1"/>
  <c r="K192" i="3"/>
  <c r="Q192" i="3" s="1"/>
  <c r="W192" i="3" s="1"/>
  <c r="L192" i="3"/>
  <c r="R192" i="3" s="1"/>
  <c r="M192" i="3"/>
  <c r="S192" i="3" s="1"/>
  <c r="Z192" i="3" s="1"/>
  <c r="N192" i="3"/>
  <c r="T192" i="3" s="1"/>
  <c r="AA192" i="3" s="1"/>
  <c r="O192" i="3"/>
  <c r="U192" i="3" s="1"/>
  <c r="P192" i="3"/>
  <c r="V192" i="3" s="1"/>
  <c r="X192" i="3" s="1"/>
  <c r="K193" i="3"/>
  <c r="L193" i="3"/>
  <c r="R193" i="3" s="1"/>
  <c r="M193" i="3"/>
  <c r="S193" i="3" s="1"/>
  <c r="Z193" i="3" s="1"/>
  <c r="N193" i="3"/>
  <c r="T193" i="3" s="1"/>
  <c r="AA193" i="3" s="1"/>
  <c r="O193" i="3"/>
  <c r="U193" i="3" s="1"/>
  <c r="P193" i="3"/>
  <c r="V193" i="3" s="1"/>
  <c r="X193" i="3" s="1"/>
  <c r="K194" i="3"/>
  <c r="Q194" i="3" s="1"/>
  <c r="W194" i="3" s="1"/>
  <c r="L194" i="3"/>
  <c r="R194" i="3" s="1"/>
  <c r="M194" i="3"/>
  <c r="S194" i="3" s="1"/>
  <c r="Z194" i="3" s="1"/>
  <c r="N194" i="3"/>
  <c r="T194" i="3" s="1"/>
  <c r="AA194" i="3" s="1"/>
  <c r="O194" i="3"/>
  <c r="U194" i="3" s="1"/>
  <c r="P194" i="3"/>
  <c r="V194" i="3" s="1"/>
  <c r="X194" i="3" s="1"/>
  <c r="K195" i="3"/>
  <c r="Q195" i="3" s="1"/>
  <c r="W195" i="3" s="1"/>
  <c r="L195" i="3"/>
  <c r="R195" i="3" s="1"/>
  <c r="M195" i="3"/>
  <c r="S195" i="3" s="1"/>
  <c r="Z195" i="3" s="1"/>
  <c r="N195" i="3"/>
  <c r="T195" i="3" s="1"/>
  <c r="AA195" i="3" s="1"/>
  <c r="O195" i="3"/>
  <c r="U195" i="3" s="1"/>
  <c r="P195" i="3"/>
  <c r="V195" i="3" s="1"/>
  <c r="X195" i="3" s="1"/>
  <c r="K196" i="3"/>
  <c r="Q196" i="3" s="1"/>
  <c r="W196" i="3" s="1"/>
  <c r="L196" i="3"/>
  <c r="R196" i="3" s="1"/>
  <c r="M196" i="3"/>
  <c r="S196" i="3" s="1"/>
  <c r="Z196" i="3" s="1"/>
  <c r="N196" i="3"/>
  <c r="T196" i="3" s="1"/>
  <c r="AA196" i="3" s="1"/>
  <c r="O196" i="3"/>
  <c r="U196" i="3" s="1"/>
  <c r="P196" i="3"/>
  <c r="V196" i="3" s="1"/>
  <c r="X196" i="3" s="1"/>
  <c r="K197" i="3"/>
  <c r="L197" i="3"/>
  <c r="R197" i="3" s="1"/>
  <c r="M197" i="3"/>
  <c r="S197" i="3" s="1"/>
  <c r="Z197" i="3" s="1"/>
  <c r="N197" i="3"/>
  <c r="T197" i="3" s="1"/>
  <c r="AA197" i="3" s="1"/>
  <c r="O197" i="3"/>
  <c r="U197" i="3" s="1"/>
  <c r="P197" i="3"/>
  <c r="V197" i="3" s="1"/>
  <c r="X197" i="3" s="1"/>
  <c r="K198" i="3"/>
  <c r="Q198" i="3" s="1"/>
  <c r="W198" i="3" s="1"/>
  <c r="L198" i="3"/>
  <c r="R198" i="3" s="1"/>
  <c r="M198" i="3"/>
  <c r="S198" i="3" s="1"/>
  <c r="Z198" i="3" s="1"/>
  <c r="N198" i="3"/>
  <c r="T198" i="3" s="1"/>
  <c r="AA198" i="3" s="1"/>
  <c r="O198" i="3"/>
  <c r="U198" i="3" s="1"/>
  <c r="P198" i="3"/>
  <c r="V198" i="3" s="1"/>
  <c r="X198" i="3" s="1"/>
  <c r="K199" i="3"/>
  <c r="Q199" i="3" s="1"/>
  <c r="W199" i="3" s="1"/>
  <c r="L199" i="3"/>
  <c r="R199" i="3" s="1"/>
  <c r="M199" i="3"/>
  <c r="S199" i="3" s="1"/>
  <c r="Z199" i="3" s="1"/>
  <c r="N199" i="3"/>
  <c r="T199" i="3" s="1"/>
  <c r="AA199" i="3" s="1"/>
  <c r="O199" i="3"/>
  <c r="U199" i="3" s="1"/>
  <c r="P199" i="3"/>
  <c r="V199" i="3" s="1"/>
  <c r="X199" i="3" s="1"/>
  <c r="K200" i="3"/>
  <c r="Q200" i="3" s="1"/>
  <c r="W200" i="3" s="1"/>
  <c r="L200" i="3"/>
  <c r="R200" i="3" s="1"/>
  <c r="M200" i="3"/>
  <c r="S200" i="3" s="1"/>
  <c r="Z200" i="3" s="1"/>
  <c r="N200" i="3"/>
  <c r="T200" i="3" s="1"/>
  <c r="AA200" i="3" s="1"/>
  <c r="O200" i="3"/>
  <c r="U200" i="3" s="1"/>
  <c r="P200" i="3"/>
  <c r="V200" i="3" s="1"/>
  <c r="X200" i="3" s="1"/>
  <c r="K201" i="3"/>
  <c r="L201" i="3"/>
  <c r="R201" i="3" s="1"/>
  <c r="M201" i="3"/>
  <c r="S201" i="3" s="1"/>
  <c r="Z201" i="3" s="1"/>
  <c r="N201" i="3"/>
  <c r="T201" i="3" s="1"/>
  <c r="AA201" i="3" s="1"/>
  <c r="O201" i="3"/>
  <c r="U201" i="3" s="1"/>
  <c r="P201" i="3"/>
  <c r="V201" i="3" s="1"/>
  <c r="X201" i="3" s="1"/>
  <c r="K202" i="3"/>
  <c r="Q202" i="3" s="1"/>
  <c r="W202" i="3" s="1"/>
  <c r="L202" i="3"/>
  <c r="R202" i="3" s="1"/>
  <c r="M202" i="3"/>
  <c r="S202" i="3" s="1"/>
  <c r="Z202" i="3" s="1"/>
  <c r="N202" i="3"/>
  <c r="T202" i="3" s="1"/>
  <c r="AA202" i="3" s="1"/>
  <c r="O202" i="3"/>
  <c r="U202" i="3" s="1"/>
  <c r="P202" i="3"/>
  <c r="V202" i="3" s="1"/>
  <c r="X202" i="3" s="1"/>
  <c r="K203" i="3"/>
  <c r="Q203" i="3" s="1"/>
  <c r="W203" i="3" s="1"/>
  <c r="L203" i="3"/>
  <c r="R203" i="3" s="1"/>
  <c r="M203" i="3"/>
  <c r="S203" i="3" s="1"/>
  <c r="Z203" i="3" s="1"/>
  <c r="N203" i="3"/>
  <c r="T203" i="3" s="1"/>
  <c r="AA203" i="3" s="1"/>
  <c r="O203" i="3"/>
  <c r="U203" i="3" s="1"/>
  <c r="P203" i="3"/>
  <c r="V203" i="3" s="1"/>
  <c r="X203" i="3" s="1"/>
  <c r="K204" i="3"/>
  <c r="Q204" i="3" s="1"/>
  <c r="W204" i="3" s="1"/>
  <c r="L204" i="3"/>
  <c r="R204" i="3" s="1"/>
  <c r="M204" i="3"/>
  <c r="S204" i="3" s="1"/>
  <c r="Z204" i="3" s="1"/>
  <c r="N204" i="3"/>
  <c r="T204" i="3" s="1"/>
  <c r="AA204" i="3" s="1"/>
  <c r="O204" i="3"/>
  <c r="U204" i="3" s="1"/>
  <c r="P204" i="3"/>
  <c r="V204" i="3" s="1"/>
  <c r="X204" i="3" s="1"/>
  <c r="P4" i="3"/>
  <c r="O4" i="3"/>
  <c r="N4" i="3"/>
  <c r="M4" i="3"/>
  <c r="L4" i="3"/>
  <c r="K4" i="3"/>
  <c r="T9" i="3" l="1"/>
  <c r="AA9" i="3" s="1"/>
  <c r="R9" i="3"/>
  <c r="Q9" i="3"/>
  <c r="W9" i="3" s="1"/>
  <c r="V8" i="3"/>
  <c r="T4" i="3"/>
  <c r="AA4" i="3" s="1"/>
  <c r="T8" i="3"/>
  <c r="AA8" i="3" s="1"/>
  <c r="Q7" i="3"/>
  <c r="R4" i="3"/>
  <c r="Y55" i="3"/>
  <c r="AB55" i="3" s="1"/>
  <c r="R5" i="3"/>
  <c r="V4" i="3"/>
  <c r="Q176" i="3"/>
  <c r="W176" i="3" s="1"/>
  <c r="Y36" i="3"/>
  <c r="AB36" i="3" s="1"/>
  <c r="T5" i="3"/>
  <c r="AA5" i="3" s="1"/>
  <c r="Y40" i="3"/>
  <c r="AB40" i="3" s="1"/>
  <c r="Q15" i="3"/>
  <c r="W15" i="3" s="1"/>
  <c r="Q8" i="3"/>
  <c r="Y91" i="3"/>
  <c r="AB91" i="3" s="1"/>
  <c r="S5" i="3"/>
  <c r="Z5" i="3" s="1"/>
  <c r="S4" i="3"/>
  <c r="T7" i="3"/>
  <c r="AA7" i="3" s="1"/>
  <c r="R6" i="3"/>
  <c r="U8" i="3"/>
  <c r="Y81" i="3"/>
  <c r="AB81" i="3" s="1"/>
  <c r="Q4" i="3"/>
  <c r="U4" i="3"/>
  <c r="Y52" i="3"/>
  <c r="AB52" i="3" s="1"/>
  <c r="Y71" i="3"/>
  <c r="AB71" i="3" s="1"/>
  <c r="Q72" i="3"/>
  <c r="W72" i="3" s="1"/>
  <c r="Y18" i="3"/>
  <c r="AB18" i="3" s="1"/>
  <c r="R8" i="3"/>
  <c r="S7" i="3"/>
  <c r="Z7" i="3" s="1"/>
  <c r="U5" i="3"/>
  <c r="Q99" i="3"/>
  <c r="W99" i="3" s="1"/>
  <c r="U7" i="3"/>
  <c r="S6" i="3"/>
  <c r="Z6" i="3" s="1"/>
  <c r="Q6" i="3"/>
  <c r="V5" i="3"/>
  <c r="X5" i="3" s="1"/>
  <c r="Q5" i="3"/>
  <c r="Y59" i="3"/>
  <c r="AB59" i="3" s="1"/>
  <c r="Y56" i="3"/>
  <c r="AB56" i="3" s="1"/>
  <c r="V7" i="3"/>
  <c r="V6" i="3"/>
  <c r="Y28" i="3"/>
  <c r="AB28" i="3" s="1"/>
  <c r="Y138" i="3"/>
  <c r="AB138" i="3" s="1"/>
  <c r="T6" i="3"/>
  <c r="AA6" i="3" s="1"/>
  <c r="Y130" i="3"/>
  <c r="AB130" i="3" s="1"/>
  <c r="Y124" i="3"/>
  <c r="AB124" i="3" s="1"/>
  <c r="Y114" i="3"/>
  <c r="AB114" i="3" s="1"/>
  <c r="Y148" i="3"/>
  <c r="AB148" i="3" s="1"/>
  <c r="Y88" i="3"/>
  <c r="AB88" i="3" s="1"/>
  <c r="Y184" i="3"/>
  <c r="AB184" i="3" s="1"/>
  <c r="Y113" i="3"/>
  <c r="AB113" i="3" s="1"/>
  <c r="Y93" i="3"/>
  <c r="AB93" i="3" s="1"/>
  <c r="Y67" i="3"/>
  <c r="AB67" i="3" s="1"/>
  <c r="Y46" i="3"/>
  <c r="AB46" i="3" s="1"/>
  <c r="Y42" i="3"/>
  <c r="AB42" i="3" s="1"/>
  <c r="Y188" i="3"/>
  <c r="AB188" i="3" s="1"/>
  <c r="Y156" i="3"/>
  <c r="AB156" i="3" s="1"/>
  <c r="Y100" i="3"/>
  <c r="AB100" i="3" s="1"/>
  <c r="Y73" i="3"/>
  <c r="AB73" i="3" s="1"/>
  <c r="Y58" i="3"/>
  <c r="AB58" i="3" s="1"/>
  <c r="Y199" i="3"/>
  <c r="AB199" i="3" s="1"/>
  <c r="Y198" i="3"/>
  <c r="AB198" i="3" s="1"/>
  <c r="Y195" i="3"/>
  <c r="AB195" i="3" s="1"/>
  <c r="Y180" i="3"/>
  <c r="AB180" i="3" s="1"/>
  <c r="Y147" i="3"/>
  <c r="AB147" i="3" s="1"/>
  <c r="Y95" i="3"/>
  <c r="AB95" i="3" s="1"/>
  <c r="Y164" i="3"/>
  <c r="AB164" i="3" s="1"/>
  <c r="Y41" i="3"/>
  <c r="AB41" i="3" s="1"/>
  <c r="Y175" i="3"/>
  <c r="AB175" i="3" s="1"/>
  <c r="Y159" i="3"/>
  <c r="AB159" i="3" s="1"/>
  <c r="Y157" i="3"/>
  <c r="AB157" i="3" s="1"/>
  <c r="Y140" i="3"/>
  <c r="AB140" i="3" s="1"/>
  <c r="Y137" i="3"/>
  <c r="AB137" i="3" s="1"/>
  <c r="Y33" i="3"/>
  <c r="AB33" i="3" s="1"/>
  <c r="Y174" i="3"/>
  <c r="AB174" i="3" s="1"/>
  <c r="Y121" i="3"/>
  <c r="AB121" i="3" s="1"/>
  <c r="Y85" i="3"/>
  <c r="AB85" i="3" s="1"/>
  <c r="Y77" i="3"/>
  <c r="AB77" i="3" s="1"/>
  <c r="Y26" i="3"/>
  <c r="AB26" i="3" s="1"/>
  <c r="Y203" i="3"/>
  <c r="AB203" i="3" s="1"/>
  <c r="Y202" i="3"/>
  <c r="AB202" i="3" s="1"/>
  <c r="Y167" i="3"/>
  <c r="AB167" i="3" s="1"/>
  <c r="Y151" i="3"/>
  <c r="AB151" i="3" s="1"/>
  <c r="Y149" i="3"/>
  <c r="AB149" i="3" s="1"/>
  <c r="Y64" i="3"/>
  <c r="AB64" i="3" s="1"/>
  <c r="Y61" i="3"/>
  <c r="AB61" i="3" s="1"/>
  <c r="Y51" i="3"/>
  <c r="AB51" i="3" s="1"/>
  <c r="Y32" i="3"/>
  <c r="AB32" i="3" s="1"/>
  <c r="Y128" i="3"/>
  <c r="AB128" i="3" s="1"/>
  <c r="Y105" i="3"/>
  <c r="AB105" i="3" s="1"/>
  <c r="Y96" i="3"/>
  <c r="AB96" i="3" s="1"/>
  <c r="W5" i="3"/>
  <c r="Y5" i="3" s="1"/>
  <c r="AB5" i="3" s="1"/>
  <c r="Y172" i="3"/>
  <c r="AB172" i="3" s="1"/>
  <c r="Y123" i="3"/>
  <c r="AB123" i="3" s="1"/>
  <c r="Y118" i="3"/>
  <c r="AB118" i="3" s="1"/>
  <c r="Y89" i="3"/>
  <c r="AB89" i="3" s="1"/>
  <c r="Y87" i="3"/>
  <c r="AB87" i="3" s="1"/>
  <c r="Y25" i="3"/>
  <c r="AB25" i="3" s="1"/>
  <c r="Y97" i="3"/>
  <c r="AB97" i="3" s="1"/>
  <c r="Y92" i="3"/>
  <c r="AB92" i="3" s="1"/>
  <c r="Y48" i="3"/>
  <c r="AB48" i="3" s="1"/>
  <c r="Z4" i="3"/>
  <c r="Y187" i="3"/>
  <c r="AB187" i="3" s="1"/>
  <c r="Y186" i="3"/>
  <c r="AB186" i="3" s="1"/>
  <c r="Y183" i="3"/>
  <c r="AB183" i="3" s="1"/>
  <c r="Y182" i="3"/>
  <c r="AB182" i="3" s="1"/>
  <c r="Y178" i="3"/>
  <c r="AB178" i="3" s="1"/>
  <c r="Y168" i="3"/>
  <c r="AB168" i="3" s="1"/>
  <c r="Y204" i="3"/>
  <c r="AB204" i="3" s="1"/>
  <c r="Y200" i="3"/>
  <c r="AB200" i="3" s="1"/>
  <c r="Y196" i="3"/>
  <c r="AB196" i="3" s="1"/>
  <c r="Y192" i="3"/>
  <c r="AB192" i="3" s="1"/>
  <c r="Y166" i="3"/>
  <c r="AB166" i="3" s="1"/>
  <c r="Y194" i="3"/>
  <c r="AB194" i="3" s="1"/>
  <c r="Y191" i="3"/>
  <c r="AB191" i="3" s="1"/>
  <c r="Y190" i="3"/>
  <c r="AB190" i="3" s="1"/>
  <c r="S176" i="3"/>
  <c r="Z176" i="3" s="1"/>
  <c r="Y176" i="3" s="1"/>
  <c r="AB176" i="3" s="1"/>
  <c r="Q171" i="3"/>
  <c r="W171" i="3" s="1"/>
  <c r="Y171" i="3" s="1"/>
  <c r="AB171" i="3" s="1"/>
  <c r="Q144" i="3"/>
  <c r="W144" i="3" s="1"/>
  <c r="Y144" i="3" s="1"/>
  <c r="AB144" i="3" s="1"/>
  <c r="Y115" i="3"/>
  <c r="AB115" i="3" s="1"/>
  <c r="Y106" i="3"/>
  <c r="AB106" i="3" s="1"/>
  <c r="Y150" i="3"/>
  <c r="AB150" i="3" s="1"/>
  <c r="Y136" i="3"/>
  <c r="AB136" i="3" s="1"/>
  <c r="Y127" i="3"/>
  <c r="AB127" i="3" s="1"/>
  <c r="Y112" i="3"/>
  <c r="AB112" i="3" s="1"/>
  <c r="Y103" i="3"/>
  <c r="AB103" i="3" s="1"/>
  <c r="Q177" i="3"/>
  <c r="W177" i="3" s="1"/>
  <c r="Y177" i="3" s="1"/>
  <c r="AB177" i="3" s="1"/>
  <c r="Q169" i="3"/>
  <c r="W169" i="3" s="1"/>
  <c r="Y169" i="3" s="1"/>
  <c r="AB169" i="3" s="1"/>
  <c r="Q158" i="3"/>
  <c r="W158" i="3" s="1"/>
  <c r="Y158" i="3" s="1"/>
  <c r="AB158" i="3" s="1"/>
  <c r="Q153" i="3"/>
  <c r="W153" i="3" s="1"/>
  <c r="Y153" i="3" s="1"/>
  <c r="AB153" i="3" s="1"/>
  <c r="Y132" i="3"/>
  <c r="AB132" i="3" s="1"/>
  <c r="Y131" i="3"/>
  <c r="AB131" i="3" s="1"/>
  <c r="Y109" i="3"/>
  <c r="AB109" i="3" s="1"/>
  <c r="Y163" i="3"/>
  <c r="AB163" i="3" s="1"/>
  <c r="Y161" i="3"/>
  <c r="AB161" i="3" s="1"/>
  <c r="Y152" i="3"/>
  <c r="AB152" i="3" s="1"/>
  <c r="Q179" i="3"/>
  <c r="W179" i="3" s="1"/>
  <c r="Y179" i="3" s="1"/>
  <c r="AB179" i="3" s="1"/>
  <c r="Q170" i="3"/>
  <c r="W170" i="3" s="1"/>
  <c r="Y170" i="3" s="1"/>
  <c r="AB170" i="3" s="1"/>
  <c r="Q160" i="3"/>
  <c r="W160" i="3" s="1"/>
  <c r="Y160" i="3" s="1"/>
  <c r="AB160" i="3" s="1"/>
  <c r="Q155" i="3"/>
  <c r="W155" i="3" s="1"/>
  <c r="Y155" i="3" s="1"/>
  <c r="AB155" i="3" s="1"/>
  <c r="Y143" i="3"/>
  <c r="AB143" i="3" s="1"/>
  <c r="Y142" i="3"/>
  <c r="AB142" i="3" s="1"/>
  <c r="Q139" i="3"/>
  <c r="W139" i="3" s="1"/>
  <c r="Y139" i="3" s="1"/>
  <c r="AB139" i="3" s="1"/>
  <c r="Y135" i="3"/>
  <c r="AB135" i="3" s="1"/>
  <c r="Y134" i="3"/>
  <c r="AB134" i="3" s="1"/>
  <c r="Y126" i="3"/>
  <c r="AB126" i="3" s="1"/>
  <c r="Y111" i="3"/>
  <c r="AB111" i="3" s="1"/>
  <c r="Y108" i="3"/>
  <c r="AB108" i="3" s="1"/>
  <c r="Y102" i="3"/>
  <c r="AB102" i="3" s="1"/>
  <c r="Q173" i="3"/>
  <c r="W173" i="3" s="1"/>
  <c r="Y173" i="3" s="1"/>
  <c r="AB173" i="3" s="1"/>
  <c r="Y146" i="3"/>
  <c r="AB146" i="3" s="1"/>
  <c r="Y122" i="3"/>
  <c r="AB122" i="3" s="1"/>
  <c r="Y120" i="3"/>
  <c r="AB120" i="3" s="1"/>
  <c r="Y117" i="3"/>
  <c r="AB117" i="3" s="1"/>
  <c r="Y107" i="3"/>
  <c r="AB107" i="3" s="1"/>
  <c r="Q201" i="3"/>
  <c r="W201" i="3" s="1"/>
  <c r="Y201" i="3" s="1"/>
  <c r="AB201" i="3" s="1"/>
  <c r="Q197" i="3"/>
  <c r="W197" i="3" s="1"/>
  <c r="Y197" i="3" s="1"/>
  <c r="AB197" i="3" s="1"/>
  <c r="Q193" i="3"/>
  <c r="W193" i="3" s="1"/>
  <c r="Y193" i="3" s="1"/>
  <c r="AB193" i="3" s="1"/>
  <c r="Q189" i="3"/>
  <c r="W189" i="3" s="1"/>
  <c r="Y189" i="3" s="1"/>
  <c r="AB189" i="3" s="1"/>
  <c r="Q185" i="3"/>
  <c r="W185" i="3" s="1"/>
  <c r="Y185" i="3" s="1"/>
  <c r="AB185" i="3" s="1"/>
  <c r="Q181" i="3"/>
  <c r="W181" i="3" s="1"/>
  <c r="Y181" i="3" s="1"/>
  <c r="AB181" i="3" s="1"/>
  <c r="Y162" i="3"/>
  <c r="AB162" i="3" s="1"/>
  <c r="Y125" i="3"/>
  <c r="AB125" i="3" s="1"/>
  <c r="Y104" i="3"/>
  <c r="AB104" i="3" s="1"/>
  <c r="Y165" i="3"/>
  <c r="AB165" i="3" s="1"/>
  <c r="Y154" i="3"/>
  <c r="AB154" i="3" s="1"/>
  <c r="Y145" i="3"/>
  <c r="AB145" i="3" s="1"/>
  <c r="Y141" i="3"/>
  <c r="AB141" i="3" s="1"/>
  <c r="Y133" i="3"/>
  <c r="AB133" i="3" s="1"/>
  <c r="Y116" i="3"/>
  <c r="AB116" i="3" s="1"/>
  <c r="Y110" i="3"/>
  <c r="AB110" i="3" s="1"/>
  <c r="Y76" i="3"/>
  <c r="AB76" i="3" s="1"/>
  <c r="Y72" i="3"/>
  <c r="AB72" i="3" s="1"/>
  <c r="Y68" i="3"/>
  <c r="AB68" i="3" s="1"/>
  <c r="Q98" i="3"/>
  <c r="W98" i="3" s="1"/>
  <c r="Y98" i="3" s="1"/>
  <c r="AB98" i="3" s="1"/>
  <c r="S99" i="3"/>
  <c r="Z99" i="3" s="1"/>
  <c r="Y99" i="3" s="1"/>
  <c r="AB99" i="3" s="1"/>
  <c r="Q119" i="3"/>
  <c r="W119" i="3" s="1"/>
  <c r="Y119" i="3" s="1"/>
  <c r="AB119" i="3" s="1"/>
  <c r="Q86" i="3"/>
  <c r="W86" i="3" s="1"/>
  <c r="Y86" i="3" s="1"/>
  <c r="AB86" i="3" s="1"/>
  <c r="Q94" i="3"/>
  <c r="W94" i="3" s="1"/>
  <c r="Y94" i="3" s="1"/>
  <c r="AB94" i="3" s="1"/>
  <c r="Q90" i="3"/>
  <c r="W90" i="3" s="1"/>
  <c r="Y90" i="3" s="1"/>
  <c r="AB90" i="3" s="1"/>
  <c r="Q84" i="3"/>
  <c r="W84" i="3" s="1"/>
  <c r="Y84" i="3" s="1"/>
  <c r="AB84" i="3" s="1"/>
  <c r="Q82" i="3"/>
  <c r="W82" i="3" s="1"/>
  <c r="Y82" i="3" s="1"/>
  <c r="AB82" i="3" s="1"/>
  <c r="Q80" i="3"/>
  <c r="W80" i="3" s="1"/>
  <c r="Y80" i="3" s="1"/>
  <c r="AB80" i="3" s="1"/>
  <c r="Y74" i="3"/>
  <c r="AB74" i="3" s="1"/>
  <c r="Y65" i="3"/>
  <c r="AB65" i="3" s="1"/>
  <c r="Q129" i="3"/>
  <c r="W129" i="3" s="1"/>
  <c r="Y129" i="3" s="1"/>
  <c r="AB129" i="3" s="1"/>
  <c r="Q101" i="3"/>
  <c r="W101" i="3" s="1"/>
  <c r="Y101" i="3" s="1"/>
  <c r="AB101" i="3" s="1"/>
  <c r="Y62" i="3"/>
  <c r="AB62" i="3" s="1"/>
  <c r="R83" i="3"/>
  <c r="Q83" i="3"/>
  <c r="W83" i="3" s="1"/>
  <c r="Y83" i="3" s="1"/>
  <c r="AB83" i="3" s="1"/>
  <c r="R79" i="3"/>
  <c r="Q79" i="3"/>
  <c r="W79" i="3" s="1"/>
  <c r="Y79" i="3" s="1"/>
  <c r="AB79" i="3" s="1"/>
  <c r="Q63" i="3"/>
  <c r="W63" i="3" s="1"/>
  <c r="Y63" i="3" s="1"/>
  <c r="AB63" i="3" s="1"/>
  <c r="R63" i="3"/>
  <c r="Y53" i="3"/>
  <c r="AB53" i="3" s="1"/>
  <c r="R72" i="3"/>
  <c r="Y49" i="3"/>
  <c r="AB49" i="3" s="1"/>
  <c r="Y29" i="3"/>
  <c r="AB29" i="3" s="1"/>
  <c r="Y47" i="3"/>
  <c r="AB47" i="3" s="1"/>
  <c r="Y45" i="3"/>
  <c r="AB45" i="3" s="1"/>
  <c r="Y60" i="3"/>
  <c r="AB60" i="3" s="1"/>
  <c r="Q69" i="3"/>
  <c r="W69" i="3" s="1"/>
  <c r="Y69" i="3" s="1"/>
  <c r="AB69" i="3" s="1"/>
  <c r="Y43" i="3"/>
  <c r="AB43" i="3" s="1"/>
  <c r="Y37" i="3"/>
  <c r="AB37" i="3" s="1"/>
  <c r="Q78" i="3"/>
  <c r="W78" i="3" s="1"/>
  <c r="Y78" i="3" s="1"/>
  <c r="AB78" i="3" s="1"/>
  <c r="Q75" i="3"/>
  <c r="W75" i="3" s="1"/>
  <c r="Y75" i="3" s="1"/>
  <c r="AB75" i="3" s="1"/>
  <c r="Q70" i="3"/>
  <c r="W70" i="3" s="1"/>
  <c r="Y70" i="3" s="1"/>
  <c r="AB70" i="3" s="1"/>
  <c r="Y54" i="3"/>
  <c r="AB54" i="3" s="1"/>
  <c r="Q66" i="3"/>
  <c r="W66" i="3" s="1"/>
  <c r="Y66" i="3" s="1"/>
  <c r="AB66" i="3" s="1"/>
  <c r="Q57" i="3"/>
  <c r="W57" i="3" s="1"/>
  <c r="Y57" i="3" s="1"/>
  <c r="AB57" i="3" s="1"/>
  <c r="Y50" i="3"/>
  <c r="AB50" i="3" s="1"/>
  <c r="Y44" i="3"/>
  <c r="AB44" i="3" s="1"/>
  <c r="Q39" i="3"/>
  <c r="W39" i="3" s="1"/>
  <c r="Y39" i="3" s="1"/>
  <c r="AB39" i="3" s="1"/>
  <c r="Q31" i="3"/>
  <c r="W31" i="3" s="1"/>
  <c r="Y31" i="3" s="1"/>
  <c r="AB31" i="3" s="1"/>
  <c r="Y19" i="3"/>
  <c r="AB19" i="3" s="1"/>
  <c r="Y11" i="3"/>
  <c r="AB11" i="3" s="1"/>
  <c r="Y10" i="3"/>
  <c r="AB10" i="3" s="1"/>
  <c r="Q27" i="3"/>
  <c r="W27" i="3" s="1"/>
  <c r="Y27" i="3" s="1"/>
  <c r="AB27" i="3" s="1"/>
  <c r="Q23" i="3"/>
  <c r="W23" i="3" s="1"/>
  <c r="S23" i="3"/>
  <c r="Z23" i="3" s="1"/>
  <c r="Y30" i="3"/>
  <c r="AB30" i="3" s="1"/>
  <c r="Y24" i="3"/>
  <c r="AB24" i="3" s="1"/>
  <c r="Y21" i="3"/>
  <c r="AB21" i="3" s="1"/>
  <c r="Y13" i="3"/>
  <c r="AB13" i="3" s="1"/>
  <c r="Q38" i="3"/>
  <c r="W38" i="3" s="1"/>
  <c r="Y38" i="3" s="1"/>
  <c r="AB38" i="3" s="1"/>
  <c r="Y17" i="3"/>
  <c r="AB17" i="3" s="1"/>
  <c r="Q35" i="3"/>
  <c r="W35" i="3" s="1"/>
  <c r="Y35" i="3" s="1"/>
  <c r="AB35" i="3" s="1"/>
  <c r="X6" i="3"/>
  <c r="Y16" i="3"/>
  <c r="AB16" i="3" s="1"/>
  <c r="Y22" i="3"/>
  <c r="AB22" i="3" s="1"/>
  <c r="Y20" i="3"/>
  <c r="AB20" i="3" s="1"/>
  <c r="Y12" i="3"/>
  <c r="AB12" i="3" s="1"/>
  <c r="W7" i="3"/>
  <c r="Y34" i="3"/>
  <c r="AB34" i="3" s="1"/>
  <c r="Y14" i="3"/>
  <c r="AB14" i="3" s="1"/>
  <c r="S15" i="3"/>
  <c r="Z15" i="3" s="1"/>
  <c r="Y15" i="3" s="1"/>
  <c r="AB15" i="3" s="1"/>
  <c r="R7" i="3"/>
  <c r="U6" i="3"/>
  <c r="S8" i="3"/>
  <c r="Z8" i="3" s="1"/>
  <c r="X9" i="3" l="1"/>
  <c r="Y9" i="3"/>
  <c r="AB9" i="3" s="1"/>
  <c r="X4" i="3"/>
  <c r="W6" i="3"/>
  <c r="Y6" i="3"/>
  <c r="AB6" i="3" s="1"/>
  <c r="W4" i="3"/>
  <c r="X8" i="3"/>
  <c r="X7" i="3"/>
  <c r="Y7" i="3"/>
  <c r="AB7" i="3" s="1"/>
  <c r="Y23" i="3"/>
  <c r="AB23" i="3" s="1"/>
  <c r="W8" i="3"/>
  <c r="Y8" i="3" s="1"/>
  <c r="AB8" i="3" s="1"/>
  <c r="Y4" i="3" l="1"/>
  <c r="AB4" i="3" s="1"/>
  <c r="AM10" i="3" l="1"/>
  <c r="AJ10" i="3"/>
  <c r="AP7" i="3"/>
  <c r="AM7" i="3"/>
  <c r="AJ7" i="3"/>
  <c r="AO7" i="3"/>
  <c r="AO10" i="3" s="1"/>
  <c r="AL8" i="3"/>
  <c r="AL9" i="3"/>
  <c r="AL10" i="3"/>
  <c r="AL7" i="3"/>
  <c r="AF15" i="3"/>
  <c r="AR16" i="3" l="1"/>
  <c r="AQ16" i="3"/>
  <c r="AG15" i="3"/>
  <c r="AU15" i="3" s="1"/>
  <c r="AH15" i="3"/>
  <c r="AX15" i="3" s="1"/>
  <c r="AI15" i="3"/>
  <c r="AJ15" i="3"/>
  <c r="AH17" i="3"/>
  <c r="AX17" i="3" s="1"/>
  <c r="AK15" i="3"/>
  <c r="AH16" i="3"/>
  <c r="AX16" i="3" s="1"/>
  <c r="AN15" i="3"/>
  <c r="AK16" i="3"/>
  <c r="BH15" i="3"/>
  <c r="BG15" i="3"/>
  <c r="BG17" i="3" s="1"/>
  <c r="AP8" i="3"/>
  <c r="AP10" i="3" s="1"/>
  <c r="AP9" i="3"/>
  <c r="AO11" i="3"/>
  <c r="AP11" i="3"/>
  <c r="AO8" i="3"/>
  <c r="AO9" i="3"/>
  <c r="AF18" i="3"/>
  <c r="AF16" i="3"/>
  <c r="AR19" i="3" l="1"/>
  <c r="AQ18" i="3"/>
  <c r="AQ19" i="3"/>
  <c r="AQ20" i="3"/>
  <c r="AV15" i="3"/>
  <c r="BJ15" i="3" s="1"/>
  <c r="BN15" i="3" s="1"/>
  <c r="BN16" i="3" s="1"/>
  <c r="BL15" i="3"/>
  <c r="AG18" i="3"/>
  <c r="AH18" i="3"/>
  <c r="AI18" i="3"/>
  <c r="AJ18" i="3"/>
  <c r="AN18" i="3" s="1"/>
  <c r="BB18" i="3" s="1"/>
  <c r="AM19" i="3"/>
  <c r="BA19" i="3" s="1"/>
  <c r="AN19" i="3"/>
  <c r="BB19" i="3" s="1"/>
  <c r="BH18" i="3"/>
  <c r="AT16" i="3"/>
  <c r="BH16" i="3" s="1"/>
  <c r="BF16" i="3"/>
  <c r="BK15" i="3"/>
  <c r="BO15" i="3" s="1"/>
  <c r="BO16" i="3" s="1"/>
  <c r="AW15" i="3"/>
  <c r="AG16" i="3"/>
  <c r="AU16" i="3" s="1"/>
  <c r="BI16" i="3" s="1"/>
  <c r="AI16" i="3"/>
  <c r="AJ16" i="3"/>
  <c r="AS16" i="3"/>
  <c r="BG16" i="3" s="1"/>
  <c r="BE16" i="3"/>
  <c r="BI15" i="3"/>
  <c r="BM15" i="3" s="1"/>
  <c r="BM16" i="3" s="1"/>
  <c r="AF17" i="3"/>
  <c r="AF21" i="3"/>
  <c r="AF19" i="3"/>
  <c r="AR22" i="3" l="1"/>
  <c r="AQ21" i="3"/>
  <c r="AQ22" i="3"/>
  <c r="AQ23" i="3"/>
  <c r="AS19" i="3"/>
  <c r="BG19" i="3" s="1"/>
  <c r="BE19" i="3"/>
  <c r="AG17" i="3"/>
  <c r="AU17" i="3" s="1"/>
  <c r="BI17" i="3" s="1"/>
  <c r="AI17" i="3"/>
  <c r="AJ17" i="3"/>
  <c r="BH17" i="3"/>
  <c r="AJ19" i="3"/>
  <c r="AL18" i="3"/>
  <c r="AZ18" i="3" s="1"/>
  <c r="AL19" i="3"/>
  <c r="AZ19" i="3" s="1"/>
  <c r="BL18" i="3"/>
  <c r="AV18" i="3"/>
  <c r="BJ18" i="3" s="1"/>
  <c r="BN18" i="3" s="1"/>
  <c r="BN19" i="3" s="1"/>
  <c r="BL16" i="3"/>
  <c r="AV16" i="3"/>
  <c r="BJ16" i="3" s="1"/>
  <c r="AT19" i="3"/>
  <c r="BH19" i="3" s="1"/>
  <c r="BF19" i="3"/>
  <c r="AW16" i="3"/>
  <c r="BK16" i="3"/>
  <c r="AK18" i="3"/>
  <c r="AY18" i="3" s="1"/>
  <c r="BK18" i="3"/>
  <c r="BO18" i="3" s="1"/>
  <c r="BO19" i="3" s="1"/>
  <c r="AW18" i="3"/>
  <c r="AG19" i="3"/>
  <c r="AU19" i="3" s="1"/>
  <c r="BI19" i="3" s="1"/>
  <c r="AH19" i="3"/>
  <c r="AX19" i="3" s="1"/>
  <c r="AI19" i="3"/>
  <c r="AM18" i="3"/>
  <c r="BA18" i="3" s="1"/>
  <c r="AG21" i="3"/>
  <c r="AU21" i="3" s="1"/>
  <c r="BI21" i="3" s="1"/>
  <c r="BM21" i="3" s="1"/>
  <c r="AH21" i="3"/>
  <c r="AI21" i="3"/>
  <c r="AM21" i="3" s="1"/>
  <c r="BA21" i="3" s="1"/>
  <c r="AJ21" i="3"/>
  <c r="AN21" i="3" s="1"/>
  <c r="BB21" i="3" s="1"/>
  <c r="AM22" i="3"/>
  <c r="BA22" i="3" s="1"/>
  <c r="AN22" i="3"/>
  <c r="BB22" i="3" s="1"/>
  <c r="BH21" i="3"/>
  <c r="AX18" i="3"/>
  <c r="AP19" i="3"/>
  <c r="BD19" i="3" s="1"/>
  <c r="AU18" i="3"/>
  <c r="BI18" i="3" s="1"/>
  <c r="BM18" i="3" s="1"/>
  <c r="BM19" i="3" s="1"/>
  <c r="AO19" i="3"/>
  <c r="BC19" i="3" s="1"/>
  <c r="AK19" i="3"/>
  <c r="AY19" i="3" s="1"/>
  <c r="BE18" i="3"/>
  <c r="AO18" i="3"/>
  <c r="BC18" i="3" s="1"/>
  <c r="AS18" i="3"/>
  <c r="BG18" i="3" s="1"/>
  <c r="BG20" i="3" s="1"/>
  <c r="AS20" i="3"/>
  <c r="BE20" i="3"/>
  <c r="AF24" i="3"/>
  <c r="AF20" i="3"/>
  <c r="AF22" i="3"/>
  <c r="AR25" i="3" l="1"/>
  <c r="AQ25" i="3"/>
  <c r="AQ26" i="3"/>
  <c r="AQ24" i="3"/>
  <c r="BM22" i="3"/>
  <c r="AS22" i="3"/>
  <c r="BG22" i="3" s="1"/>
  <c r="BE22" i="3"/>
  <c r="AG22" i="3"/>
  <c r="AU22" i="3" s="1"/>
  <c r="BI22" i="3" s="1"/>
  <c r="AH22" i="3"/>
  <c r="AX22" i="3" s="1"/>
  <c r="AI22" i="3"/>
  <c r="AJ22" i="3"/>
  <c r="AL21" i="3"/>
  <c r="AZ21" i="3" s="1"/>
  <c r="AL22" i="3"/>
  <c r="AZ22" i="3" s="1"/>
  <c r="BL21" i="3"/>
  <c r="AV21" i="3"/>
  <c r="BJ21" i="3" s="1"/>
  <c r="BN21" i="3" s="1"/>
  <c r="BN22" i="3" s="1"/>
  <c r="AV19" i="3"/>
  <c r="BJ19" i="3" s="1"/>
  <c r="BL19" i="3"/>
  <c r="AK22" i="3"/>
  <c r="AY22" i="3" s="1"/>
  <c r="AO22" i="3"/>
  <c r="BC22" i="3" s="1"/>
  <c r="AW19" i="3"/>
  <c r="BK19" i="3"/>
  <c r="BE23" i="3"/>
  <c r="AS23" i="3"/>
  <c r="BK21" i="3"/>
  <c r="BO21" i="3" s="1"/>
  <c r="BO22" i="3" s="1"/>
  <c r="AW21" i="3"/>
  <c r="AK21" i="3"/>
  <c r="AY21" i="3" s="1"/>
  <c r="AV17" i="3"/>
  <c r="BJ17" i="3" s="1"/>
  <c r="BL17" i="3"/>
  <c r="AX21" i="3"/>
  <c r="AP22" i="3"/>
  <c r="BD22" i="3" s="1"/>
  <c r="AW17" i="3"/>
  <c r="BK17" i="3"/>
  <c r="AT22" i="3"/>
  <c r="BH22" i="3" s="1"/>
  <c r="BF22" i="3"/>
  <c r="BE21" i="3"/>
  <c r="AO21" i="3"/>
  <c r="BC21" i="3" s="1"/>
  <c r="AS21" i="3"/>
  <c r="BG21" i="3" s="1"/>
  <c r="BG23" i="3" s="1"/>
  <c r="AG20" i="3"/>
  <c r="AU20" i="3" s="1"/>
  <c r="BI20" i="3" s="1"/>
  <c r="AH20" i="3"/>
  <c r="AX20" i="3" s="1"/>
  <c r="AI20" i="3"/>
  <c r="AJ20" i="3"/>
  <c r="BH20" i="3"/>
  <c r="AJ24" i="3"/>
  <c r="AM25" i="3"/>
  <c r="BA25" i="3" s="1"/>
  <c r="AN25" i="3"/>
  <c r="BB25" i="3" s="1"/>
  <c r="AG24" i="3"/>
  <c r="AU24" i="3" s="1"/>
  <c r="BI24" i="3" s="1"/>
  <c r="BM24" i="3" s="1"/>
  <c r="AH24" i="3"/>
  <c r="AI24" i="3"/>
  <c r="AM24" i="3" s="1"/>
  <c r="BA24" i="3" s="1"/>
  <c r="BH24" i="3"/>
  <c r="AF27" i="3"/>
  <c r="AF23" i="3"/>
  <c r="AF25" i="3"/>
  <c r="F7" i="2"/>
  <c r="AR28" i="3" l="1"/>
  <c r="AQ27" i="3"/>
  <c r="AQ28" i="3" s="1"/>
  <c r="AQ29" i="3"/>
  <c r="BM25" i="3"/>
  <c r="AS25" i="3"/>
  <c r="BG25" i="3" s="1"/>
  <c r="BE25" i="3"/>
  <c r="BE24" i="3"/>
  <c r="AO24" i="3"/>
  <c r="BC24" i="3" s="1"/>
  <c r="AS24" i="3"/>
  <c r="BG24" i="3" s="1"/>
  <c r="BG26" i="3" s="1"/>
  <c r="AW20" i="3"/>
  <c r="BK20" i="3"/>
  <c r="AX24" i="3"/>
  <c r="AP25" i="3"/>
  <c r="BD25" i="3" s="1"/>
  <c r="BE26" i="3"/>
  <c r="AS26" i="3"/>
  <c r="AK24" i="3"/>
  <c r="AY24" i="3" s="1"/>
  <c r="AW24" i="3"/>
  <c r="BK24" i="3"/>
  <c r="BO24" i="3" s="1"/>
  <c r="BO25" i="3" s="1"/>
  <c r="AN24" i="3"/>
  <c r="BB24" i="3" s="1"/>
  <c r="BL24" i="3"/>
  <c r="AV24" i="3"/>
  <c r="BJ24" i="3" s="1"/>
  <c r="BN24" i="3" s="1"/>
  <c r="BN25" i="3" s="1"/>
  <c r="AL25" i="3"/>
  <c r="AZ25" i="3" s="1"/>
  <c r="AL24" i="3"/>
  <c r="AZ24" i="3" s="1"/>
  <c r="BL22" i="3"/>
  <c r="AV22" i="3"/>
  <c r="BJ22" i="3" s="1"/>
  <c r="AH25" i="3"/>
  <c r="AX25" i="3" s="1"/>
  <c r="AG25" i="3"/>
  <c r="AU25" i="3" s="1"/>
  <c r="BI25" i="3" s="1"/>
  <c r="AI25" i="3"/>
  <c r="AJ25" i="3"/>
  <c r="AT25" i="3"/>
  <c r="BH25" i="3" s="1"/>
  <c r="BF25" i="3"/>
  <c r="BK22" i="3"/>
  <c r="AW22" i="3"/>
  <c r="AG23" i="3"/>
  <c r="AU23" i="3" s="1"/>
  <c r="BI23" i="3" s="1"/>
  <c r="BH23" i="3"/>
  <c r="AH23" i="3"/>
  <c r="AX23" i="3" s="1"/>
  <c r="AI23" i="3"/>
  <c r="AJ23" i="3"/>
  <c r="AK25" i="3"/>
  <c r="AY25" i="3" s="1"/>
  <c r="AO25" i="3"/>
  <c r="BC25" i="3" s="1"/>
  <c r="AV20" i="3"/>
  <c r="BJ20" i="3" s="1"/>
  <c r="BL20" i="3"/>
  <c r="AM28" i="3"/>
  <c r="BA28" i="3" s="1"/>
  <c r="AN28" i="3"/>
  <c r="BB28" i="3" s="1"/>
  <c r="AG27" i="3"/>
  <c r="AU27" i="3" s="1"/>
  <c r="BI27" i="3" s="1"/>
  <c r="BM27" i="3" s="1"/>
  <c r="AH27" i="3"/>
  <c r="AI27" i="3"/>
  <c r="AJ27" i="3"/>
  <c r="AN27" i="3" s="1"/>
  <c r="BB27" i="3" s="1"/>
  <c r="BH27" i="3"/>
  <c r="AF30" i="3"/>
  <c r="AF28" i="3"/>
  <c r="AF26" i="3"/>
  <c r="F6" i="2"/>
  <c r="F5" i="2"/>
  <c r="F4" i="2"/>
  <c r="F3" i="2"/>
  <c r="AR31" i="3" l="1"/>
  <c r="AQ30" i="3"/>
  <c r="AQ31" i="3" s="1"/>
  <c r="AQ32" i="3"/>
  <c r="BM28" i="3"/>
  <c r="AL27" i="3"/>
  <c r="AZ27" i="3" s="1"/>
  <c r="BL27" i="3"/>
  <c r="AV27" i="3"/>
  <c r="BJ27" i="3" s="1"/>
  <c r="BN27" i="3" s="1"/>
  <c r="BN28" i="3" s="1"/>
  <c r="AL28" i="3"/>
  <c r="AZ28" i="3" s="1"/>
  <c r="AS29" i="3"/>
  <c r="BE29" i="3"/>
  <c r="AW23" i="3"/>
  <c r="BK23" i="3"/>
  <c r="AV25" i="3"/>
  <c r="BJ25" i="3" s="1"/>
  <c r="BL25" i="3"/>
  <c r="AK27" i="3"/>
  <c r="AY27" i="3" s="1"/>
  <c r="AW27" i="3"/>
  <c r="BK27" i="3"/>
  <c r="BO27" i="3" s="1"/>
  <c r="BO28" i="3" s="1"/>
  <c r="BK25" i="3"/>
  <c r="AW25" i="3"/>
  <c r="BF28" i="3"/>
  <c r="AT28" i="3"/>
  <c r="BH28" i="3" s="1"/>
  <c r="AG26" i="3"/>
  <c r="AU26" i="3" s="1"/>
  <c r="BI26" i="3" s="1"/>
  <c r="AH26" i="3"/>
  <c r="AX26" i="3" s="1"/>
  <c r="AI26" i="3"/>
  <c r="AJ26" i="3"/>
  <c r="BH26" i="3"/>
  <c r="AO27" i="3"/>
  <c r="BC27" i="3" s="1"/>
  <c r="AS27" i="3"/>
  <c r="BG27" i="3" s="1"/>
  <c r="BG29" i="3" s="1"/>
  <c r="BE27" i="3"/>
  <c r="AG28" i="3"/>
  <c r="AU28" i="3" s="1"/>
  <c r="BI28" i="3" s="1"/>
  <c r="AH28" i="3"/>
  <c r="AX28" i="3" s="1"/>
  <c r="AI28" i="3"/>
  <c r="AJ28" i="3"/>
  <c r="AX27" i="3"/>
  <c r="AP28" i="3"/>
  <c r="BD28" i="3" s="1"/>
  <c r="AH30" i="3"/>
  <c r="AI30" i="3"/>
  <c r="AJ30" i="3"/>
  <c r="AN30" i="3" s="1"/>
  <c r="BB30" i="3" s="1"/>
  <c r="AM31" i="3"/>
  <c r="BA31" i="3" s="1"/>
  <c r="AN31" i="3"/>
  <c r="BB31" i="3" s="1"/>
  <c r="AG30" i="3"/>
  <c r="BH30" i="3"/>
  <c r="AM27" i="3"/>
  <c r="BA27" i="3" s="1"/>
  <c r="AO28" i="3"/>
  <c r="BC28" i="3" s="1"/>
  <c r="AK28" i="3"/>
  <c r="AY28" i="3" s="1"/>
  <c r="BL23" i="3"/>
  <c r="AV23" i="3"/>
  <c r="BJ23" i="3" s="1"/>
  <c r="AF33" i="3"/>
  <c r="AF31" i="3"/>
  <c r="AF29" i="3"/>
  <c r="AR34" i="3" l="1"/>
  <c r="AQ33" i="3"/>
  <c r="AQ34" i="3" s="1"/>
  <c r="AQ35" i="3"/>
  <c r="AK31" i="3"/>
  <c r="AY31" i="3" s="1"/>
  <c r="AO31" i="3"/>
  <c r="BC31" i="3" s="1"/>
  <c r="BE31" i="3"/>
  <c r="AS31" i="3"/>
  <c r="BG31" i="3" s="1"/>
  <c r="AM30" i="3"/>
  <c r="BA30" i="3" s="1"/>
  <c r="BK30" i="3"/>
  <c r="BO30" i="3" s="1"/>
  <c r="BO31" i="3" s="1"/>
  <c r="AW30" i="3"/>
  <c r="AK30" i="3"/>
  <c r="AY30" i="3" s="1"/>
  <c r="AO30" i="3"/>
  <c r="BC30" i="3" s="1"/>
  <c r="BE30" i="3"/>
  <c r="AS30" i="3"/>
  <c r="BG30" i="3" s="1"/>
  <c r="BG32" i="3" s="1"/>
  <c r="AP31" i="3"/>
  <c r="BD31" i="3" s="1"/>
  <c r="AX30" i="3"/>
  <c r="AS32" i="3"/>
  <c r="BE32" i="3"/>
  <c r="AV28" i="3"/>
  <c r="BJ28" i="3" s="1"/>
  <c r="BL28" i="3"/>
  <c r="AG29" i="3"/>
  <c r="AU29" i="3" s="1"/>
  <c r="BI29" i="3" s="1"/>
  <c r="AH29" i="3"/>
  <c r="AX29" i="3" s="1"/>
  <c r="AI29" i="3"/>
  <c r="BH29" i="3"/>
  <c r="AJ29" i="3"/>
  <c r="AS28" i="3"/>
  <c r="BG28" i="3" s="1"/>
  <c r="BE28" i="3"/>
  <c r="AG31" i="3"/>
  <c r="AU31" i="3" s="1"/>
  <c r="BI31" i="3" s="1"/>
  <c r="AH31" i="3"/>
  <c r="AX31" i="3" s="1"/>
  <c r="AJ31" i="3"/>
  <c r="AI31" i="3"/>
  <c r="AU30" i="3"/>
  <c r="BI30" i="3" s="1"/>
  <c r="BM30" i="3" s="1"/>
  <c r="BM31" i="3" s="1"/>
  <c r="AT31" i="3"/>
  <c r="BH31" i="3" s="1"/>
  <c r="BF31" i="3"/>
  <c r="BL26" i="3"/>
  <c r="AV26" i="3"/>
  <c r="BJ26" i="3" s="1"/>
  <c r="AM34" i="3"/>
  <c r="BA34" i="3" s="1"/>
  <c r="AG33" i="3"/>
  <c r="AU33" i="3" s="1"/>
  <c r="BI33" i="3" s="1"/>
  <c r="BM33" i="3" s="1"/>
  <c r="BH33" i="3"/>
  <c r="AN34" i="3"/>
  <c r="BB34" i="3" s="1"/>
  <c r="AH33" i="3"/>
  <c r="AI33" i="3"/>
  <c r="AJ33" i="3"/>
  <c r="AL30" i="3"/>
  <c r="AZ30" i="3" s="1"/>
  <c r="AL31" i="3"/>
  <c r="AZ31" i="3" s="1"/>
  <c r="BL30" i="3"/>
  <c r="AV30" i="3"/>
  <c r="BJ30" i="3" s="1"/>
  <c r="BN30" i="3" s="1"/>
  <c r="BN31" i="3" s="1"/>
  <c r="BK28" i="3"/>
  <c r="AW28" i="3"/>
  <c r="AW26" i="3"/>
  <c r="BK26" i="3"/>
  <c r="AF34" i="3"/>
  <c r="AF36" i="3"/>
  <c r="AF32" i="3"/>
  <c r="AR37" i="3" l="1"/>
  <c r="AQ36" i="3"/>
  <c r="AQ37" i="3" s="1"/>
  <c r="AQ38" i="3"/>
  <c r="BM34" i="3"/>
  <c r="BE34" i="3"/>
  <c r="AS34" i="3"/>
  <c r="BG34" i="3" s="1"/>
  <c r="BE35" i="3"/>
  <c r="AS35" i="3"/>
  <c r="AV31" i="3"/>
  <c r="BJ31" i="3" s="1"/>
  <c r="BL31" i="3"/>
  <c r="AJ34" i="3"/>
  <c r="AG34" i="3"/>
  <c r="AU34" i="3" s="1"/>
  <c r="BI34" i="3" s="1"/>
  <c r="AH34" i="3"/>
  <c r="AX34" i="3" s="1"/>
  <c r="AI34" i="3"/>
  <c r="AO34" i="3"/>
  <c r="BC34" i="3" s="1"/>
  <c r="AK34" i="3"/>
  <c r="AY34" i="3" s="1"/>
  <c r="BF34" i="3"/>
  <c r="AT34" i="3"/>
  <c r="BH34" i="3" s="1"/>
  <c r="AL33" i="3"/>
  <c r="AZ33" i="3" s="1"/>
  <c r="AL34" i="3"/>
  <c r="AZ34" i="3" s="1"/>
  <c r="BL33" i="3"/>
  <c r="AV33" i="3"/>
  <c r="BJ33" i="3" s="1"/>
  <c r="BN33" i="3" s="1"/>
  <c r="BN34" i="3" s="1"/>
  <c r="AV29" i="3"/>
  <c r="BJ29" i="3" s="1"/>
  <c r="BL29" i="3"/>
  <c r="AN33" i="3"/>
  <c r="BB33" i="3" s="1"/>
  <c r="AW31" i="3"/>
  <c r="BK31" i="3"/>
  <c r="BK33" i="3"/>
  <c r="BO33" i="3" s="1"/>
  <c r="BO34" i="3" s="1"/>
  <c r="AK33" i="3"/>
  <c r="AY33" i="3" s="1"/>
  <c r="AW33" i="3"/>
  <c r="AM33" i="3"/>
  <c r="BA33" i="3" s="1"/>
  <c r="AW29" i="3"/>
  <c r="BK29" i="3"/>
  <c r="AG32" i="3"/>
  <c r="AU32" i="3" s="1"/>
  <c r="BI32" i="3" s="1"/>
  <c r="AH32" i="3"/>
  <c r="AX32" i="3" s="1"/>
  <c r="BH32" i="3"/>
  <c r="AI32" i="3"/>
  <c r="AJ32" i="3"/>
  <c r="AS33" i="3"/>
  <c r="BG33" i="3" s="1"/>
  <c r="BG35" i="3" s="1"/>
  <c r="AO33" i="3"/>
  <c r="BC33" i="3" s="1"/>
  <c r="BE33" i="3"/>
  <c r="AX33" i="3"/>
  <c r="AP34" i="3"/>
  <c r="BD34" i="3" s="1"/>
  <c r="AG36" i="3"/>
  <c r="AH36" i="3"/>
  <c r="AI36" i="3"/>
  <c r="AM37" i="3"/>
  <c r="BA37" i="3" s="1"/>
  <c r="AJ36" i="3"/>
  <c r="BH36" i="3"/>
  <c r="AN37" i="3"/>
  <c r="BB37" i="3" s="1"/>
  <c r="AF35" i="3"/>
  <c r="AF37" i="3"/>
  <c r="AF39" i="3"/>
  <c r="AR40" i="3" l="1"/>
  <c r="AQ41" i="3"/>
  <c r="AQ39" i="3"/>
  <c r="AQ40" i="3"/>
  <c r="BE37" i="3"/>
  <c r="AS37" i="3"/>
  <c r="BG37" i="3" s="1"/>
  <c r="BK34" i="3"/>
  <c r="AW34" i="3"/>
  <c r="AO36" i="3"/>
  <c r="BC36" i="3" s="1"/>
  <c r="BE36" i="3"/>
  <c r="AS36" i="3"/>
  <c r="BG36" i="3" s="1"/>
  <c r="BG38" i="3" s="1"/>
  <c r="AN36" i="3"/>
  <c r="BB36" i="3" s="1"/>
  <c r="AL36" i="3"/>
  <c r="AZ36" i="3" s="1"/>
  <c r="BL36" i="3"/>
  <c r="AV36" i="3"/>
  <c r="BJ36" i="3" s="1"/>
  <c r="BN36" i="3" s="1"/>
  <c r="BN37" i="3" s="1"/>
  <c r="AL37" i="3"/>
  <c r="AZ37" i="3" s="1"/>
  <c r="BE38" i="3"/>
  <c r="AS38" i="3"/>
  <c r="AV34" i="3"/>
  <c r="BJ34" i="3" s="1"/>
  <c r="BL34" i="3"/>
  <c r="AJ39" i="3"/>
  <c r="AN39" i="3" s="1"/>
  <c r="BB39" i="3" s="1"/>
  <c r="AM40" i="3"/>
  <c r="BA40" i="3" s="1"/>
  <c r="BH39" i="3"/>
  <c r="AN40" i="3"/>
  <c r="BB40" i="3" s="1"/>
  <c r="AG39" i="3"/>
  <c r="AU39" i="3" s="1"/>
  <c r="BI39" i="3" s="1"/>
  <c r="BM39" i="3" s="1"/>
  <c r="AH39" i="3"/>
  <c r="AI39" i="3"/>
  <c r="AM39" i="3" s="1"/>
  <c r="BA39" i="3" s="1"/>
  <c r="AG37" i="3"/>
  <c r="AU37" i="3" s="1"/>
  <c r="BI37" i="3" s="1"/>
  <c r="AH37" i="3"/>
  <c r="AX37" i="3" s="1"/>
  <c r="AI37" i="3"/>
  <c r="AJ37" i="3"/>
  <c r="AM36" i="3"/>
  <c r="BA36" i="3" s="1"/>
  <c r="AW36" i="3"/>
  <c r="AK36" i="3"/>
  <c r="AY36" i="3" s="1"/>
  <c r="BK36" i="3"/>
  <c r="BO36" i="3" s="1"/>
  <c r="BO37" i="3" s="1"/>
  <c r="AG35" i="3"/>
  <c r="AU35" i="3" s="1"/>
  <c r="BI35" i="3" s="1"/>
  <c r="AH35" i="3"/>
  <c r="AX35" i="3" s="1"/>
  <c r="AI35" i="3"/>
  <c r="AJ35" i="3"/>
  <c r="BH35" i="3"/>
  <c r="AP37" i="3"/>
  <c r="BD37" i="3" s="1"/>
  <c r="AX36" i="3"/>
  <c r="AU36" i="3"/>
  <c r="BI36" i="3" s="1"/>
  <c r="BM36" i="3" s="1"/>
  <c r="BM37" i="3" s="1"/>
  <c r="AO37" i="3"/>
  <c r="BC37" i="3" s="1"/>
  <c r="AK37" i="3"/>
  <c r="AY37" i="3" s="1"/>
  <c r="BF37" i="3"/>
  <c r="AT37" i="3"/>
  <c r="BH37" i="3" s="1"/>
  <c r="BL32" i="3"/>
  <c r="AV32" i="3"/>
  <c r="BJ32" i="3" s="1"/>
  <c r="AW32" i="3"/>
  <c r="BK32" i="3"/>
  <c r="AF42" i="3"/>
  <c r="AF38" i="3"/>
  <c r="AF40" i="3"/>
  <c r="AR43" i="3" l="1"/>
  <c r="AQ42" i="3"/>
  <c r="AQ43" i="3" s="1"/>
  <c r="AQ44" i="3"/>
  <c r="BM40" i="3"/>
  <c r="AH42" i="3"/>
  <c r="AI42" i="3"/>
  <c r="AM42" i="3" s="1"/>
  <c r="BA42" i="3" s="1"/>
  <c r="AJ42" i="3"/>
  <c r="AN42" i="3" s="1"/>
  <c r="BB42" i="3" s="1"/>
  <c r="AM43" i="3"/>
  <c r="BA43" i="3" s="1"/>
  <c r="AG42" i="3"/>
  <c r="AN43" i="3"/>
  <c r="BB43" i="3" s="1"/>
  <c r="BH42" i="3"/>
  <c r="AX39" i="3"/>
  <c r="AP40" i="3"/>
  <c r="BD40" i="3" s="1"/>
  <c r="BL35" i="3"/>
  <c r="AV35" i="3"/>
  <c r="BJ35" i="3" s="1"/>
  <c r="AS41" i="3"/>
  <c r="BE41" i="3"/>
  <c r="AG40" i="3"/>
  <c r="AU40" i="3" s="1"/>
  <c r="BI40" i="3" s="1"/>
  <c r="AH40" i="3"/>
  <c r="AX40" i="3" s="1"/>
  <c r="AW35" i="3"/>
  <c r="BK35" i="3"/>
  <c r="BK37" i="3"/>
  <c r="AW37" i="3"/>
  <c r="AO40" i="3"/>
  <c r="BC40" i="3" s="1"/>
  <c r="AK40" i="3"/>
  <c r="AY40" i="3" s="1"/>
  <c r="AJ40" i="3"/>
  <c r="AL40" i="3"/>
  <c r="AZ40" i="3" s="1"/>
  <c r="BL39" i="3"/>
  <c r="AL39" i="3"/>
  <c r="AZ39" i="3" s="1"/>
  <c r="AV39" i="3"/>
  <c r="BJ39" i="3" s="1"/>
  <c r="BN39" i="3" s="1"/>
  <c r="BN40" i="3" s="1"/>
  <c r="AG38" i="3"/>
  <c r="AU38" i="3" s="1"/>
  <c r="BI38" i="3" s="1"/>
  <c r="AH38" i="3"/>
  <c r="AX38" i="3" s="1"/>
  <c r="BH38" i="3"/>
  <c r="AI38" i="3"/>
  <c r="AJ38" i="3"/>
  <c r="AI40" i="3"/>
  <c r="AW39" i="3"/>
  <c r="BK39" i="3"/>
  <c r="BO39" i="3" s="1"/>
  <c r="BO40" i="3" s="1"/>
  <c r="AK39" i="3"/>
  <c r="AY39" i="3" s="1"/>
  <c r="BE39" i="3"/>
  <c r="AS39" i="3"/>
  <c r="BG39" i="3" s="1"/>
  <c r="BG41" i="3" s="1"/>
  <c r="AO39" i="3"/>
  <c r="BC39" i="3" s="1"/>
  <c r="BF40" i="3"/>
  <c r="AT40" i="3"/>
  <c r="BH40" i="3" s="1"/>
  <c r="BL37" i="3"/>
  <c r="AV37" i="3"/>
  <c r="BJ37" i="3" s="1"/>
  <c r="AF43" i="3"/>
  <c r="AF45" i="3"/>
  <c r="AF41" i="3"/>
  <c r="AR46" i="3" l="1"/>
  <c r="AQ45" i="3"/>
  <c r="AQ46" i="3" s="1"/>
  <c r="AQ47" i="3"/>
  <c r="AW38" i="3"/>
  <c r="BK38" i="3"/>
  <c r="AS43" i="3"/>
  <c r="BG43" i="3" s="1"/>
  <c r="BE43" i="3"/>
  <c r="AX42" i="3"/>
  <c r="AP43" i="3"/>
  <c r="BD43" i="3" s="1"/>
  <c r="AW40" i="3"/>
  <c r="BK40" i="3"/>
  <c r="BE42" i="3"/>
  <c r="AO42" i="3"/>
  <c r="BC42" i="3" s="1"/>
  <c r="AS42" i="3"/>
  <c r="BG42" i="3" s="1"/>
  <c r="BG44" i="3" s="1"/>
  <c r="AV40" i="3"/>
  <c r="BJ40" i="3" s="1"/>
  <c r="BL40" i="3"/>
  <c r="AU42" i="3"/>
  <c r="BI42" i="3" s="1"/>
  <c r="BM42" i="3" s="1"/>
  <c r="BM43" i="3" s="1"/>
  <c r="AO43" i="3"/>
  <c r="BC43" i="3" s="1"/>
  <c r="AK43" i="3"/>
  <c r="AY43" i="3" s="1"/>
  <c r="AV38" i="3"/>
  <c r="BJ38" i="3" s="1"/>
  <c r="BL38" i="3"/>
  <c r="AS44" i="3"/>
  <c r="BE44" i="3"/>
  <c r="AG41" i="3"/>
  <c r="AU41" i="3" s="1"/>
  <c r="BI41" i="3" s="1"/>
  <c r="AH41" i="3"/>
  <c r="AX41" i="3" s="1"/>
  <c r="AI41" i="3"/>
  <c r="BH41" i="3"/>
  <c r="AJ41" i="3"/>
  <c r="AJ43" i="3"/>
  <c r="AL43" i="3"/>
  <c r="AZ43" i="3" s="1"/>
  <c r="BL42" i="3"/>
  <c r="AV42" i="3"/>
  <c r="BJ42" i="3" s="1"/>
  <c r="BN42" i="3" s="1"/>
  <c r="BN43" i="3" s="1"/>
  <c r="AL42" i="3"/>
  <c r="AZ42" i="3" s="1"/>
  <c r="AG43" i="3"/>
  <c r="AU43" i="3" s="1"/>
  <c r="BI43" i="3" s="1"/>
  <c r="AH43" i="3"/>
  <c r="AX43" i="3" s="1"/>
  <c r="AI43" i="3"/>
  <c r="AT43" i="3"/>
  <c r="BH43" i="3" s="1"/>
  <c r="BF43" i="3"/>
  <c r="AK42" i="3"/>
  <c r="AY42" i="3" s="1"/>
  <c r="AW42" i="3"/>
  <c r="BK42" i="3"/>
  <c r="BO42" i="3" s="1"/>
  <c r="BO43" i="3" s="1"/>
  <c r="AH45" i="3"/>
  <c r="AI45" i="3"/>
  <c r="AM45" i="3" s="1"/>
  <c r="BA45" i="3" s="1"/>
  <c r="AJ45" i="3"/>
  <c r="AN45" i="3" s="1"/>
  <c r="BB45" i="3" s="1"/>
  <c r="AM46" i="3"/>
  <c r="BA46" i="3" s="1"/>
  <c r="AN46" i="3"/>
  <c r="BB46" i="3" s="1"/>
  <c r="BH45" i="3"/>
  <c r="AG45" i="3"/>
  <c r="AU45" i="3" s="1"/>
  <c r="BI45" i="3" s="1"/>
  <c r="BM45" i="3" s="1"/>
  <c r="BE40" i="3"/>
  <c r="AS40" i="3"/>
  <c r="BG40" i="3" s="1"/>
  <c r="AF44" i="3"/>
  <c r="AF46" i="3"/>
  <c r="AF48" i="3"/>
  <c r="AR49" i="3" l="1"/>
  <c r="AQ49" i="3"/>
  <c r="AQ50" i="3"/>
  <c r="AQ48" i="3"/>
  <c r="BM46" i="3"/>
  <c r="AS46" i="3"/>
  <c r="BG46" i="3" s="1"/>
  <c r="BE46" i="3"/>
  <c r="AL45" i="3"/>
  <c r="AZ45" i="3" s="1"/>
  <c r="AL46" i="3"/>
  <c r="AZ46" i="3" s="1"/>
  <c r="BL45" i="3"/>
  <c r="AV45" i="3"/>
  <c r="BJ45" i="3" s="1"/>
  <c r="BN45" i="3" s="1"/>
  <c r="BN46" i="3" s="1"/>
  <c r="AV41" i="3"/>
  <c r="BJ41" i="3" s="1"/>
  <c r="BL41" i="3"/>
  <c r="AI44" i="3"/>
  <c r="AJ44" i="3"/>
  <c r="AG44" i="3"/>
  <c r="AU44" i="3" s="1"/>
  <c r="BI44" i="3" s="1"/>
  <c r="AH44" i="3"/>
  <c r="AX44" i="3" s="1"/>
  <c r="BH44" i="3"/>
  <c r="AX45" i="3"/>
  <c r="AP46" i="3"/>
  <c r="BD46" i="3" s="1"/>
  <c r="AW41" i="3"/>
  <c r="BK41" i="3"/>
  <c r="BH48" i="3"/>
  <c r="AI48" i="3"/>
  <c r="AM48" i="3"/>
  <c r="BN48" i="3"/>
  <c r="BO48" i="3"/>
  <c r="AU48" i="3"/>
  <c r="BI48" i="3" s="1"/>
  <c r="AG48" i="3"/>
  <c r="AH48" i="3"/>
  <c r="AJ48" i="3"/>
  <c r="BM48" i="3"/>
  <c r="AN48" i="3"/>
  <c r="BB48" i="3" s="1"/>
  <c r="AW45" i="3"/>
  <c r="AK45" i="3"/>
  <c r="AY45" i="3" s="1"/>
  <c r="BK45" i="3"/>
  <c r="BO45" i="3" s="1"/>
  <c r="BO46" i="3" s="1"/>
  <c r="AG46" i="3"/>
  <c r="AU46" i="3" s="1"/>
  <c r="BI46" i="3" s="1"/>
  <c r="AH46" i="3"/>
  <c r="AX46" i="3" s="1"/>
  <c r="AI46" i="3"/>
  <c r="AJ46" i="3"/>
  <c r="BE47" i="3"/>
  <c r="AS47" i="3"/>
  <c r="AK46" i="3"/>
  <c r="AY46" i="3" s="1"/>
  <c r="AO46" i="3"/>
  <c r="BC46" i="3" s="1"/>
  <c r="AV43" i="3"/>
  <c r="BJ43" i="3" s="1"/>
  <c r="BL43" i="3"/>
  <c r="AT46" i="3"/>
  <c r="BH46" i="3" s="1"/>
  <c r="BF46" i="3"/>
  <c r="AW43" i="3"/>
  <c r="BK43" i="3"/>
  <c r="BE45" i="3"/>
  <c r="AO45" i="3"/>
  <c r="BC45" i="3" s="1"/>
  <c r="AS45" i="3"/>
  <c r="BG45" i="3" s="1"/>
  <c r="BG47" i="3" s="1"/>
  <c r="AF49" i="3"/>
  <c r="AF47" i="3"/>
  <c r="AF51" i="3"/>
  <c r="AR52" i="3" l="1"/>
  <c r="AQ51" i="3"/>
  <c r="AQ52" i="3"/>
  <c r="AQ53" i="3"/>
  <c r="AN49" i="3"/>
  <c r="BB49" i="3" s="1"/>
  <c r="AT49" i="3"/>
  <c r="BF49" i="3"/>
  <c r="BE50" i="3"/>
  <c r="AS50" i="3"/>
  <c r="AV44" i="3"/>
  <c r="BJ44" i="3" s="1"/>
  <c r="BL44" i="3"/>
  <c r="BL46" i="3"/>
  <c r="AV46" i="3"/>
  <c r="BJ46" i="3" s="1"/>
  <c r="AW44" i="3"/>
  <c r="BK44" i="3"/>
  <c r="AG47" i="3"/>
  <c r="AU47" i="3" s="1"/>
  <c r="BI47" i="3" s="1"/>
  <c r="BH47" i="3"/>
  <c r="AH47" i="3"/>
  <c r="AX47" i="3" s="1"/>
  <c r="AI47" i="3"/>
  <c r="AJ47" i="3"/>
  <c r="BK46" i="3"/>
  <c r="AW46" i="3"/>
  <c r="BE48" i="3"/>
  <c r="AS48" i="3"/>
  <c r="AO48" i="3"/>
  <c r="BC48" i="3" s="1"/>
  <c r="BG48" i="3" s="1"/>
  <c r="BG50" i="3" s="1"/>
  <c r="BL48" i="3"/>
  <c r="AL48" i="3"/>
  <c r="AZ48" i="3" s="1"/>
  <c r="AL49" i="3"/>
  <c r="AZ49" i="3" s="1"/>
  <c r="AV48" i="3"/>
  <c r="BJ48" i="3" s="1"/>
  <c r="AS49" i="3"/>
  <c r="BE49" i="3"/>
  <c r="AF52" i="3"/>
  <c r="AF53" i="3" s="1"/>
  <c r="BN51" i="3"/>
  <c r="AU51" i="3"/>
  <c r="BI51" i="3" s="1"/>
  <c r="BO51" i="3"/>
  <c r="AI51" i="3"/>
  <c r="BH51" i="3"/>
  <c r="BM51" i="3"/>
  <c r="AM51" i="3"/>
  <c r="BA51" i="3" s="1"/>
  <c r="AH51" i="3"/>
  <c r="AJ51" i="3"/>
  <c r="AG51" i="3"/>
  <c r="AN51" i="3"/>
  <c r="BB51" i="3" s="1"/>
  <c r="BM49" i="3"/>
  <c r="AU49" i="3"/>
  <c r="BI49" i="3" s="1"/>
  <c r="BN49" i="3"/>
  <c r="BO49" i="3"/>
  <c r="AG49" i="3"/>
  <c r="AH49" i="3"/>
  <c r="AX49" i="3" s="1"/>
  <c r="BH49" i="3"/>
  <c r="AI49" i="3"/>
  <c r="AJ49" i="3"/>
  <c r="AK48" i="3"/>
  <c r="AY48" i="3" s="1"/>
  <c r="BK48" i="3"/>
  <c r="AW48" i="3"/>
  <c r="AO49" i="3"/>
  <c r="BC49" i="3" s="1"/>
  <c r="AK49" i="3"/>
  <c r="AY49" i="3" s="1"/>
  <c r="AX48" i="3"/>
  <c r="AP49" i="3"/>
  <c r="BD49" i="3" s="1"/>
  <c r="AM49" i="3"/>
  <c r="BA49" i="3" s="1"/>
  <c r="BA48" i="3"/>
  <c r="AF50" i="3"/>
  <c r="AF54" i="3"/>
  <c r="AR55" i="3" l="1"/>
  <c r="AQ54" i="3"/>
  <c r="AQ55" i="3"/>
  <c r="AQ56" i="3"/>
  <c r="AN52" i="3"/>
  <c r="BB52" i="3" s="1"/>
  <c r="BG49" i="3"/>
  <c r="AU53" i="3"/>
  <c r="BI53" i="3" s="1"/>
  <c r="BH53" i="3"/>
  <c r="AI53" i="3"/>
  <c r="AG53" i="3"/>
  <c r="AS53" i="3"/>
  <c r="BE53" i="3"/>
  <c r="AO51" i="3"/>
  <c r="BC51" i="3" s="1"/>
  <c r="BG51" i="3" s="1"/>
  <c r="BG53" i="3" s="1"/>
  <c r="BE51" i="3"/>
  <c r="AS51" i="3"/>
  <c r="AK52" i="3"/>
  <c r="AY52" i="3" s="1"/>
  <c r="AO52" i="3"/>
  <c r="BC52" i="3" s="1"/>
  <c r="AT52" i="3"/>
  <c r="BF52" i="3"/>
  <c r="AM52" i="3"/>
  <c r="BA52" i="3" s="1"/>
  <c r="AU50" i="3"/>
  <c r="BI50" i="3" s="1"/>
  <c r="BH50" i="3"/>
  <c r="AG50" i="3"/>
  <c r="AI50" i="3"/>
  <c r="AJ50" i="3"/>
  <c r="AH50" i="3"/>
  <c r="AX50" i="3" s="1"/>
  <c r="AL51" i="3"/>
  <c r="AZ51" i="3" s="1"/>
  <c r="AV51" i="3"/>
  <c r="BJ51" i="3" s="1"/>
  <c r="AL52" i="3"/>
  <c r="AZ52" i="3" s="1"/>
  <c r="BL51" i="3"/>
  <c r="AW51" i="3"/>
  <c r="AK51" i="3"/>
  <c r="AY51" i="3" s="1"/>
  <c r="BK51" i="3"/>
  <c r="BH52" i="3"/>
  <c r="AH52" i="3"/>
  <c r="AX52" i="3" s="1"/>
  <c r="AI52" i="3"/>
  <c r="BM52" i="3"/>
  <c r="BN52" i="3"/>
  <c r="BO52" i="3"/>
  <c r="AU52" i="3"/>
  <c r="BI52" i="3" s="1"/>
  <c r="AJ52" i="3"/>
  <c r="AG52" i="3"/>
  <c r="BN54" i="3"/>
  <c r="BO54" i="3"/>
  <c r="AU54" i="3"/>
  <c r="BI54" i="3" s="1"/>
  <c r="AI54" i="3"/>
  <c r="BH54" i="3"/>
  <c r="BM54" i="3"/>
  <c r="AH54" i="3"/>
  <c r="AM54" i="3"/>
  <c r="BA54" i="3" s="1"/>
  <c r="AG54" i="3"/>
  <c r="AJ54" i="3"/>
  <c r="AN54" i="3"/>
  <c r="BB54" i="3" s="1"/>
  <c r="AX51" i="3"/>
  <c r="AP52" i="3"/>
  <c r="BD52" i="3" s="1"/>
  <c r="AS52" i="3"/>
  <c r="BE52" i="3"/>
  <c r="BL47" i="3"/>
  <c r="AV47" i="3"/>
  <c r="BJ47" i="3" s="1"/>
  <c r="BK47" i="3"/>
  <c r="AW47" i="3"/>
  <c r="AV49" i="3"/>
  <c r="BJ49" i="3" s="1"/>
  <c r="BL49" i="3"/>
  <c r="BK49" i="3"/>
  <c r="AW49" i="3"/>
  <c r="AF57" i="3"/>
  <c r="AF55" i="3"/>
  <c r="AR58" i="3" l="1"/>
  <c r="AQ57" i="3"/>
  <c r="AQ58" i="3"/>
  <c r="AQ59" i="3"/>
  <c r="AM55" i="3"/>
  <c r="BA55" i="3" s="1"/>
  <c r="AN55" i="3"/>
  <c r="BB55" i="3" s="1"/>
  <c r="BG52" i="3"/>
  <c r="AK55" i="3"/>
  <c r="AY55" i="3" s="1"/>
  <c r="AO55" i="3"/>
  <c r="BC55" i="3" s="1"/>
  <c r="AS55" i="3"/>
  <c r="BE55" i="3"/>
  <c r="AW52" i="3"/>
  <c r="BK52" i="3"/>
  <c r="BE56" i="3"/>
  <c r="AS56" i="3"/>
  <c r="AS54" i="3"/>
  <c r="BE54" i="3"/>
  <c r="AO54" i="3"/>
  <c r="BC54" i="3" s="1"/>
  <c r="BG54" i="3" s="1"/>
  <c r="BG56" i="3" s="1"/>
  <c r="BF55" i="3"/>
  <c r="AT55" i="3"/>
  <c r="BK50" i="3"/>
  <c r="AW50" i="3"/>
  <c r="AX54" i="3"/>
  <c r="AP55" i="3"/>
  <c r="BD55" i="3" s="1"/>
  <c r="BH55" i="3"/>
  <c r="AH55" i="3"/>
  <c r="BM55" i="3"/>
  <c r="BN55" i="3"/>
  <c r="BO55" i="3"/>
  <c r="AU55" i="3"/>
  <c r="BI55" i="3" s="1"/>
  <c r="AI55" i="3"/>
  <c r="AJ55" i="3"/>
  <c r="AG55" i="3"/>
  <c r="AL55" i="3"/>
  <c r="AZ55" i="3" s="1"/>
  <c r="AL54" i="3"/>
  <c r="AZ54" i="3" s="1"/>
  <c r="BL54" i="3"/>
  <c r="AV54" i="3"/>
  <c r="BJ54" i="3" s="1"/>
  <c r="AK54" i="3"/>
  <c r="AY54" i="3" s="1"/>
  <c r="AW54" i="3"/>
  <c r="BK54" i="3"/>
  <c r="AV52" i="3"/>
  <c r="BJ52" i="3" s="1"/>
  <c r="BL52" i="3"/>
  <c r="BL50" i="3"/>
  <c r="AV50" i="3"/>
  <c r="BJ50" i="3" s="1"/>
  <c r="AJ53" i="3"/>
  <c r="AF60" i="3"/>
  <c r="BH57" i="3"/>
  <c r="BM57" i="3"/>
  <c r="BN57" i="3"/>
  <c r="BO57" i="3"/>
  <c r="AU57" i="3"/>
  <c r="BI57" i="3" s="1"/>
  <c r="AI57" i="3"/>
  <c r="AM57" i="3"/>
  <c r="BA57" i="3" s="1"/>
  <c r="AH57" i="3"/>
  <c r="AG57" i="3"/>
  <c r="AJ57" i="3"/>
  <c r="AN57" i="3"/>
  <c r="BB57" i="3" s="1"/>
  <c r="AH53" i="3"/>
  <c r="AX53" i="3" s="1"/>
  <c r="BK53" i="3"/>
  <c r="AW53" i="3"/>
  <c r="AF58" i="3"/>
  <c r="AF56" i="3"/>
  <c r="AQ60" i="3" l="1"/>
  <c r="AQ61" i="3"/>
  <c r="AQ62" i="3"/>
  <c r="AF61" i="3"/>
  <c r="BM61" i="3" s="1"/>
  <c r="AR61" i="3"/>
  <c r="AM58" i="3"/>
  <c r="BA58" i="3" s="1"/>
  <c r="AF63" i="3"/>
  <c r="AN58" i="3"/>
  <c r="BB58" i="3" s="1"/>
  <c r="BK57" i="3"/>
  <c r="AK57" i="3"/>
  <c r="AY57" i="3" s="1"/>
  <c r="AW57" i="3"/>
  <c r="AT58" i="3"/>
  <c r="BF58" i="3"/>
  <c r="AS59" i="3"/>
  <c r="BE59" i="3"/>
  <c r="BH61" i="3"/>
  <c r="AI61" i="3"/>
  <c r="AG61" i="3"/>
  <c r="AS58" i="3"/>
  <c r="BE58" i="3"/>
  <c r="BM60" i="3"/>
  <c r="BN60" i="3"/>
  <c r="AU60" i="3"/>
  <c r="BI60" i="3" s="1"/>
  <c r="BO60" i="3"/>
  <c r="BH60" i="3"/>
  <c r="AI60" i="3"/>
  <c r="AM60" i="3"/>
  <c r="BA60" i="3" s="1"/>
  <c r="AH60" i="3"/>
  <c r="AG60" i="3"/>
  <c r="AJ60" i="3"/>
  <c r="AN60" i="3"/>
  <c r="BB60" i="3" s="1"/>
  <c r="AW55" i="3"/>
  <c r="BK55" i="3"/>
  <c r="AU56" i="3"/>
  <c r="BI56" i="3" s="1"/>
  <c r="BH56" i="3"/>
  <c r="AI56" i="3"/>
  <c r="AH56" i="3"/>
  <c r="AX56" i="3" s="1"/>
  <c r="AJ56" i="3"/>
  <c r="AG56" i="3"/>
  <c r="AV53" i="3"/>
  <c r="BJ53" i="3" s="1"/>
  <c r="BL53" i="3"/>
  <c r="AO58" i="3"/>
  <c r="BC58" i="3" s="1"/>
  <c r="AK58" i="3"/>
  <c r="AY58" i="3" s="1"/>
  <c r="AL58" i="3"/>
  <c r="AZ58" i="3" s="1"/>
  <c r="AL57" i="3"/>
  <c r="AZ57" i="3" s="1"/>
  <c r="AV57" i="3"/>
  <c r="BJ57" i="3" s="1"/>
  <c r="BL57" i="3"/>
  <c r="AU58" i="3"/>
  <c r="BI58" i="3" s="1"/>
  <c r="BH58" i="3"/>
  <c r="BM58" i="3"/>
  <c r="BN58" i="3"/>
  <c r="BO58" i="3"/>
  <c r="AI58" i="3"/>
  <c r="BG58" i="3"/>
  <c r="AJ58" i="3"/>
  <c r="AG58" i="3"/>
  <c r="AX57" i="3"/>
  <c r="AP58" i="3"/>
  <c r="BD58" i="3" s="1"/>
  <c r="BE57" i="3"/>
  <c r="AS57" i="3"/>
  <c r="AO57" i="3"/>
  <c r="BC57" i="3" s="1"/>
  <c r="BG57" i="3" s="1"/>
  <c r="BG59" i="3" s="1"/>
  <c r="AH58" i="3"/>
  <c r="AX58" i="3" s="1"/>
  <c r="AX55" i="3"/>
  <c r="BL55" i="3"/>
  <c r="AV55" i="3"/>
  <c r="BJ55" i="3" s="1"/>
  <c r="BG55" i="3"/>
  <c r="AF59" i="3"/>
  <c r="AF62" i="3"/>
  <c r="AQ65" i="3" l="1"/>
  <c r="AS65" i="3" s="1"/>
  <c r="AQ63" i="3"/>
  <c r="AO63" i="3" s="1"/>
  <c r="BC63" i="3" s="1"/>
  <c r="BG63" i="3" s="1"/>
  <c r="BG65" i="3" s="1"/>
  <c r="AQ64" i="3"/>
  <c r="AJ61" i="3"/>
  <c r="AV61" i="3" s="1"/>
  <c r="BJ61" i="3" s="1"/>
  <c r="AJ63" i="3"/>
  <c r="AV63" i="3" s="1"/>
  <c r="BJ63" i="3" s="1"/>
  <c r="AU61" i="3"/>
  <c r="BI61" i="3" s="1"/>
  <c r="BO61" i="3"/>
  <c r="BN61" i="3"/>
  <c r="BN63" i="3"/>
  <c r="AR64" i="3"/>
  <c r="BF64" i="3" s="1"/>
  <c r="BH63" i="3"/>
  <c r="AU63" i="3"/>
  <c r="BI63" i="3" s="1"/>
  <c r="AF66" i="3"/>
  <c r="AH63" i="3"/>
  <c r="AP64" i="3" s="1"/>
  <c r="BD64" i="3" s="1"/>
  <c r="AN61" i="3"/>
  <c r="BB61" i="3" s="1"/>
  <c r="AM63" i="3"/>
  <c r="BA63" i="3" s="1"/>
  <c r="BO63" i="3"/>
  <c r="AI63" i="3"/>
  <c r="BK63" i="3" s="1"/>
  <c r="AF64" i="3"/>
  <c r="BM64" i="3" s="1"/>
  <c r="AM61" i="3"/>
  <c r="BA61" i="3" s="1"/>
  <c r="BM63" i="3"/>
  <c r="BK61" i="3"/>
  <c r="AW61" i="3"/>
  <c r="BK60" i="3"/>
  <c r="AK60" i="3"/>
  <c r="AY60" i="3" s="1"/>
  <c r="AW60" i="3"/>
  <c r="AH61" i="3"/>
  <c r="AX61" i="3" s="1"/>
  <c r="BE64" i="3"/>
  <c r="AS64" i="3"/>
  <c r="AV58" i="3"/>
  <c r="BJ58" i="3" s="1"/>
  <c r="BL58" i="3"/>
  <c r="AS60" i="3"/>
  <c r="BE60" i="3"/>
  <c r="AO60" i="3"/>
  <c r="BC60" i="3" s="1"/>
  <c r="AW63" i="3"/>
  <c r="AK63" i="3"/>
  <c r="AY63" i="3" s="1"/>
  <c r="BH62" i="3"/>
  <c r="AU62" i="3"/>
  <c r="BI62" i="3" s="1"/>
  <c r="AI62" i="3"/>
  <c r="AG62" i="3"/>
  <c r="AV56" i="3"/>
  <c r="BJ56" i="3" s="1"/>
  <c r="BL56" i="3"/>
  <c r="BK58" i="3"/>
  <c r="AW58" i="3"/>
  <c r="AT61" i="3"/>
  <c r="BF61" i="3"/>
  <c r="AW56" i="3"/>
  <c r="BK56" i="3"/>
  <c r="AL61" i="3"/>
  <c r="AZ61" i="3" s="1"/>
  <c r="AL60" i="3"/>
  <c r="AZ60" i="3" s="1"/>
  <c r="AV60" i="3"/>
  <c r="BJ60" i="3" s="1"/>
  <c r="BL60" i="3"/>
  <c r="BE62" i="3"/>
  <c r="AS62" i="3"/>
  <c r="AN63" i="3"/>
  <c r="AK61" i="3"/>
  <c r="AY61" i="3" s="1"/>
  <c r="AO61" i="3"/>
  <c r="BC61" i="3" s="1"/>
  <c r="BE61" i="3"/>
  <c r="AS61" i="3"/>
  <c r="BL61" i="3"/>
  <c r="AL63" i="3"/>
  <c r="AZ63" i="3" s="1"/>
  <c r="BL63" i="3"/>
  <c r="AL64" i="3"/>
  <c r="AZ64" i="3" s="1"/>
  <c r="AU59" i="3"/>
  <c r="BI59" i="3" s="1"/>
  <c r="BH59" i="3"/>
  <c r="AI59" i="3"/>
  <c r="AG59" i="3"/>
  <c r="AJ59" i="3"/>
  <c r="AJ62" i="3" s="1"/>
  <c r="AH59" i="3"/>
  <c r="AX59" i="3" s="1"/>
  <c r="AG63" i="3"/>
  <c r="AX60" i="3"/>
  <c r="AP61" i="3"/>
  <c r="BD61" i="3" s="1"/>
  <c r="AX63" i="3" l="1"/>
  <c r="AT64" i="3"/>
  <c r="AR67" i="3"/>
  <c r="BF67" i="3" s="1"/>
  <c r="AQ66" i="3"/>
  <c r="AQ67" i="3"/>
  <c r="BE67" i="3" s="1"/>
  <c r="AQ68" i="3"/>
  <c r="AM66" i="3"/>
  <c r="BA66" i="3" s="1"/>
  <c r="BN66" i="3"/>
  <c r="AF69" i="3"/>
  <c r="AS66" i="3"/>
  <c r="BM66" i="3"/>
  <c r="BH66" i="3"/>
  <c r="AU66" i="3"/>
  <c r="BI66" i="3" s="1"/>
  <c r="AN66" i="3"/>
  <c r="BB66" i="3" s="1"/>
  <c r="AF67" i="3"/>
  <c r="AG67" i="3" s="1"/>
  <c r="AJ66" i="3"/>
  <c r="AL66" i="3" s="1"/>
  <c r="AZ66" i="3" s="1"/>
  <c r="AH66" i="3"/>
  <c r="AP67" i="3" s="1"/>
  <c r="BD67" i="3" s="1"/>
  <c r="AI66" i="3"/>
  <c r="AI69" i="3" s="1"/>
  <c r="BO66" i="3"/>
  <c r="AU64" i="3"/>
  <c r="BI64" i="3" s="1"/>
  <c r="BE65" i="3"/>
  <c r="AS63" i="3"/>
  <c r="BH64" i="3"/>
  <c r="AF65" i="3"/>
  <c r="BH65" i="3" s="1"/>
  <c r="AJ64" i="3"/>
  <c r="AV64" i="3" s="1"/>
  <c r="BJ64" i="3" s="1"/>
  <c r="AH64" i="3"/>
  <c r="AX64" i="3" s="1"/>
  <c r="AG64" i="3"/>
  <c r="BO64" i="3"/>
  <c r="AI64" i="3"/>
  <c r="BK64" i="3" s="1"/>
  <c r="BG64" i="3"/>
  <c r="AM64" i="3"/>
  <c r="BA64" i="3" s="1"/>
  <c r="BN64" i="3"/>
  <c r="BE63" i="3"/>
  <c r="AO64" i="3"/>
  <c r="BC64" i="3" s="1"/>
  <c r="AK64" i="3"/>
  <c r="AY64" i="3" s="1"/>
  <c r="BB63" i="3"/>
  <c r="AN64" i="3"/>
  <c r="BB64" i="3" s="1"/>
  <c r="AK66" i="3"/>
  <c r="AY66" i="3" s="1"/>
  <c r="BH69" i="3"/>
  <c r="BM69" i="3"/>
  <c r="AH69" i="3"/>
  <c r="AM69" i="3"/>
  <c r="BA69" i="3" s="1"/>
  <c r="AV59" i="3"/>
  <c r="BJ59" i="3" s="1"/>
  <c r="BL59" i="3"/>
  <c r="AN67" i="3"/>
  <c r="BB67" i="3" s="1"/>
  <c r="AW62" i="3"/>
  <c r="BK62" i="3"/>
  <c r="AW59" i="3"/>
  <c r="BK59" i="3"/>
  <c r="AU65" i="3"/>
  <c r="BI65" i="3" s="1"/>
  <c r="AO66" i="3"/>
  <c r="BC66" i="3" s="1"/>
  <c r="BG66" i="3" s="1"/>
  <c r="BG68" i="3" s="1"/>
  <c r="BE66" i="3"/>
  <c r="AM67" i="3"/>
  <c r="BA67" i="3" s="1"/>
  <c r="AG66" i="3"/>
  <c r="AG69" i="3" s="1"/>
  <c r="BE68" i="3"/>
  <c r="AS68" i="3"/>
  <c r="AH62" i="3"/>
  <c r="AX62" i="3" s="1"/>
  <c r="AT67" i="3"/>
  <c r="BG61" i="3"/>
  <c r="BG60" i="3"/>
  <c r="BG62" i="3" s="1"/>
  <c r="BM67" i="3"/>
  <c r="AJ67" i="3"/>
  <c r="BL62" i="3"/>
  <c r="AV62" i="3"/>
  <c r="BJ62" i="3" s="1"/>
  <c r="AF68" i="3"/>
  <c r="AF70" i="3"/>
  <c r="AF72" i="3"/>
  <c r="AR70" i="3" l="1"/>
  <c r="BF70" i="3" s="1"/>
  <c r="AQ69" i="3"/>
  <c r="AO69" i="3" s="1"/>
  <c r="BC69" i="3" s="1"/>
  <c r="BG69" i="3" s="1"/>
  <c r="BG71" i="3" s="1"/>
  <c r="AQ70" i="3"/>
  <c r="BE70" i="3" s="1"/>
  <c r="AQ71" i="3"/>
  <c r="AX66" i="3"/>
  <c r="AW66" i="3"/>
  <c r="BL66" i="3"/>
  <c r="AN69" i="3"/>
  <c r="BB69" i="3" s="1"/>
  <c r="BK66" i="3"/>
  <c r="AS67" i="3"/>
  <c r="AR73" i="3"/>
  <c r="AQ73" i="3"/>
  <c r="AQ74" i="3"/>
  <c r="AQ72" i="3"/>
  <c r="AW64" i="3"/>
  <c r="AU69" i="3"/>
  <c r="BI69" i="3" s="1"/>
  <c r="BO69" i="3"/>
  <c r="AU67" i="3"/>
  <c r="BI67" i="3" s="1"/>
  <c r="AJ65" i="3"/>
  <c r="BL65" i="3" s="1"/>
  <c r="BN67" i="3"/>
  <c r="AI65" i="3"/>
  <c r="BK65" i="3" s="1"/>
  <c r="AV66" i="3"/>
  <c r="BJ66" i="3" s="1"/>
  <c r="AH65" i="3"/>
  <c r="AX65" i="3" s="1"/>
  <c r="AI67" i="3"/>
  <c r="BK67" i="3" s="1"/>
  <c r="BL64" i="3"/>
  <c r="BH67" i="3"/>
  <c r="AL67" i="3"/>
  <c r="AZ67" i="3" s="1"/>
  <c r="BO67" i="3"/>
  <c r="AJ69" i="3"/>
  <c r="BL69" i="3" s="1"/>
  <c r="BN69" i="3"/>
  <c r="AG65" i="3"/>
  <c r="AH67" i="3"/>
  <c r="AX67" i="3" s="1"/>
  <c r="AN70" i="3"/>
  <c r="BB70" i="3" s="1"/>
  <c r="AO70" i="3"/>
  <c r="BC70" i="3" s="1"/>
  <c r="AK70" i="3"/>
  <c r="AY70" i="3" s="1"/>
  <c r="AS71" i="3"/>
  <c r="BE71" i="3"/>
  <c r="AV67" i="3"/>
  <c r="BJ67" i="3" s="1"/>
  <c r="BL67" i="3"/>
  <c r="AM70" i="3"/>
  <c r="BA70" i="3" s="1"/>
  <c r="AS70" i="3"/>
  <c r="AV65" i="3"/>
  <c r="BJ65" i="3" s="1"/>
  <c r="BN72" i="3"/>
  <c r="BO72" i="3"/>
  <c r="AU72" i="3"/>
  <c r="BI72" i="3" s="1"/>
  <c r="BH72" i="3"/>
  <c r="BM72" i="3"/>
  <c r="AI72" i="3"/>
  <c r="AM72" i="3"/>
  <c r="BA72" i="3" s="1"/>
  <c r="AH72" i="3"/>
  <c r="AG72" i="3"/>
  <c r="AN72" i="3"/>
  <c r="BB72" i="3" s="1"/>
  <c r="AO67" i="3"/>
  <c r="BC67" i="3" s="1"/>
  <c r="AK67" i="3"/>
  <c r="AY67" i="3" s="1"/>
  <c r="AW65" i="3"/>
  <c r="AP70" i="3"/>
  <c r="BD70" i="3" s="1"/>
  <c r="AX69" i="3"/>
  <c r="AU70" i="3"/>
  <c r="BI70" i="3" s="1"/>
  <c r="BH70" i="3"/>
  <c r="BM70" i="3"/>
  <c r="BN70" i="3"/>
  <c r="BO70" i="3"/>
  <c r="AI70" i="3"/>
  <c r="AJ70" i="3"/>
  <c r="AG70" i="3"/>
  <c r="BG67" i="3"/>
  <c r="BK69" i="3"/>
  <c r="AW69" i="3"/>
  <c r="AK69" i="3"/>
  <c r="AY69" i="3" s="1"/>
  <c r="AS69" i="3"/>
  <c r="BE69" i="3"/>
  <c r="AU68" i="3"/>
  <c r="BI68" i="3" s="1"/>
  <c r="BH68" i="3"/>
  <c r="AI68" i="3"/>
  <c r="AG68" i="3"/>
  <c r="AJ68" i="3"/>
  <c r="AT70" i="3"/>
  <c r="AF73" i="3"/>
  <c r="AF75" i="3"/>
  <c r="AF71" i="3"/>
  <c r="AR76" i="3" l="1"/>
  <c r="AQ75" i="3"/>
  <c r="AQ76" i="3"/>
  <c r="AQ77" i="3"/>
  <c r="AH70" i="3"/>
  <c r="AX70" i="3" s="1"/>
  <c r="AW67" i="3"/>
  <c r="AH68" i="3"/>
  <c r="AX68" i="3" s="1"/>
  <c r="AJ72" i="3"/>
  <c r="AV69" i="3"/>
  <c r="BJ69" i="3" s="1"/>
  <c r="AL69" i="3"/>
  <c r="AZ69" i="3" s="1"/>
  <c r="AL70" i="3"/>
  <c r="AZ70" i="3" s="1"/>
  <c r="AN73" i="3"/>
  <c r="BB73" i="3" s="1"/>
  <c r="BG70" i="3"/>
  <c r="AW68" i="3"/>
  <c r="BK68" i="3"/>
  <c r="BL68" i="3"/>
  <c r="AV68" i="3"/>
  <c r="BJ68" i="3" s="1"/>
  <c r="AO73" i="3"/>
  <c r="BC73" i="3" s="1"/>
  <c r="AK73" i="3"/>
  <c r="AY73" i="3" s="1"/>
  <c r="BN73" i="3"/>
  <c r="BO73" i="3"/>
  <c r="AU73" i="3"/>
  <c r="BI73" i="3" s="1"/>
  <c r="BH73" i="3"/>
  <c r="BM73" i="3"/>
  <c r="AI73" i="3"/>
  <c r="AG73" i="3"/>
  <c r="AJ73" i="3"/>
  <c r="BF73" i="3"/>
  <c r="AT73" i="3"/>
  <c r="AM73" i="3"/>
  <c r="BA73" i="3" s="1"/>
  <c r="AP73" i="3"/>
  <c r="BD73" i="3" s="1"/>
  <c r="AX72" i="3"/>
  <c r="AS74" i="3"/>
  <c r="BE74" i="3"/>
  <c r="AU71" i="3"/>
  <c r="BI71" i="3" s="1"/>
  <c r="BH71" i="3"/>
  <c r="AI71" i="3"/>
  <c r="AJ71" i="3"/>
  <c r="AG71" i="3"/>
  <c r="AS73" i="3"/>
  <c r="BE73" i="3"/>
  <c r="BM75" i="3"/>
  <c r="BN75" i="3"/>
  <c r="BO75" i="3"/>
  <c r="AU75" i="3"/>
  <c r="BI75" i="3" s="1"/>
  <c r="BH75" i="3"/>
  <c r="AI75" i="3"/>
  <c r="AM75" i="3"/>
  <c r="BA75" i="3" s="1"/>
  <c r="AH75" i="3"/>
  <c r="AJ75" i="3"/>
  <c r="AG75" i="3"/>
  <c r="AN75" i="3"/>
  <c r="BB75" i="3" s="1"/>
  <c r="BK72" i="3"/>
  <c r="AK72" i="3"/>
  <c r="AY72" i="3" s="1"/>
  <c r="AW72" i="3"/>
  <c r="AV70" i="3"/>
  <c r="BJ70" i="3" s="1"/>
  <c r="BL70" i="3"/>
  <c r="AW70" i="3"/>
  <c r="BK70" i="3"/>
  <c r="AL73" i="3"/>
  <c r="AZ73" i="3" s="1"/>
  <c r="AL72" i="3"/>
  <c r="AZ72" i="3" s="1"/>
  <c r="AV72" i="3"/>
  <c r="BJ72" i="3" s="1"/>
  <c r="BL72" i="3"/>
  <c r="AS72" i="3"/>
  <c r="BE72" i="3"/>
  <c r="AO72" i="3"/>
  <c r="BC72" i="3" s="1"/>
  <c r="AF76" i="3"/>
  <c r="AF74" i="3"/>
  <c r="AH71" i="3" l="1"/>
  <c r="AX71" i="3" s="1"/>
  <c r="AH73" i="3"/>
  <c r="AX73" i="3" s="1"/>
  <c r="AM76" i="3"/>
  <c r="BA76" i="3" s="1"/>
  <c r="AU74" i="3"/>
  <c r="BI74" i="3" s="1"/>
  <c r="BH74" i="3"/>
  <c r="AI74" i="3"/>
  <c r="AG74" i="3"/>
  <c r="AJ74" i="3"/>
  <c r="AN76" i="3"/>
  <c r="BB76" i="3" s="1"/>
  <c r="BG73" i="3"/>
  <c r="BG72" i="3"/>
  <c r="BG74" i="3" s="1"/>
  <c r="AK76" i="3"/>
  <c r="AY76" i="3" s="1"/>
  <c r="AO76" i="3"/>
  <c r="BC76" i="3" s="1"/>
  <c r="AT76" i="3"/>
  <c r="BF76" i="3"/>
  <c r="AL75" i="3"/>
  <c r="AZ75" i="3" s="1"/>
  <c r="AL76" i="3"/>
  <c r="AZ76" i="3" s="1"/>
  <c r="AV75" i="3"/>
  <c r="BJ75" i="3" s="1"/>
  <c r="BL75" i="3"/>
  <c r="BK73" i="3"/>
  <c r="AW73" i="3"/>
  <c r="BL73" i="3"/>
  <c r="AV73" i="3"/>
  <c r="BJ73" i="3" s="1"/>
  <c r="AS77" i="3"/>
  <c r="BE77" i="3"/>
  <c r="AX75" i="3"/>
  <c r="AP76" i="3"/>
  <c r="BD76" i="3" s="1"/>
  <c r="AV71" i="3"/>
  <c r="BJ71" i="3" s="1"/>
  <c r="BL71" i="3"/>
  <c r="BM76" i="3"/>
  <c r="BN76" i="3"/>
  <c r="BO76" i="3"/>
  <c r="AU76" i="3"/>
  <c r="BI76" i="3" s="1"/>
  <c r="BH76" i="3"/>
  <c r="AI76" i="3"/>
  <c r="AJ76" i="3"/>
  <c r="AG76" i="3"/>
  <c r="AS76" i="3"/>
  <c r="BE76" i="3"/>
  <c r="AK75" i="3"/>
  <c r="AY75" i="3" s="1"/>
  <c r="BK75" i="3"/>
  <c r="AW75" i="3"/>
  <c r="BE75" i="3"/>
  <c r="AO75" i="3"/>
  <c r="BC75" i="3" s="1"/>
  <c r="BG75" i="3" s="1"/>
  <c r="BG77" i="3" s="1"/>
  <c r="AS75" i="3"/>
  <c r="BK71" i="3"/>
  <c r="AW71" i="3"/>
  <c r="AF77" i="3"/>
  <c r="BP66" i="3"/>
  <c r="BP60" i="3"/>
  <c r="BP72" i="3"/>
  <c r="BP57" i="3"/>
  <c r="BP51" i="3"/>
  <c r="BP69" i="3"/>
  <c r="BP63" i="3"/>
  <c r="BP48" i="3"/>
  <c r="BP75" i="3"/>
  <c r="BP54" i="3"/>
  <c r="BP61" i="3"/>
  <c r="BP52" i="3"/>
  <c r="BP64" i="3"/>
  <c r="BP58" i="3"/>
  <c r="BP76" i="3"/>
  <c r="BP70" i="3"/>
  <c r="BP55" i="3"/>
  <c r="BP67" i="3"/>
  <c r="BP49" i="3"/>
  <c r="BP73" i="3"/>
  <c r="BP15" i="3"/>
  <c r="BP16" i="3" s="1"/>
  <c r="BP42" i="3"/>
  <c r="BP43" i="3" s="1"/>
  <c r="BP36" i="3"/>
  <c r="BP37" i="3" s="1"/>
  <c r="BP39" i="3"/>
  <c r="BP40" i="3" s="1"/>
  <c r="BP30" i="3"/>
  <c r="BP31" i="3" s="1"/>
  <c r="BP24" i="3"/>
  <c r="BP25" i="3" s="1"/>
  <c r="BP18" i="3"/>
  <c r="BP19" i="3" s="1"/>
  <c r="BP45" i="3"/>
  <c r="BP46" i="3" s="1"/>
  <c r="BP21" i="3"/>
  <c r="BP22" i="3" s="1"/>
  <c r="BP33" i="3"/>
  <c r="BP34" i="3" s="1"/>
  <c r="BP27" i="3"/>
  <c r="BP28" i="3" s="1"/>
  <c r="AH74" i="3" l="1"/>
  <c r="AX74" i="3" s="1"/>
  <c r="AH76" i="3"/>
  <c r="AX76" i="3" s="1"/>
  <c r="BH77" i="3"/>
  <c r="AU77" i="3"/>
  <c r="BI77" i="3" s="1"/>
  <c r="AI77" i="3"/>
  <c r="AH77" i="3"/>
  <c r="AX77" i="3" s="1"/>
  <c r="AJ77" i="3"/>
  <c r="AG77" i="3"/>
  <c r="AV74" i="3"/>
  <c r="BJ74" i="3" s="1"/>
  <c r="BL74" i="3"/>
  <c r="AV76" i="3"/>
  <c r="BJ76" i="3" s="1"/>
  <c r="BL76" i="3"/>
  <c r="AW76" i="3"/>
  <c r="BK76" i="3"/>
  <c r="AW74" i="3"/>
  <c r="BK74" i="3"/>
  <c r="BG76" i="3"/>
  <c r="BK77" i="3" l="1"/>
  <c r="AW77" i="3"/>
  <c r="AV77" i="3"/>
  <c r="BJ77" i="3" s="1"/>
  <c r="BL77" i="3"/>
</calcChain>
</file>

<file path=xl/sharedStrings.xml><?xml version="1.0" encoding="utf-8"?>
<sst xmlns="http://schemas.openxmlformats.org/spreadsheetml/2006/main" count="215" uniqueCount="164">
  <si>
    <t>Case</t>
  </si>
  <si>
    <t>ID</t>
  </si>
  <si>
    <t>Na</t>
  </si>
  <si>
    <t>Na+</t>
  </si>
  <si>
    <t>K+</t>
  </si>
  <si>
    <t>HCO3-</t>
  </si>
  <si>
    <t>Cl-</t>
  </si>
  <si>
    <t>SO4--</t>
  </si>
  <si>
    <t>Identification</t>
  </si>
  <si>
    <t>Ca++</t>
  </si>
  <si>
    <t>Mg++</t>
  </si>
  <si>
    <t>Cations (mg/L)</t>
  </si>
  <si>
    <t>Anions (mg/L)</t>
  </si>
  <si>
    <t>K</t>
  </si>
  <si>
    <t>Ca</t>
  </si>
  <si>
    <t>Mg</t>
  </si>
  <si>
    <t>HCO3</t>
  </si>
  <si>
    <t>Cl</t>
  </si>
  <si>
    <t>SO4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</si>
  <si>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</si>
  <si>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</si>
  <si>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</si>
  <si>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</si>
  <si>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</si>
  <si>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</si>
  <si>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</si>
  <si>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</si>
  <si>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</si>
  <si>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</si>
  <si>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Al</t>
  </si>
  <si>
    <t>Si</t>
  </si>
  <si>
    <t>P</t>
  </si>
  <si>
    <t>Ar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</si>
  <si>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</si>
  <si>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</si>
  <si>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</si>
  <si>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</si>
  <si>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</si>
  <si>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</si>
  <si>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</si>
  <si>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</si>
  <si>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</si>
  <si>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</si>
  <si>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</si>
  <si>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</si>
  <si>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</si>
  <si>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</si>
  <si>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</si>
  <si>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</si>
  <si>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</si>
  <si>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</si>
  <si>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</si>
  <si>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</si>
  <si>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</si>
  <si>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</si>
  <si>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</si>
  <si>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</si>
  <si>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</si>
  <si>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</si>
  <si>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</si>
  <si>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</si>
  <si>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</si>
  <si>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</si>
  <si>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</si>
  <si>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</si>
  <si>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</si>
  <si>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</si>
  <si>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</si>
  <si>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</si>
  <si>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</si>
  <si>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</si>
  <si>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</si>
  <si>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</si>
  <si>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</si>
  <si>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</si>
  <si>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</si>
  <si>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</si>
  <si>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</si>
  <si>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</si>
  <si>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</si>
  <si>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</si>
  <si>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</si>
  <si>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</si>
  <si>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</si>
  <si>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</si>
  <si>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</si>
  <si>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</si>
  <si>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</si>
  <si>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</si>
  <si>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</si>
  <si>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</si>
  <si>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</si>
  <si>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</si>
  <si>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</si>
  <si>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</si>
  <si>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</si>
  <si>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</si>
  <si>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</si>
  <si>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</si>
  <si>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</si>
  <si>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</si>
  <si>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</si>
  <si>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</si>
  <si>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</si>
  <si>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S</t>
  </si>
  <si>
    <t>CaCO3</t>
  </si>
  <si>
    <t>NH4</t>
  </si>
  <si>
    <t>Cations (meq/L)</t>
  </si>
  <si>
    <t>Anions (meq/L)</t>
  </si>
  <si>
    <t>Na+K</t>
  </si>
  <si>
    <t>NO3-</t>
  </si>
  <si>
    <t>Element</t>
  </si>
  <si>
    <t>Weight</t>
  </si>
  <si>
    <t>Printer correction:</t>
  </si>
  <si>
    <t>Tick interval (0 - 0.5):</t>
  </si>
  <si>
    <t>x</t>
  </si>
  <si>
    <t>y</t>
  </si>
  <si>
    <t>Tick length (0 - 0.2):</t>
  </si>
  <si>
    <t xml:space="preserve">Tick </t>
  </si>
  <si>
    <t>Left axis ticks</t>
  </si>
  <si>
    <t>Right axis ticks</t>
  </si>
  <si>
    <t>Left axis lines</t>
  </si>
  <si>
    <t>Right axis lines</t>
  </si>
  <si>
    <t>Bottom axis lines</t>
  </si>
  <si>
    <t>Bottom axis ticks</t>
  </si>
  <si>
    <t>Cations (%)</t>
  </si>
  <si>
    <t>Anions (%)</t>
  </si>
  <si>
    <t>Cations</t>
  </si>
  <si>
    <t>Gap Between Plots</t>
  </si>
  <si>
    <t>Anions</t>
  </si>
  <si>
    <t>Cation Triangle outline</t>
  </si>
  <si>
    <t>Anion Triangle outline</t>
  </si>
  <si>
    <t>Plot  lines? (1 or 0):</t>
  </si>
  <si>
    <t>Diamond Outline</t>
  </si>
  <si>
    <t>Diamond</t>
  </si>
  <si>
    <t>Piper Diagram Coordinates</t>
  </si>
  <si>
    <t>Input From Datasheet</t>
  </si>
  <si>
    <t>Calculations</t>
  </si>
  <si>
    <t>DO NOT EDIT</t>
  </si>
  <si>
    <t>EX 1</t>
  </si>
  <si>
    <t>EX 2</t>
  </si>
  <si>
    <t>EX 3</t>
  </si>
  <si>
    <t>Step One:</t>
  </si>
  <si>
    <t>Step Two:</t>
  </si>
  <si>
    <t>Add new data series to chart. The X-values run horizontally columns W-Y</t>
  </si>
  <si>
    <t>The Y- values run horizontally columns Z-AB</t>
  </si>
  <si>
    <t>Plotting Parameters</t>
  </si>
  <si>
    <t>Printing correction:</t>
  </si>
  <si>
    <t>The printing correction is the vertical magnification</t>
  </si>
  <si>
    <t>This is the number of subdivisions shown on each axis. 0.1 gives subdivision every 10%.</t>
  </si>
  <si>
    <t>This changes the length of the ticks.</t>
  </si>
  <si>
    <t>This changes the separation between the diagrams.</t>
  </si>
  <si>
    <t xml:space="preserve">Plotting parameters </t>
  </si>
  <si>
    <t>1 is true, 0 is false. These are the grid lines within the Ternary and Diamond diagrams</t>
  </si>
  <si>
    <t>You may need to adjust the data series parameters. (Data series shape, size color. I couldn't figure out how to change the defaults for the graph.)</t>
  </si>
  <si>
    <t xml:space="preserve">The current data series parameters are circular point, size four, with black border and default fill colors. </t>
  </si>
  <si>
    <t>Input ion data in new line</t>
  </si>
  <si>
    <t>petercarlson@utexas.edu</t>
  </si>
  <si>
    <t>For questions, contact</t>
  </si>
  <si>
    <t>Triangular diagram plotting spreadsheet (TRI-PLOT)</t>
  </si>
  <si>
    <t>by David Graham (Loughborough University)</t>
  </si>
  <si>
    <t>and Nicholas Midgley (Liverpool John Moores University)</t>
  </si>
  <si>
    <t xml:space="preserve">This is adapted from: </t>
  </si>
  <si>
    <t>version 1-4-2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</si>
</sst>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Courier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1"/>
      </bottom>
      <diagonal/>
    </border>
  </borders>
  <cellStyleXfs count="4">
    <xf numFmtId="0" fontId="0" fillId="0" borderId="0"/>
    <xf numFmtId="164" fontId="3" fillId="0" borderId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4" fillId="0" borderId="0" xfId="2"/>
    <xf numFmtId="0" fontId="4" fillId="0" borderId="0" xfId="2" applyBorder="1"/>
    <xf numFmtId="0" fontId="6" fillId="0" borderId="0" xfId="2" applyFont="1" applyBorder="1"/>
    <xf numFmtId="0" fontId="7" fillId="0" borderId="0" xfId="2" applyFont="1" applyBorder="1"/>
    <xf numFmtId="0" fontId="6" fillId="0" borderId="0" xfId="2" applyFont="1" applyBorder="1" applyAlignment="1">
      <alignment horizontal="right"/>
    </xf>
    <xf numFmtId="0" fontId="4" fillId="0" borderId="8" xfId="2" applyBorder="1"/>
    <xf numFmtId="0" fontId="4" fillId="0" borderId="2" xfId="2" applyBorder="1"/>
    <xf numFmtId="0" fontId="9" fillId="0" borderId="0" xfId="3" applyAlignment="1" applyProtection="1"/>
    <xf numFmtId="2" fontId="6" fillId="0" borderId="0" xfId="2" applyNumberFormat="1" applyFont="1" applyBorder="1"/>
    <xf numFmtId="0" fontId="5" fillId="0" borderId="0" xfId="2" applyFont="1" applyFill="1" applyBorder="1"/>
    <xf numFmtId="0" fontId="4" fillId="0" borderId="0" xfId="2" applyFill="1" applyBorder="1"/>
    <xf numFmtId="0" fontId="5" fillId="2" borderId="13" xfId="2" applyFont="1" applyFill="1" applyBorder="1" applyAlignment="1">
      <alignment horizontal="right"/>
    </xf>
    <xf numFmtId="0" fontId="5" fillId="2" borderId="25" xfId="2" applyFont="1" applyFill="1" applyBorder="1" applyAlignment="1">
      <alignment horizontal="right"/>
    </xf>
    <xf numFmtId="0" fontId="5" fillId="2" borderId="2" xfId="2" applyFont="1" applyFill="1" applyBorder="1" applyAlignment="1">
      <alignment horizontal="right"/>
    </xf>
    <xf numFmtId="0" fontId="5" fillId="2" borderId="23" xfId="2" applyFont="1" applyFill="1" applyBorder="1" applyAlignment="1">
      <alignment horizontal="right"/>
    </xf>
    <xf numFmtId="0" fontId="6" fillId="0" borderId="0" xfId="2" applyFont="1" applyFill="1" applyBorder="1"/>
    <xf numFmtId="2" fontId="4" fillId="0" borderId="0" xfId="2" applyNumberFormat="1" applyBorder="1"/>
    <xf numFmtId="0" fontId="8" fillId="2" borderId="6" xfId="2" applyFont="1" applyFill="1" applyBorder="1"/>
    <xf numFmtId="0" fontId="8" fillId="2" borderId="17" xfId="2" applyFont="1" applyFill="1" applyBorder="1" applyAlignment="1">
      <alignment horizontal="right"/>
    </xf>
    <xf numFmtId="0" fontId="8" fillId="2" borderId="18" xfId="2" applyFont="1" applyFill="1" applyBorder="1" applyAlignment="1">
      <alignment horizontal="right"/>
    </xf>
    <xf numFmtId="0" fontId="5" fillId="2" borderId="6" xfId="2" applyFont="1" applyFill="1" applyBorder="1" applyAlignment="1">
      <alignment horizontal="center"/>
    </xf>
    <xf numFmtId="0" fontId="5" fillId="2" borderId="11" xfId="0" applyFont="1" applyFill="1" applyBorder="1" applyAlignment="1">
      <alignment horizontal="right"/>
    </xf>
    <xf numFmtId="0" fontId="5" fillId="2" borderId="19" xfId="0" applyFont="1" applyFill="1" applyBorder="1" applyAlignment="1">
      <alignment horizontal="right"/>
    </xf>
    <xf numFmtId="0" fontId="5" fillId="2" borderId="17" xfId="0" applyFont="1" applyFill="1" applyBorder="1" applyAlignment="1">
      <alignment horizontal="right"/>
    </xf>
    <xf numFmtId="0" fontId="5" fillId="2" borderId="18" xfId="0" applyFont="1" applyFill="1" applyBorder="1" applyAlignment="1">
      <alignment horizontal="right"/>
    </xf>
    <xf numFmtId="0" fontId="5" fillId="2" borderId="26" xfId="0" applyFont="1" applyFill="1" applyBorder="1" applyAlignment="1">
      <alignment horizontal="right"/>
    </xf>
    <xf numFmtId="0" fontId="5" fillId="2" borderId="25" xfId="2" applyFont="1" applyFill="1" applyBorder="1" applyAlignment="1">
      <alignment horizontal="center"/>
    </xf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/>
    <xf numFmtId="0" fontId="11" fillId="3" borderId="5" xfId="0" applyFont="1" applyFill="1" applyBorder="1"/>
    <xf numFmtId="0" fontId="2" fillId="3" borderId="15" xfId="0" applyFont="1" applyFill="1" applyBorder="1" applyAlignment="1">
      <alignment horizontal="center"/>
    </xf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6" xfId="0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1" fillId="0" borderId="0" xfId="0" applyFont="1" applyFill="1" applyBorder="1"/>
    <xf numFmtId="0" fontId="4" fillId="2" borderId="4" xfId="2" applyFill="1" applyBorder="1"/>
    <xf numFmtId="0" fontId="5" fillId="2" borderId="1" xfId="2" applyFont="1" applyFill="1" applyBorder="1" applyAlignment="1">
      <alignment horizontal="right"/>
    </xf>
    <xf numFmtId="0" fontId="4" fillId="0" borderId="21" xfId="2" applyBorder="1" applyProtection="1">
      <protection locked="0"/>
    </xf>
    <xf numFmtId="0" fontId="4" fillId="0" borderId="22" xfId="2" applyBorder="1" applyProtection="1">
      <protection locked="0"/>
    </xf>
    <xf numFmtId="0" fontId="4" fillId="0" borderId="27" xfId="2" applyBorder="1" applyAlignment="1" applyProtection="1">
      <alignment horizontal="right"/>
      <protection locked="0"/>
    </xf>
    <xf numFmtId="0" fontId="5" fillId="0" borderId="7" xfId="2" applyFont="1" applyBorder="1"/>
    <xf numFmtId="0" fontId="5" fillId="0" borderId="2" xfId="2" applyFont="1" applyBorder="1"/>
    <xf numFmtId="0" fontId="0" fillId="0" borderId="16" xfId="0" applyFill="1" applyBorder="1"/>
    <xf numFmtId="0" fontId="0" fillId="0" borderId="10" xfId="0" applyFill="1" applyBorder="1"/>
    <xf numFmtId="0" fontId="11" fillId="3" borderId="15" xfId="0" applyFont="1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25" xfId="0" applyFill="1" applyBorder="1"/>
    <xf numFmtId="0" fontId="0" fillId="4" borderId="1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26" xfId="0" applyFill="1" applyBorder="1"/>
    <xf numFmtId="0" fontId="0" fillId="4" borderId="18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2" fillId="3" borderId="11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/>
    <xf numFmtId="0" fontId="2" fillId="3" borderId="41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0" fillId="4" borderId="48" xfId="0" applyFill="1" applyBorder="1"/>
    <xf numFmtId="0" fontId="11" fillId="3" borderId="41" xfId="0" applyFont="1" applyFill="1" applyBorder="1"/>
    <xf numFmtId="0" fontId="2" fillId="3" borderId="4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5" fillId="2" borderId="2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6" fillId="4" borderId="12" xfId="0" applyFont="1" applyFill="1" applyBorder="1"/>
    <xf numFmtId="0" fontId="6" fillId="4" borderId="19" xfId="0" applyFont="1" applyFill="1" applyBorder="1"/>
    <xf numFmtId="0" fontId="10" fillId="4" borderId="6" xfId="2" applyFont="1" applyFill="1" applyBorder="1"/>
    <xf numFmtId="0" fontId="10" fillId="4" borderId="25" xfId="2" applyFont="1" applyFill="1" applyBorder="1"/>
    <xf numFmtId="0" fontId="10" fillId="4" borderId="10" xfId="2" applyFont="1" applyFill="1" applyBorder="1"/>
    <xf numFmtId="0" fontId="10" fillId="4" borderId="16" xfId="2" applyFont="1" applyFill="1" applyBorder="1"/>
    <xf numFmtId="0" fontId="10" fillId="4" borderId="17" xfId="2" applyFont="1" applyFill="1" applyBorder="1"/>
    <xf numFmtId="0" fontId="10" fillId="4" borderId="18" xfId="2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54" xfId="0" applyFont="1" applyFill="1" applyBorder="1" applyAlignment="1">
      <alignment horizontal="center"/>
    </xf>
    <xf numFmtId="0" fontId="0" fillId="4" borderId="55" xfId="0" applyFill="1" applyBorder="1"/>
    <xf numFmtId="0" fontId="2" fillId="3" borderId="14" xfId="0" applyFont="1" applyFill="1" applyBorder="1"/>
    <xf numFmtId="0" fontId="0" fillId="0" borderId="3" xfId="0" applyFill="1" applyBorder="1"/>
    <xf numFmtId="0" fontId="0" fillId="0" borderId="20" xfId="0" applyBorder="1"/>
    <xf numFmtId="0" fontId="2" fillId="3" borderId="56" xfId="0" applyFont="1" applyFill="1" applyBorder="1" applyAlignment="1">
      <alignment horizontal="center"/>
    </xf>
    <xf numFmtId="0" fontId="2" fillId="3" borderId="57" xfId="0" applyFont="1" applyFill="1" applyBorder="1" applyAlignment="1">
      <alignment horizontal="center"/>
    </xf>
    <xf numFmtId="0" fontId="2" fillId="3" borderId="58" xfId="0" applyFont="1" applyFill="1" applyBorder="1" applyAlignment="1">
      <alignment horizontal="center"/>
    </xf>
    <xf numFmtId="0" fontId="2" fillId="3" borderId="59" xfId="0" applyFont="1" applyFill="1" applyBorder="1" applyAlignment="1">
      <alignment horizontal="center"/>
    </xf>
    <xf numFmtId="0" fontId="2" fillId="3" borderId="9" xfId="0" applyFont="1" applyFill="1" applyBorder="1"/>
    <xf numFmtId="0" fontId="0" fillId="4" borderId="60" xfId="0" applyFill="1" applyBorder="1"/>
    <xf numFmtId="0" fontId="0" fillId="4" borderId="61" xfId="0" applyFill="1" applyBorder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41689219540628E-2"/>
          <c:y val="2.8229360330081273E-2"/>
          <c:w val="0.96479175679963092"/>
          <c:h val="0.9077429312684856"/>
        </c:manualLayout>
      </c:layout>
      <c:scatterChart>
        <c:scatterStyle val="lineMarker"/>
        <c:varyColors val="0"/>
        <c:ser>
          <c:idx val="1"/>
          <c:order val="4"/>
          <c:tx>
            <c:v>Triangle Outline - Anions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Plot'!$AL$7:$AL$10</c:f>
              <c:numCache>
                <c:formatCode>General</c:formatCode>
                <c:ptCount val="4"/>
                <c:pt idx="0">
                  <c:v>1.7</c:v>
                </c:pt>
                <c:pt idx="1">
                  <c:v>1.2</c:v>
                </c:pt>
                <c:pt idx="2">
                  <c:v>2.2000000000000002</c:v>
                </c:pt>
                <c:pt idx="3">
                  <c:v>1.7</c:v>
                </c:pt>
              </c:numCache>
            </c:numRef>
          </c:xVal>
          <c:yVal>
            <c:numRef>
              <c:f>'Piper Plot'!$AM$7:$AM$10</c:f>
              <c:numCache>
                <c:formatCode>General</c:formatCode>
                <c:ptCount val="4"/>
                <c:pt idx="0">
                  <c:v>0.87758256189037276</c:v>
                </c:pt>
                <c:pt idx="1">
                  <c:v>0</c:v>
                </c:pt>
                <c:pt idx="2">
                  <c:v>0</c:v>
                </c:pt>
                <c:pt idx="3">
                  <c:v>0.87758256189037276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4944"/>
        <c:axId val="103993728"/>
      </c:scatterChart>
      <c:scatterChart>
        <c:scatterStyle val="smoothMarker"/>
        <c:varyColors val="0"/>
        <c:ser>
          <c:idx val="3"/>
          <c:order val="0"/>
          <c:tx>
            <c:strRef>
              <c:f>'Piper Plot'!$B$4</c:f>
              <c:strCache>
                <c:ptCount val="1"/>
                <c:pt idx="0">
                  <c:v>EX 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'Piper Plot'!$W$4:$Y$4</c:f>
              <c:numCache>
                <c:formatCode>General</c:formatCode>
                <c:ptCount val="3"/>
                <c:pt idx="0">
                  <c:v>8.6047590343542868E-2</c:v>
                </c:pt>
                <c:pt idx="1">
                  <c:v>1.6714327387074295</c:v>
                </c:pt>
                <c:pt idx="2">
                  <c:v>1.0758765145079372</c:v>
                </c:pt>
              </c:numCache>
            </c:numRef>
          </c:xVal>
          <c:yVal>
            <c:numRef>
              <c:f>'Piper Plot'!$Z$4:$AB$4</c:f>
              <c:numCache>
                <c:formatCode>General</c:formatCode>
                <c:ptCount val="3"/>
                <c:pt idx="0">
                  <c:v>9.3416971461854667E-2</c:v>
                </c:pt>
                <c:pt idx="1">
                  <c:v>0.7854306636991204</c:v>
                </c:pt>
                <c:pt idx="2">
                  <c:v>1.8307301776646159</c:v>
                </c:pt>
              </c:numCache>
            </c:numRef>
          </c:yVal>
          <c:smooth val="1"/>
        </c:ser>
        <c:ser>
          <c:idx val="15"/>
          <c:order val="1"/>
          <c:tx>
            <c:strRef>
              <c:f>'Piper Plot'!$B$5</c:f>
              <c:strCache>
                <c:ptCount val="1"/>
                <c:pt idx="0">
                  <c:v>EX 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'Piper Plot'!$W$5:$Y$5</c:f>
              <c:numCache>
                <c:formatCode>General</c:formatCode>
                <c:ptCount val="3"/>
                <c:pt idx="0">
                  <c:v>0.27166233685815461</c:v>
                </c:pt>
                <c:pt idx="1">
                  <c:v>1.6905027449663326</c:v>
                </c:pt>
                <c:pt idx="2">
                  <c:v>1.090843678773856</c:v>
                </c:pt>
              </c:numCache>
            </c:numRef>
          </c:xVal>
          <c:yVal>
            <c:numRef>
              <c:f>'Piper Plot'!$Z$5:$AB$5</c:f>
              <c:numCache>
                <c:formatCode>General</c:formatCode>
                <c:ptCount val="3"/>
                <c:pt idx="0">
                  <c:v>0.30615174232557207</c:v>
                </c:pt>
                <c:pt idx="1">
                  <c:v>0.69144958456795691</c:v>
                </c:pt>
                <c:pt idx="2">
                  <c:v>1.7439502637079214</c:v>
                </c:pt>
              </c:numCache>
            </c:numRef>
          </c:yVal>
          <c:smooth val="1"/>
        </c:ser>
        <c:ser>
          <c:idx val="21"/>
          <c:order val="2"/>
          <c:tx>
            <c:strRef>
              <c:f>'Piper Plot'!$B$6</c:f>
              <c:strCache>
                <c:ptCount val="1"/>
                <c:pt idx="0">
                  <c:v>EX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'Piper Plot'!$W$6:$Y$6</c:f>
              <c:numCache>
                <c:formatCode>General</c:formatCode>
                <c:ptCount val="3"/>
                <c:pt idx="0">
                  <c:v>0.24730785602842811</c:v>
                </c:pt>
                <c:pt idx="1">
                  <c:v>1.7062483874378991</c:v>
                </c:pt>
                <c:pt idx="2">
                  <c:v>1.0985089234758889</c:v>
                </c:pt>
              </c:numCache>
            </c:numRef>
          </c:xVal>
          <c:yVal>
            <c:numRef>
              <c:f>'Piper Plot'!$Z$6:$AB$6</c:f>
              <c:numCache>
                <c:formatCode>General</c:formatCode>
                <c:ptCount val="3"/>
                <c:pt idx="0">
                  <c:v>0.41216783950892782</c:v>
                </c:pt>
                <c:pt idx="1">
                  <c:v>0.83948315492632786</c:v>
                </c:pt>
                <c:pt idx="2">
                  <c:v>1.9061662664176533</c:v>
                </c:pt>
              </c:numCache>
            </c:numRef>
          </c:yVal>
          <c:smooth val="1"/>
        </c:ser>
        <c:ser>
          <c:idx val="6"/>
          <c:order val="3"/>
          <c:tx>
            <c:v>Triangle outline-Cations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'Piper Plot'!$AI$7:$AI$10</c:f>
              <c:numCache>
                <c:formatCode>General</c:formatCode>
                <c:ptCount val="4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'Piper Plot'!$AJ$7:$AJ$10</c:f>
              <c:numCache>
                <c:formatCode>General</c:formatCode>
                <c:ptCount val="4"/>
                <c:pt idx="0">
                  <c:v>0.87758256189037276</c:v>
                </c:pt>
                <c:pt idx="1">
                  <c:v>0</c:v>
                </c:pt>
                <c:pt idx="2">
                  <c:v>0</c:v>
                </c:pt>
                <c:pt idx="3">
                  <c:v>0.87758256189037276</c:v>
                </c:pt>
              </c:numCache>
            </c:numRef>
          </c:yVal>
          <c:smooth val="0"/>
        </c:ser>
        <c:ser>
          <c:idx val="2"/>
          <c:order val="5"/>
          <c:tx>
            <c:v>Left ticks-Cations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'Piper Plot'!$AG$15:$AG$77</c:f>
              <c:numCache>
                <c:formatCode>General</c:formatCode>
                <c:ptCount val="63"/>
                <c:pt idx="0">
                  <c:v>0</c:v>
                </c:pt>
                <c:pt idx="1">
                  <c:v>-0.03</c:v>
                </c:pt>
                <c:pt idx="2">
                  <c:v>0</c:v>
                </c:pt>
                <c:pt idx="3">
                  <c:v>0.05</c:v>
                </c:pt>
                <c:pt idx="4">
                  <c:v>2.0000000000000004E-2</c:v>
                </c:pt>
                <c:pt idx="5">
                  <c:v>0.05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0.1</c:v>
                </c:pt>
                <c:pt idx="9">
                  <c:v>0.15000000000000002</c:v>
                </c:pt>
                <c:pt idx="10">
                  <c:v>0.12000000000000002</c:v>
                </c:pt>
                <c:pt idx="11">
                  <c:v>0.15000000000000002</c:v>
                </c:pt>
                <c:pt idx="12">
                  <c:v>0.2</c:v>
                </c:pt>
                <c:pt idx="13">
                  <c:v>0.17</c:v>
                </c:pt>
                <c:pt idx="14">
                  <c:v>0.2</c:v>
                </c:pt>
                <c:pt idx="15">
                  <c:v>0.25</c:v>
                </c:pt>
                <c:pt idx="16">
                  <c:v>0.22</c:v>
                </c:pt>
                <c:pt idx="17">
                  <c:v>0.25</c:v>
                </c:pt>
                <c:pt idx="18">
                  <c:v>0.3</c:v>
                </c:pt>
                <c:pt idx="19">
                  <c:v>0.27</c:v>
                </c:pt>
                <c:pt idx="20">
                  <c:v>0.3</c:v>
                </c:pt>
                <c:pt idx="21">
                  <c:v>0.35</c:v>
                </c:pt>
                <c:pt idx="22">
                  <c:v>0.31999999999999995</c:v>
                </c:pt>
                <c:pt idx="23">
                  <c:v>0.35</c:v>
                </c:pt>
                <c:pt idx="24">
                  <c:v>0.39999999999999997</c:v>
                </c:pt>
                <c:pt idx="25">
                  <c:v>0.37</c:v>
                </c:pt>
                <c:pt idx="26">
                  <c:v>0.39999999999999997</c:v>
                </c:pt>
                <c:pt idx="27">
                  <c:v>0.44999999999999996</c:v>
                </c:pt>
                <c:pt idx="28">
                  <c:v>0.41999999999999993</c:v>
                </c:pt>
                <c:pt idx="29">
                  <c:v>0.44999999999999996</c:v>
                </c:pt>
                <c:pt idx="30">
                  <c:v>0.49999999999999994</c:v>
                </c:pt>
                <c:pt idx="31">
                  <c:v>0.47</c:v>
                </c:pt>
                <c:pt idx="32">
                  <c:v>0.49999999999999994</c:v>
                </c:pt>
                <c:pt idx="33">
                  <c:v>0.49999999999999994</c:v>
                </c:pt>
                <c:pt idx="34">
                  <c:v>0.49999999999999994</c:v>
                </c:pt>
                <c:pt idx="35">
                  <c:v>0.49999999999999994</c:v>
                </c:pt>
                <c:pt idx="36">
                  <c:v>0.49999999999999994</c:v>
                </c:pt>
                <c:pt idx="37">
                  <c:v>0.49999999999999994</c:v>
                </c:pt>
                <c:pt idx="38">
                  <c:v>0.49999999999999994</c:v>
                </c:pt>
                <c:pt idx="39">
                  <c:v>0.49999999999999994</c:v>
                </c:pt>
                <c:pt idx="40">
                  <c:v>0.49999999999999994</c:v>
                </c:pt>
                <c:pt idx="41">
                  <c:v>0.49999999999999994</c:v>
                </c:pt>
                <c:pt idx="42">
                  <c:v>0.49999999999999994</c:v>
                </c:pt>
                <c:pt idx="43">
                  <c:v>0.49999999999999994</c:v>
                </c:pt>
                <c:pt idx="44">
                  <c:v>0.49999999999999994</c:v>
                </c:pt>
                <c:pt idx="45">
                  <c:v>0.49999999999999994</c:v>
                </c:pt>
                <c:pt idx="46">
                  <c:v>0.49999999999999994</c:v>
                </c:pt>
                <c:pt idx="47">
                  <c:v>0.49999999999999994</c:v>
                </c:pt>
                <c:pt idx="48">
                  <c:v>0.49999999999999994</c:v>
                </c:pt>
                <c:pt idx="49">
                  <c:v>0.49999999999999994</c:v>
                </c:pt>
                <c:pt idx="50">
                  <c:v>0.49999999999999994</c:v>
                </c:pt>
                <c:pt idx="51">
                  <c:v>0.49999999999999994</c:v>
                </c:pt>
                <c:pt idx="52">
                  <c:v>0.49999999999999994</c:v>
                </c:pt>
                <c:pt idx="53">
                  <c:v>0.49999999999999994</c:v>
                </c:pt>
                <c:pt idx="54">
                  <c:v>0.49999999999999994</c:v>
                </c:pt>
                <c:pt idx="55">
                  <c:v>0.49999999999999994</c:v>
                </c:pt>
                <c:pt idx="56">
                  <c:v>0.49999999999999994</c:v>
                </c:pt>
                <c:pt idx="57">
                  <c:v>0.49999999999999994</c:v>
                </c:pt>
                <c:pt idx="58">
                  <c:v>0.49999999999999994</c:v>
                </c:pt>
                <c:pt idx="59">
                  <c:v>0.49999999999999994</c:v>
                </c:pt>
                <c:pt idx="60">
                  <c:v>0.49999999999999994</c:v>
                </c:pt>
                <c:pt idx="61">
                  <c:v>0.49999999999999994</c:v>
                </c:pt>
                <c:pt idx="62">
                  <c:v>0.49999999999999994</c:v>
                </c:pt>
              </c:numCache>
            </c:numRef>
          </c:xVal>
          <c:yVal>
            <c:numRef>
              <c:f>'Piper Plot'!$AH$15:$AH$77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8.7758256189037279E-2</c:v>
                </c:pt>
                <c:pt idx="4">
                  <c:v>8.7758256189037279E-2</c:v>
                </c:pt>
                <c:pt idx="5">
                  <c:v>8.7758256189037279E-2</c:v>
                </c:pt>
                <c:pt idx="6">
                  <c:v>0.17551651237807456</c:v>
                </c:pt>
                <c:pt idx="7">
                  <c:v>0.17551651237807456</c:v>
                </c:pt>
                <c:pt idx="8">
                  <c:v>0.17551651237807456</c:v>
                </c:pt>
                <c:pt idx="9">
                  <c:v>0.26327476856711185</c:v>
                </c:pt>
                <c:pt idx="10">
                  <c:v>0.26327476856711185</c:v>
                </c:pt>
                <c:pt idx="11">
                  <c:v>0.26327476856711185</c:v>
                </c:pt>
                <c:pt idx="12">
                  <c:v>0.35103302475614911</c:v>
                </c:pt>
                <c:pt idx="13">
                  <c:v>0.35103302475614911</c:v>
                </c:pt>
                <c:pt idx="14">
                  <c:v>0.35103302475614911</c:v>
                </c:pt>
                <c:pt idx="15">
                  <c:v>0.43879128094518638</c:v>
                </c:pt>
                <c:pt idx="16">
                  <c:v>0.43879128094518638</c:v>
                </c:pt>
                <c:pt idx="17">
                  <c:v>0.43879128094518638</c:v>
                </c:pt>
                <c:pt idx="18">
                  <c:v>0.52654953713422359</c:v>
                </c:pt>
                <c:pt idx="19">
                  <c:v>0.52654953713422359</c:v>
                </c:pt>
                <c:pt idx="20">
                  <c:v>0.52654953713422359</c:v>
                </c:pt>
                <c:pt idx="21">
                  <c:v>0.61430779332326091</c:v>
                </c:pt>
                <c:pt idx="22">
                  <c:v>0.61430779332326091</c:v>
                </c:pt>
                <c:pt idx="23">
                  <c:v>0.61430779332326091</c:v>
                </c:pt>
                <c:pt idx="24">
                  <c:v>0.70206604951229812</c:v>
                </c:pt>
                <c:pt idx="25">
                  <c:v>0.70206604951229812</c:v>
                </c:pt>
                <c:pt idx="26">
                  <c:v>0.70206604951229812</c:v>
                </c:pt>
                <c:pt idx="27">
                  <c:v>0.78982430570133544</c:v>
                </c:pt>
                <c:pt idx="28">
                  <c:v>0.78982430570133544</c:v>
                </c:pt>
                <c:pt idx="29">
                  <c:v>0.78982430570133544</c:v>
                </c:pt>
                <c:pt idx="30">
                  <c:v>0.87758256189037265</c:v>
                </c:pt>
                <c:pt idx="31">
                  <c:v>0.87758256189037265</c:v>
                </c:pt>
                <c:pt idx="32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5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8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1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4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7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0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3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6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59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  <c:pt idx="62">
                  <c:v>0.87758256189037265</c:v>
                </c:pt>
              </c:numCache>
            </c:numRef>
          </c:yVal>
          <c:smooth val="0"/>
        </c:ser>
        <c:ser>
          <c:idx val="4"/>
          <c:order val="6"/>
          <c:tx>
            <c:v>Right ticks-Cations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'Piper Plot'!$AI$15:$AI$77</c:f>
              <c:numCache>
                <c:formatCode>General</c:formatCode>
                <c:ptCount val="63"/>
                <c:pt idx="0">
                  <c:v>1</c:v>
                </c:pt>
                <c:pt idx="1">
                  <c:v>1.0149999999999999</c:v>
                </c:pt>
                <c:pt idx="2">
                  <c:v>1</c:v>
                </c:pt>
                <c:pt idx="3">
                  <c:v>0.95</c:v>
                </c:pt>
                <c:pt idx="4">
                  <c:v>0.96499999999999997</c:v>
                </c:pt>
                <c:pt idx="5">
                  <c:v>0.95</c:v>
                </c:pt>
                <c:pt idx="6">
                  <c:v>0.9</c:v>
                </c:pt>
                <c:pt idx="7">
                  <c:v>0.91500000000000004</c:v>
                </c:pt>
                <c:pt idx="8">
                  <c:v>0.9</c:v>
                </c:pt>
                <c:pt idx="9">
                  <c:v>0.85</c:v>
                </c:pt>
                <c:pt idx="10">
                  <c:v>0.86499999999999999</c:v>
                </c:pt>
                <c:pt idx="11">
                  <c:v>0.85</c:v>
                </c:pt>
                <c:pt idx="12">
                  <c:v>0.8</c:v>
                </c:pt>
                <c:pt idx="13">
                  <c:v>0.81500000000000006</c:v>
                </c:pt>
                <c:pt idx="14">
                  <c:v>0.8</c:v>
                </c:pt>
                <c:pt idx="15">
                  <c:v>0.75</c:v>
                </c:pt>
                <c:pt idx="16">
                  <c:v>0.76500000000000001</c:v>
                </c:pt>
                <c:pt idx="17">
                  <c:v>0.75</c:v>
                </c:pt>
                <c:pt idx="18">
                  <c:v>0.7</c:v>
                </c:pt>
                <c:pt idx="19">
                  <c:v>0.71499999999999997</c:v>
                </c:pt>
                <c:pt idx="20">
                  <c:v>0.7</c:v>
                </c:pt>
                <c:pt idx="21">
                  <c:v>0.65</c:v>
                </c:pt>
                <c:pt idx="22">
                  <c:v>0.66500000000000004</c:v>
                </c:pt>
                <c:pt idx="23">
                  <c:v>0.65</c:v>
                </c:pt>
                <c:pt idx="24">
                  <c:v>0.60000000000000009</c:v>
                </c:pt>
                <c:pt idx="25">
                  <c:v>0.6150000000000001</c:v>
                </c:pt>
                <c:pt idx="26">
                  <c:v>0.60000000000000009</c:v>
                </c:pt>
                <c:pt idx="27">
                  <c:v>0.55000000000000004</c:v>
                </c:pt>
                <c:pt idx="28">
                  <c:v>0.56500000000000006</c:v>
                </c:pt>
                <c:pt idx="29">
                  <c:v>0.55000000000000004</c:v>
                </c:pt>
                <c:pt idx="30">
                  <c:v>0.5</c:v>
                </c:pt>
                <c:pt idx="31">
                  <c:v>0.51500000000000001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</c:numCache>
            </c:numRef>
          </c:xVal>
          <c:yVal>
            <c:numRef>
              <c:f>'Piper Plot'!$AJ$15:$AJ$77</c:f>
              <c:numCache>
                <c:formatCode>General</c:formatCode>
                <c:ptCount val="63"/>
                <c:pt idx="0">
                  <c:v>0</c:v>
                </c:pt>
                <c:pt idx="1">
                  <c:v>2.632747685671118E-2</c:v>
                </c:pt>
                <c:pt idx="2">
                  <c:v>0</c:v>
                </c:pt>
                <c:pt idx="3">
                  <c:v>8.7758256189037279E-2</c:v>
                </c:pt>
                <c:pt idx="4">
                  <c:v>0.11408573304574846</c:v>
                </c:pt>
                <c:pt idx="5">
                  <c:v>8.7758256189037279E-2</c:v>
                </c:pt>
                <c:pt idx="6">
                  <c:v>0.17551651237807456</c:v>
                </c:pt>
                <c:pt idx="7">
                  <c:v>0.20184398923478575</c:v>
                </c:pt>
                <c:pt idx="8">
                  <c:v>0.17551651237807456</c:v>
                </c:pt>
                <c:pt idx="9">
                  <c:v>0.26327476856711185</c:v>
                </c:pt>
                <c:pt idx="10">
                  <c:v>0.28960224542382301</c:v>
                </c:pt>
                <c:pt idx="11">
                  <c:v>0.26327476856711185</c:v>
                </c:pt>
                <c:pt idx="12">
                  <c:v>0.35103302475614911</c:v>
                </c:pt>
                <c:pt idx="13">
                  <c:v>0.37736050161286028</c:v>
                </c:pt>
                <c:pt idx="14">
                  <c:v>0.35103302475614911</c:v>
                </c:pt>
                <c:pt idx="15">
                  <c:v>0.43879128094518638</c:v>
                </c:pt>
                <c:pt idx="16">
                  <c:v>0.46511875780189754</c:v>
                </c:pt>
                <c:pt idx="17">
                  <c:v>0.43879128094518638</c:v>
                </c:pt>
                <c:pt idx="18">
                  <c:v>0.52654953713422359</c:v>
                </c:pt>
                <c:pt idx="19">
                  <c:v>0.55287701399093481</c:v>
                </c:pt>
                <c:pt idx="20">
                  <c:v>0.52654953713422359</c:v>
                </c:pt>
                <c:pt idx="21">
                  <c:v>0.61430779332326091</c:v>
                </c:pt>
                <c:pt idx="22">
                  <c:v>0.64063527017997213</c:v>
                </c:pt>
                <c:pt idx="23">
                  <c:v>0.61430779332326091</c:v>
                </c:pt>
                <c:pt idx="24">
                  <c:v>0.70206604951229812</c:v>
                </c:pt>
                <c:pt idx="25">
                  <c:v>0.72839352636900934</c:v>
                </c:pt>
                <c:pt idx="26">
                  <c:v>0.70206604951229812</c:v>
                </c:pt>
                <c:pt idx="27">
                  <c:v>0.78982430570133544</c:v>
                </c:pt>
                <c:pt idx="28">
                  <c:v>0.81615178255804666</c:v>
                </c:pt>
                <c:pt idx="29">
                  <c:v>0.78982430570133544</c:v>
                </c:pt>
                <c:pt idx="30">
                  <c:v>0.87758256189037265</c:v>
                </c:pt>
                <c:pt idx="31">
                  <c:v>0.90391003874708387</c:v>
                </c:pt>
                <c:pt idx="32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5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8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1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4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7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0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3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6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59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  <c:pt idx="62">
                  <c:v>0.87758256189037265</c:v>
                </c:pt>
              </c:numCache>
            </c:numRef>
          </c:yVal>
          <c:smooth val="0"/>
        </c:ser>
        <c:ser>
          <c:idx val="0"/>
          <c:order val="7"/>
          <c:tx>
            <c:v>Left axis lines-Cations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'Piper Plot'!$AK$15:$AK$77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3">
                  <c:v>0.95</c:v>
                </c:pt>
                <c:pt idx="4">
                  <c:v>0.05</c:v>
                </c:pt>
                <c:pt idx="6">
                  <c:v>0.9</c:v>
                </c:pt>
                <c:pt idx="7">
                  <c:v>0.1</c:v>
                </c:pt>
                <c:pt idx="9">
                  <c:v>0.85</c:v>
                </c:pt>
                <c:pt idx="10">
                  <c:v>0.15000000000000002</c:v>
                </c:pt>
                <c:pt idx="12">
                  <c:v>0.8</c:v>
                </c:pt>
                <c:pt idx="13">
                  <c:v>0.2</c:v>
                </c:pt>
                <c:pt idx="15">
                  <c:v>0.75</c:v>
                </c:pt>
                <c:pt idx="16">
                  <c:v>0.25</c:v>
                </c:pt>
                <c:pt idx="18">
                  <c:v>0.7</c:v>
                </c:pt>
                <c:pt idx="19">
                  <c:v>0.3</c:v>
                </c:pt>
                <c:pt idx="21">
                  <c:v>0.65</c:v>
                </c:pt>
                <c:pt idx="22">
                  <c:v>0.35</c:v>
                </c:pt>
                <c:pt idx="24">
                  <c:v>0.60000000000000009</c:v>
                </c:pt>
                <c:pt idx="25">
                  <c:v>0.39999999999999997</c:v>
                </c:pt>
                <c:pt idx="27">
                  <c:v>0.55000000000000004</c:v>
                </c:pt>
                <c:pt idx="28">
                  <c:v>0.44999999999999996</c:v>
                </c:pt>
                <c:pt idx="30">
                  <c:v>0.5</c:v>
                </c:pt>
                <c:pt idx="31">
                  <c:v>0.49999999999999994</c:v>
                </c:pt>
                <c:pt idx="33">
                  <c:v>0.5</c:v>
                </c:pt>
                <c:pt idx="34">
                  <c:v>0.49999999999999994</c:v>
                </c:pt>
                <c:pt idx="36">
                  <c:v>0.5</c:v>
                </c:pt>
                <c:pt idx="37">
                  <c:v>0.49999999999999994</c:v>
                </c:pt>
                <c:pt idx="39">
                  <c:v>0.5</c:v>
                </c:pt>
                <c:pt idx="40">
                  <c:v>0.49999999999999994</c:v>
                </c:pt>
                <c:pt idx="42">
                  <c:v>0.5</c:v>
                </c:pt>
                <c:pt idx="43">
                  <c:v>0.49999999999999994</c:v>
                </c:pt>
                <c:pt idx="45">
                  <c:v>0.5</c:v>
                </c:pt>
                <c:pt idx="46">
                  <c:v>0.49999999999999994</c:v>
                </c:pt>
                <c:pt idx="48">
                  <c:v>0.5</c:v>
                </c:pt>
                <c:pt idx="49">
                  <c:v>0.49999999999999994</c:v>
                </c:pt>
                <c:pt idx="51">
                  <c:v>0.5</c:v>
                </c:pt>
                <c:pt idx="52">
                  <c:v>0.49999999999999994</c:v>
                </c:pt>
                <c:pt idx="54">
                  <c:v>0.5</c:v>
                </c:pt>
                <c:pt idx="55">
                  <c:v>0.49999999999999994</c:v>
                </c:pt>
                <c:pt idx="57">
                  <c:v>0.5</c:v>
                </c:pt>
                <c:pt idx="58">
                  <c:v>0.49999999999999994</c:v>
                </c:pt>
                <c:pt idx="60">
                  <c:v>0.5</c:v>
                </c:pt>
                <c:pt idx="61">
                  <c:v>0.49999999999999994</c:v>
                </c:pt>
              </c:numCache>
            </c:numRef>
          </c:xVal>
          <c:yVal>
            <c:numRef>
              <c:f>'Piper Plot'!$AL$15:$AL$77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3">
                  <c:v>8.7758256189037279E-2</c:v>
                </c:pt>
                <c:pt idx="4">
                  <c:v>8.7758256189037279E-2</c:v>
                </c:pt>
                <c:pt idx="6">
                  <c:v>0.17551651237807456</c:v>
                </c:pt>
                <c:pt idx="7">
                  <c:v>0.17551651237807456</c:v>
                </c:pt>
                <c:pt idx="9">
                  <c:v>0.26327476856711185</c:v>
                </c:pt>
                <c:pt idx="10">
                  <c:v>0.26327476856711185</c:v>
                </c:pt>
                <c:pt idx="12">
                  <c:v>0.35103302475614911</c:v>
                </c:pt>
                <c:pt idx="13">
                  <c:v>0.35103302475614911</c:v>
                </c:pt>
                <c:pt idx="15">
                  <c:v>0.43879128094518638</c:v>
                </c:pt>
                <c:pt idx="16">
                  <c:v>0.43879128094518638</c:v>
                </c:pt>
                <c:pt idx="18">
                  <c:v>0.52654953713422359</c:v>
                </c:pt>
                <c:pt idx="19">
                  <c:v>0.52654953713422359</c:v>
                </c:pt>
                <c:pt idx="21">
                  <c:v>0.61430779332326091</c:v>
                </c:pt>
                <c:pt idx="22">
                  <c:v>0.61430779332326091</c:v>
                </c:pt>
                <c:pt idx="24">
                  <c:v>0.70206604951229812</c:v>
                </c:pt>
                <c:pt idx="25">
                  <c:v>0.70206604951229812</c:v>
                </c:pt>
                <c:pt idx="27">
                  <c:v>0.78982430570133544</c:v>
                </c:pt>
                <c:pt idx="28">
                  <c:v>0.78982430570133544</c:v>
                </c:pt>
                <c:pt idx="30">
                  <c:v>0.87758256189037265</c:v>
                </c:pt>
                <c:pt idx="31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</c:numCache>
            </c:numRef>
          </c:yVal>
          <c:smooth val="0"/>
        </c:ser>
        <c:ser>
          <c:idx val="5"/>
          <c:order val="8"/>
          <c:tx>
            <c:v>Right axis lines-Cations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'Piper Plot'!$AM$15:$AM$77</c:f>
              <c:numCache>
                <c:formatCode>General</c:formatCode>
                <c:ptCount val="63"/>
                <c:pt idx="0">
                  <c:v>1</c:v>
                </c:pt>
                <c:pt idx="3">
                  <c:v>0.95</c:v>
                </c:pt>
                <c:pt idx="4">
                  <c:v>0.9</c:v>
                </c:pt>
                <c:pt idx="6">
                  <c:v>0.9</c:v>
                </c:pt>
                <c:pt idx="7">
                  <c:v>0.8</c:v>
                </c:pt>
                <c:pt idx="9">
                  <c:v>0.85</c:v>
                </c:pt>
                <c:pt idx="10">
                  <c:v>0.7</c:v>
                </c:pt>
                <c:pt idx="12">
                  <c:v>0.8</c:v>
                </c:pt>
                <c:pt idx="13">
                  <c:v>0.6</c:v>
                </c:pt>
                <c:pt idx="15">
                  <c:v>0.75</c:v>
                </c:pt>
                <c:pt idx="16">
                  <c:v>0.5</c:v>
                </c:pt>
                <c:pt idx="18">
                  <c:v>0.7</c:v>
                </c:pt>
                <c:pt idx="19">
                  <c:v>0.4</c:v>
                </c:pt>
                <c:pt idx="21">
                  <c:v>0.65</c:v>
                </c:pt>
                <c:pt idx="22">
                  <c:v>0.30000000000000004</c:v>
                </c:pt>
                <c:pt idx="24">
                  <c:v>0.60000000000000009</c:v>
                </c:pt>
                <c:pt idx="25">
                  <c:v>0.20000000000000007</c:v>
                </c:pt>
                <c:pt idx="27">
                  <c:v>0.55000000000000004</c:v>
                </c:pt>
                <c:pt idx="28">
                  <c:v>0.10000000000000009</c:v>
                </c:pt>
                <c:pt idx="30">
                  <c:v>0.5</c:v>
                </c:pt>
                <c:pt idx="31">
                  <c:v>1.1102230246251565E-16</c:v>
                </c:pt>
                <c:pt idx="33">
                  <c:v>0.5</c:v>
                </c:pt>
                <c:pt idx="34">
                  <c:v>0.5</c:v>
                </c:pt>
                <c:pt idx="36">
                  <c:v>0.5</c:v>
                </c:pt>
                <c:pt idx="37">
                  <c:v>0.5</c:v>
                </c:pt>
                <c:pt idx="39">
                  <c:v>0.5</c:v>
                </c:pt>
                <c:pt idx="40">
                  <c:v>0.5</c:v>
                </c:pt>
                <c:pt idx="42">
                  <c:v>0.5</c:v>
                </c:pt>
                <c:pt idx="43">
                  <c:v>0.5</c:v>
                </c:pt>
                <c:pt idx="45">
                  <c:v>0.5</c:v>
                </c:pt>
                <c:pt idx="46">
                  <c:v>0.5</c:v>
                </c:pt>
                <c:pt idx="48">
                  <c:v>0.5</c:v>
                </c:pt>
                <c:pt idx="49">
                  <c:v>0.5</c:v>
                </c:pt>
                <c:pt idx="51">
                  <c:v>0.5</c:v>
                </c:pt>
                <c:pt idx="52">
                  <c:v>0.5</c:v>
                </c:pt>
                <c:pt idx="54">
                  <c:v>0.5</c:v>
                </c:pt>
                <c:pt idx="55">
                  <c:v>0.5</c:v>
                </c:pt>
                <c:pt idx="57">
                  <c:v>0.5</c:v>
                </c:pt>
                <c:pt idx="58">
                  <c:v>0.5</c:v>
                </c:pt>
                <c:pt idx="60">
                  <c:v>0.5</c:v>
                </c:pt>
                <c:pt idx="61">
                  <c:v>0.5</c:v>
                </c:pt>
              </c:numCache>
            </c:numRef>
          </c:xVal>
          <c:yVal>
            <c:numRef>
              <c:f>'Piper Plot'!$AN$15:$AN$77</c:f>
              <c:numCache>
                <c:formatCode>General</c:formatCode>
                <c:ptCount val="63"/>
                <c:pt idx="0">
                  <c:v>0</c:v>
                </c:pt>
                <c:pt idx="3">
                  <c:v>8.7758256189037279E-2</c:v>
                </c:pt>
                <c:pt idx="4">
                  <c:v>0</c:v>
                </c:pt>
                <c:pt idx="6">
                  <c:v>0.17551651237807456</c:v>
                </c:pt>
                <c:pt idx="7">
                  <c:v>0</c:v>
                </c:pt>
                <c:pt idx="9">
                  <c:v>0.26327476856711185</c:v>
                </c:pt>
                <c:pt idx="10">
                  <c:v>0</c:v>
                </c:pt>
                <c:pt idx="12">
                  <c:v>0.35103302475614911</c:v>
                </c:pt>
                <c:pt idx="13">
                  <c:v>0</c:v>
                </c:pt>
                <c:pt idx="15">
                  <c:v>0.43879128094518638</c:v>
                </c:pt>
                <c:pt idx="16">
                  <c:v>0</c:v>
                </c:pt>
                <c:pt idx="18">
                  <c:v>0.52654953713422359</c:v>
                </c:pt>
                <c:pt idx="19">
                  <c:v>0</c:v>
                </c:pt>
                <c:pt idx="21">
                  <c:v>0.61430779332326091</c:v>
                </c:pt>
                <c:pt idx="22">
                  <c:v>0</c:v>
                </c:pt>
                <c:pt idx="24">
                  <c:v>0.70206604951229812</c:v>
                </c:pt>
                <c:pt idx="25">
                  <c:v>0</c:v>
                </c:pt>
                <c:pt idx="27">
                  <c:v>0.78982430570133544</c:v>
                </c:pt>
                <c:pt idx="28">
                  <c:v>0</c:v>
                </c:pt>
                <c:pt idx="30">
                  <c:v>0.87758256189037265</c:v>
                </c:pt>
                <c:pt idx="31">
                  <c:v>0</c:v>
                </c:pt>
                <c:pt idx="33">
                  <c:v>0.87758256189037265</c:v>
                </c:pt>
                <c:pt idx="34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</c:numCache>
            </c:numRef>
          </c:yVal>
          <c:smooth val="0"/>
        </c:ser>
        <c:ser>
          <c:idx val="7"/>
          <c:order val="9"/>
          <c:tx>
            <c:v>Bottom axis lines-Cations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'Piper Plot'!$AO$15:$AO$77</c:f>
              <c:numCache>
                <c:formatCode>General</c:formatCode>
                <c:ptCount val="63"/>
                <c:pt idx="0">
                  <c:v>0</c:v>
                </c:pt>
                <c:pt idx="3">
                  <c:v>0.1</c:v>
                </c:pt>
                <c:pt idx="4">
                  <c:v>0.05</c:v>
                </c:pt>
                <c:pt idx="6">
                  <c:v>0.2</c:v>
                </c:pt>
                <c:pt idx="7">
                  <c:v>0.1</c:v>
                </c:pt>
                <c:pt idx="9">
                  <c:v>0.30000000000000004</c:v>
                </c:pt>
                <c:pt idx="10">
                  <c:v>0.15000000000000002</c:v>
                </c:pt>
                <c:pt idx="12">
                  <c:v>0.4</c:v>
                </c:pt>
                <c:pt idx="13">
                  <c:v>0.2</c:v>
                </c:pt>
                <c:pt idx="15">
                  <c:v>0.5</c:v>
                </c:pt>
                <c:pt idx="16">
                  <c:v>0.25</c:v>
                </c:pt>
                <c:pt idx="18">
                  <c:v>0.6</c:v>
                </c:pt>
                <c:pt idx="19">
                  <c:v>0.3</c:v>
                </c:pt>
                <c:pt idx="21">
                  <c:v>0.7</c:v>
                </c:pt>
                <c:pt idx="22">
                  <c:v>0.35</c:v>
                </c:pt>
                <c:pt idx="24">
                  <c:v>0.79999999999999993</c:v>
                </c:pt>
                <c:pt idx="25">
                  <c:v>0.39999999999999997</c:v>
                </c:pt>
                <c:pt idx="27">
                  <c:v>0.89999999999999991</c:v>
                </c:pt>
                <c:pt idx="28">
                  <c:v>0.44999999999999996</c:v>
                </c:pt>
                <c:pt idx="30">
                  <c:v>0.99999999999999989</c:v>
                </c:pt>
                <c:pt idx="31">
                  <c:v>0.49999999999999994</c:v>
                </c:pt>
                <c:pt idx="33">
                  <c:v>0</c:v>
                </c:pt>
                <c:pt idx="34">
                  <c:v>0.49999999999999994</c:v>
                </c:pt>
                <c:pt idx="36">
                  <c:v>0</c:v>
                </c:pt>
                <c:pt idx="37">
                  <c:v>0.49999999999999994</c:v>
                </c:pt>
                <c:pt idx="39">
                  <c:v>0</c:v>
                </c:pt>
                <c:pt idx="40">
                  <c:v>0.49999999999999994</c:v>
                </c:pt>
                <c:pt idx="42">
                  <c:v>0</c:v>
                </c:pt>
                <c:pt idx="43">
                  <c:v>0.49999999999999994</c:v>
                </c:pt>
                <c:pt idx="45">
                  <c:v>0</c:v>
                </c:pt>
                <c:pt idx="46">
                  <c:v>0.49999999999999994</c:v>
                </c:pt>
                <c:pt idx="48">
                  <c:v>0</c:v>
                </c:pt>
                <c:pt idx="49">
                  <c:v>0.49999999999999994</c:v>
                </c:pt>
                <c:pt idx="51">
                  <c:v>0</c:v>
                </c:pt>
                <c:pt idx="52">
                  <c:v>0.49999999999999994</c:v>
                </c:pt>
                <c:pt idx="54">
                  <c:v>0</c:v>
                </c:pt>
                <c:pt idx="55">
                  <c:v>0.49999999999999994</c:v>
                </c:pt>
                <c:pt idx="57">
                  <c:v>0</c:v>
                </c:pt>
                <c:pt idx="58">
                  <c:v>0.49999999999999994</c:v>
                </c:pt>
                <c:pt idx="60">
                  <c:v>0</c:v>
                </c:pt>
                <c:pt idx="61">
                  <c:v>0.49999999999999994</c:v>
                </c:pt>
              </c:numCache>
            </c:numRef>
          </c:xVal>
          <c:yVal>
            <c:numRef>
              <c:f>'Piper Plot'!$AP$15:$AP$77</c:f>
              <c:numCache>
                <c:formatCode>General</c:formatCode>
                <c:ptCount val="63"/>
                <c:pt idx="0">
                  <c:v>0</c:v>
                </c:pt>
                <c:pt idx="3">
                  <c:v>0</c:v>
                </c:pt>
                <c:pt idx="4">
                  <c:v>8.7758256189037279E-2</c:v>
                </c:pt>
                <c:pt idx="6">
                  <c:v>0</c:v>
                </c:pt>
                <c:pt idx="7">
                  <c:v>0.17551651237807456</c:v>
                </c:pt>
                <c:pt idx="9">
                  <c:v>0</c:v>
                </c:pt>
                <c:pt idx="10">
                  <c:v>0.26327476856711185</c:v>
                </c:pt>
                <c:pt idx="12">
                  <c:v>0</c:v>
                </c:pt>
                <c:pt idx="13">
                  <c:v>0.35103302475614911</c:v>
                </c:pt>
                <c:pt idx="15">
                  <c:v>0</c:v>
                </c:pt>
                <c:pt idx="16">
                  <c:v>0.43879128094518638</c:v>
                </c:pt>
                <c:pt idx="18">
                  <c:v>0</c:v>
                </c:pt>
                <c:pt idx="19">
                  <c:v>0.52654953713422359</c:v>
                </c:pt>
                <c:pt idx="21">
                  <c:v>0</c:v>
                </c:pt>
                <c:pt idx="22">
                  <c:v>0.61430779332326091</c:v>
                </c:pt>
                <c:pt idx="24">
                  <c:v>0</c:v>
                </c:pt>
                <c:pt idx="25">
                  <c:v>0.70206604951229812</c:v>
                </c:pt>
                <c:pt idx="27">
                  <c:v>0</c:v>
                </c:pt>
                <c:pt idx="28">
                  <c:v>0.78982430570133544</c:v>
                </c:pt>
                <c:pt idx="30">
                  <c:v>0</c:v>
                </c:pt>
                <c:pt idx="31">
                  <c:v>0.87758256189037265</c:v>
                </c:pt>
                <c:pt idx="33">
                  <c:v>0</c:v>
                </c:pt>
                <c:pt idx="34">
                  <c:v>0.87758256189037265</c:v>
                </c:pt>
                <c:pt idx="36">
                  <c:v>0</c:v>
                </c:pt>
                <c:pt idx="37">
                  <c:v>0.87758256189037265</c:v>
                </c:pt>
                <c:pt idx="39">
                  <c:v>0</c:v>
                </c:pt>
                <c:pt idx="40">
                  <c:v>0.87758256189037265</c:v>
                </c:pt>
                <c:pt idx="42">
                  <c:v>0</c:v>
                </c:pt>
                <c:pt idx="43">
                  <c:v>0.87758256189037265</c:v>
                </c:pt>
                <c:pt idx="45">
                  <c:v>0</c:v>
                </c:pt>
                <c:pt idx="46">
                  <c:v>0.87758256189037265</c:v>
                </c:pt>
                <c:pt idx="48">
                  <c:v>0</c:v>
                </c:pt>
                <c:pt idx="49">
                  <c:v>0.87758256189037265</c:v>
                </c:pt>
                <c:pt idx="51">
                  <c:v>0</c:v>
                </c:pt>
                <c:pt idx="52">
                  <c:v>0.87758256189037265</c:v>
                </c:pt>
                <c:pt idx="54">
                  <c:v>0</c:v>
                </c:pt>
                <c:pt idx="55">
                  <c:v>0.87758256189037265</c:v>
                </c:pt>
                <c:pt idx="57">
                  <c:v>0</c:v>
                </c:pt>
                <c:pt idx="58">
                  <c:v>0.87758256189037265</c:v>
                </c:pt>
                <c:pt idx="60">
                  <c:v>0</c:v>
                </c:pt>
                <c:pt idx="61">
                  <c:v>0.87758256189037265</c:v>
                </c:pt>
              </c:numCache>
            </c:numRef>
          </c:yVal>
          <c:smooth val="0"/>
        </c:ser>
        <c:ser>
          <c:idx val="9"/>
          <c:order val="10"/>
          <c:tx>
            <c:v>Bottom ticks-Cations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'Piper Plot'!$AS$15:$AS$77</c:f>
              <c:numCache>
                <c:formatCode>General</c:formatCode>
                <c:ptCount val="63"/>
                <c:pt idx="0">
                  <c:v>0</c:v>
                </c:pt>
                <c:pt idx="1">
                  <c:v>1.4999999999999999E-2</c:v>
                </c:pt>
                <c:pt idx="2">
                  <c:v>0</c:v>
                </c:pt>
                <c:pt idx="3">
                  <c:v>0.1</c:v>
                </c:pt>
                <c:pt idx="4">
                  <c:v>0.115</c:v>
                </c:pt>
                <c:pt idx="5">
                  <c:v>0.1</c:v>
                </c:pt>
                <c:pt idx="6">
                  <c:v>0.2</c:v>
                </c:pt>
                <c:pt idx="7">
                  <c:v>0.21500000000000002</c:v>
                </c:pt>
                <c:pt idx="8">
                  <c:v>0.2</c:v>
                </c:pt>
                <c:pt idx="9">
                  <c:v>0.30000000000000004</c:v>
                </c:pt>
                <c:pt idx="10">
                  <c:v>0.31500000000000006</c:v>
                </c:pt>
                <c:pt idx="11">
                  <c:v>0.30000000000000004</c:v>
                </c:pt>
                <c:pt idx="12">
                  <c:v>0.4</c:v>
                </c:pt>
                <c:pt idx="13">
                  <c:v>0.41500000000000004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0.51500000000000001</c:v>
                </c:pt>
                <c:pt idx="17">
                  <c:v>0.5</c:v>
                </c:pt>
                <c:pt idx="18">
                  <c:v>0.6</c:v>
                </c:pt>
                <c:pt idx="19">
                  <c:v>0.61499999999999999</c:v>
                </c:pt>
                <c:pt idx="20">
                  <c:v>0.6</c:v>
                </c:pt>
                <c:pt idx="21">
                  <c:v>0.7</c:v>
                </c:pt>
                <c:pt idx="22">
                  <c:v>0.71499999999999997</c:v>
                </c:pt>
                <c:pt idx="23">
                  <c:v>0.7</c:v>
                </c:pt>
                <c:pt idx="24">
                  <c:v>0.79999999999999993</c:v>
                </c:pt>
                <c:pt idx="25">
                  <c:v>0.81499999999999995</c:v>
                </c:pt>
                <c:pt idx="26">
                  <c:v>0.79999999999999993</c:v>
                </c:pt>
                <c:pt idx="27">
                  <c:v>0.89999999999999991</c:v>
                </c:pt>
                <c:pt idx="28">
                  <c:v>0.91499999999999992</c:v>
                </c:pt>
                <c:pt idx="29">
                  <c:v>0.89999999999999991</c:v>
                </c:pt>
                <c:pt idx="30">
                  <c:v>0.99999999999999989</c:v>
                </c:pt>
                <c:pt idx="31">
                  <c:v>1.0149999999999999</c:v>
                </c:pt>
                <c:pt idx="32">
                  <c:v>0.99999999999999989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'Piper Plot'!$AT$15:$AT$77</c:f>
              <c:numCache>
                <c:formatCode>General</c:formatCode>
                <c:ptCount val="63"/>
                <c:pt idx="0">
                  <c:v>0</c:v>
                </c:pt>
                <c:pt idx="1">
                  <c:v>-2.632747685671118E-2</c:v>
                </c:pt>
                <c:pt idx="2">
                  <c:v>0</c:v>
                </c:pt>
                <c:pt idx="3">
                  <c:v>0</c:v>
                </c:pt>
                <c:pt idx="4">
                  <c:v>-2.632747685671118E-2</c:v>
                </c:pt>
                <c:pt idx="5">
                  <c:v>0</c:v>
                </c:pt>
                <c:pt idx="6">
                  <c:v>0</c:v>
                </c:pt>
                <c:pt idx="7">
                  <c:v>-2.632747685671118E-2</c:v>
                </c:pt>
                <c:pt idx="8">
                  <c:v>0</c:v>
                </c:pt>
                <c:pt idx="9">
                  <c:v>0</c:v>
                </c:pt>
                <c:pt idx="10">
                  <c:v>-2.632747685671118E-2</c:v>
                </c:pt>
                <c:pt idx="11">
                  <c:v>0</c:v>
                </c:pt>
                <c:pt idx="12">
                  <c:v>0</c:v>
                </c:pt>
                <c:pt idx="13">
                  <c:v>-2.632747685671118E-2</c:v>
                </c:pt>
                <c:pt idx="14">
                  <c:v>0</c:v>
                </c:pt>
                <c:pt idx="15">
                  <c:v>0</c:v>
                </c:pt>
                <c:pt idx="16">
                  <c:v>-2.632747685671118E-2</c:v>
                </c:pt>
                <c:pt idx="17">
                  <c:v>0</c:v>
                </c:pt>
                <c:pt idx="18">
                  <c:v>0</c:v>
                </c:pt>
                <c:pt idx="19">
                  <c:v>-2.632747685671118E-2</c:v>
                </c:pt>
                <c:pt idx="20">
                  <c:v>0</c:v>
                </c:pt>
                <c:pt idx="21">
                  <c:v>0</c:v>
                </c:pt>
                <c:pt idx="22">
                  <c:v>-2.632747685671118E-2</c:v>
                </c:pt>
                <c:pt idx="23">
                  <c:v>0</c:v>
                </c:pt>
                <c:pt idx="24">
                  <c:v>0</c:v>
                </c:pt>
                <c:pt idx="25">
                  <c:v>-2.632747685671118E-2</c:v>
                </c:pt>
                <c:pt idx="26">
                  <c:v>0</c:v>
                </c:pt>
                <c:pt idx="27">
                  <c:v>0</c:v>
                </c:pt>
                <c:pt idx="28">
                  <c:v>-2.632747685671118E-2</c:v>
                </c:pt>
                <c:pt idx="29">
                  <c:v>0</c:v>
                </c:pt>
                <c:pt idx="30">
                  <c:v>0</c:v>
                </c:pt>
                <c:pt idx="31">
                  <c:v>-2.632747685671118E-2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ser>
          <c:idx val="8"/>
          <c:order val="11"/>
          <c:tx>
            <c:v>Left Ticks-Anions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Plot'!$AU$15:$AU$77</c:f>
              <c:numCache>
                <c:formatCode>General</c:formatCode>
                <c:ptCount val="63"/>
                <c:pt idx="0">
                  <c:v>1.2</c:v>
                </c:pt>
                <c:pt idx="1">
                  <c:v>1.1849999999999998</c:v>
                </c:pt>
                <c:pt idx="2">
                  <c:v>1.2</c:v>
                </c:pt>
                <c:pt idx="3">
                  <c:v>1.25</c:v>
                </c:pt>
                <c:pt idx="4">
                  <c:v>1.2349999999999999</c:v>
                </c:pt>
                <c:pt idx="5">
                  <c:v>1.25</c:v>
                </c:pt>
                <c:pt idx="6">
                  <c:v>1.3</c:v>
                </c:pt>
                <c:pt idx="7">
                  <c:v>1.2849999999999999</c:v>
                </c:pt>
                <c:pt idx="8">
                  <c:v>1.3</c:v>
                </c:pt>
                <c:pt idx="9">
                  <c:v>1.3499999999999999</c:v>
                </c:pt>
                <c:pt idx="10">
                  <c:v>1.335</c:v>
                </c:pt>
                <c:pt idx="11">
                  <c:v>1.3499999999999999</c:v>
                </c:pt>
                <c:pt idx="12">
                  <c:v>1.4</c:v>
                </c:pt>
                <c:pt idx="13">
                  <c:v>1.3849999999999998</c:v>
                </c:pt>
                <c:pt idx="14">
                  <c:v>1.4</c:v>
                </c:pt>
                <c:pt idx="15">
                  <c:v>1.45</c:v>
                </c:pt>
                <c:pt idx="16">
                  <c:v>1.4349999999999998</c:v>
                </c:pt>
                <c:pt idx="17">
                  <c:v>1.45</c:v>
                </c:pt>
                <c:pt idx="18">
                  <c:v>1.5</c:v>
                </c:pt>
                <c:pt idx="19">
                  <c:v>1.4849999999999999</c:v>
                </c:pt>
                <c:pt idx="20">
                  <c:v>1.5</c:v>
                </c:pt>
                <c:pt idx="21">
                  <c:v>1.55</c:v>
                </c:pt>
                <c:pt idx="22">
                  <c:v>1.5349999999999997</c:v>
                </c:pt>
                <c:pt idx="23">
                  <c:v>1.55</c:v>
                </c:pt>
                <c:pt idx="24">
                  <c:v>1.5999999999999999</c:v>
                </c:pt>
                <c:pt idx="25">
                  <c:v>1.585</c:v>
                </c:pt>
                <c:pt idx="26">
                  <c:v>1.5999999999999999</c:v>
                </c:pt>
                <c:pt idx="27">
                  <c:v>1.65</c:v>
                </c:pt>
                <c:pt idx="28">
                  <c:v>1.6349999999999998</c:v>
                </c:pt>
                <c:pt idx="29">
                  <c:v>1.65</c:v>
                </c:pt>
                <c:pt idx="30">
                  <c:v>1.7</c:v>
                </c:pt>
                <c:pt idx="31">
                  <c:v>1.6849999999999998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</c:numCache>
            </c:numRef>
          </c:xVal>
          <c:yVal>
            <c:numRef>
              <c:f>'Piper Plot'!$AV$15:$AV$77</c:f>
              <c:numCache>
                <c:formatCode>General</c:formatCode>
                <c:ptCount val="63"/>
                <c:pt idx="0">
                  <c:v>0</c:v>
                </c:pt>
                <c:pt idx="1">
                  <c:v>2.632747685671118E-2</c:v>
                </c:pt>
                <c:pt idx="2">
                  <c:v>0</c:v>
                </c:pt>
                <c:pt idx="3">
                  <c:v>8.7758256189037279E-2</c:v>
                </c:pt>
                <c:pt idx="4">
                  <c:v>0.11408573304574846</c:v>
                </c:pt>
                <c:pt idx="5">
                  <c:v>8.7758256189037279E-2</c:v>
                </c:pt>
                <c:pt idx="6">
                  <c:v>0.17551651237807456</c:v>
                </c:pt>
                <c:pt idx="7">
                  <c:v>0.20184398923478575</c:v>
                </c:pt>
                <c:pt idx="8">
                  <c:v>0.17551651237807456</c:v>
                </c:pt>
                <c:pt idx="9">
                  <c:v>0.26327476856711185</c:v>
                </c:pt>
                <c:pt idx="10">
                  <c:v>0.28960224542382301</c:v>
                </c:pt>
                <c:pt idx="11">
                  <c:v>0.26327476856711185</c:v>
                </c:pt>
                <c:pt idx="12">
                  <c:v>0.35103302475614911</c:v>
                </c:pt>
                <c:pt idx="13">
                  <c:v>0.37736050161286028</c:v>
                </c:pt>
                <c:pt idx="14">
                  <c:v>0.35103302475614911</c:v>
                </c:pt>
                <c:pt idx="15">
                  <c:v>0.43879128094518638</c:v>
                </c:pt>
                <c:pt idx="16">
                  <c:v>0.46511875780189754</c:v>
                </c:pt>
                <c:pt idx="17">
                  <c:v>0.43879128094518638</c:v>
                </c:pt>
                <c:pt idx="18">
                  <c:v>0.52654953713422359</c:v>
                </c:pt>
                <c:pt idx="19">
                  <c:v>0.55287701399093481</c:v>
                </c:pt>
                <c:pt idx="20">
                  <c:v>0.52654953713422359</c:v>
                </c:pt>
                <c:pt idx="21">
                  <c:v>0.61430779332326091</c:v>
                </c:pt>
                <c:pt idx="22">
                  <c:v>0.64063527017997213</c:v>
                </c:pt>
                <c:pt idx="23">
                  <c:v>0.61430779332326091</c:v>
                </c:pt>
                <c:pt idx="24">
                  <c:v>0.70206604951229812</c:v>
                </c:pt>
                <c:pt idx="25">
                  <c:v>0.72839352636900934</c:v>
                </c:pt>
                <c:pt idx="26">
                  <c:v>0.70206604951229812</c:v>
                </c:pt>
                <c:pt idx="27">
                  <c:v>0.78982430570133544</c:v>
                </c:pt>
                <c:pt idx="28">
                  <c:v>0.81615178255804666</c:v>
                </c:pt>
                <c:pt idx="29">
                  <c:v>0.78982430570133544</c:v>
                </c:pt>
                <c:pt idx="30">
                  <c:v>0.87758256189037265</c:v>
                </c:pt>
                <c:pt idx="31">
                  <c:v>0.90391003874708387</c:v>
                </c:pt>
                <c:pt idx="32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5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8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1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4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7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0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3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6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59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  <c:pt idx="62">
                  <c:v>0.87758256189037265</c:v>
                </c:pt>
              </c:numCache>
            </c:numRef>
          </c:yVal>
          <c:smooth val="0"/>
        </c:ser>
        <c:ser>
          <c:idx val="10"/>
          <c:order val="12"/>
          <c:tx>
            <c:v>Right ticks-Anions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Plot'!$AW$15:$AW$77</c:f>
              <c:numCache>
                <c:formatCode>General</c:formatCode>
                <c:ptCount val="63"/>
                <c:pt idx="0">
                  <c:v>2.2000000000000002</c:v>
                </c:pt>
                <c:pt idx="1">
                  <c:v>2.23</c:v>
                </c:pt>
                <c:pt idx="2">
                  <c:v>2.2000000000000002</c:v>
                </c:pt>
                <c:pt idx="3">
                  <c:v>2.15</c:v>
                </c:pt>
                <c:pt idx="4">
                  <c:v>2.1800000000000002</c:v>
                </c:pt>
                <c:pt idx="5">
                  <c:v>2.15</c:v>
                </c:pt>
                <c:pt idx="6">
                  <c:v>2.1</c:v>
                </c:pt>
                <c:pt idx="7">
                  <c:v>2.1300000000000003</c:v>
                </c:pt>
                <c:pt idx="8">
                  <c:v>2.1</c:v>
                </c:pt>
                <c:pt idx="9">
                  <c:v>2.0500000000000003</c:v>
                </c:pt>
                <c:pt idx="10">
                  <c:v>2.08</c:v>
                </c:pt>
                <c:pt idx="11">
                  <c:v>2.0500000000000003</c:v>
                </c:pt>
                <c:pt idx="12">
                  <c:v>2</c:v>
                </c:pt>
                <c:pt idx="13">
                  <c:v>2.0300000000000002</c:v>
                </c:pt>
                <c:pt idx="14">
                  <c:v>2</c:v>
                </c:pt>
                <c:pt idx="15">
                  <c:v>1.95</c:v>
                </c:pt>
                <c:pt idx="16">
                  <c:v>1.98</c:v>
                </c:pt>
                <c:pt idx="17">
                  <c:v>1.95</c:v>
                </c:pt>
                <c:pt idx="18">
                  <c:v>1.9</c:v>
                </c:pt>
                <c:pt idx="19">
                  <c:v>1.9299999999999997</c:v>
                </c:pt>
                <c:pt idx="20">
                  <c:v>1.9</c:v>
                </c:pt>
                <c:pt idx="21">
                  <c:v>1.8499999999999999</c:v>
                </c:pt>
                <c:pt idx="22">
                  <c:v>1.88</c:v>
                </c:pt>
                <c:pt idx="23">
                  <c:v>1.8499999999999999</c:v>
                </c:pt>
                <c:pt idx="24">
                  <c:v>1.8</c:v>
                </c:pt>
                <c:pt idx="25">
                  <c:v>1.83</c:v>
                </c:pt>
                <c:pt idx="26">
                  <c:v>1.8</c:v>
                </c:pt>
                <c:pt idx="27">
                  <c:v>1.75</c:v>
                </c:pt>
                <c:pt idx="28">
                  <c:v>1.7799999999999998</c:v>
                </c:pt>
                <c:pt idx="29">
                  <c:v>1.75</c:v>
                </c:pt>
                <c:pt idx="30">
                  <c:v>1.7</c:v>
                </c:pt>
                <c:pt idx="31">
                  <c:v>1.73</c:v>
                </c:pt>
                <c:pt idx="32">
                  <c:v>1.7</c:v>
                </c:pt>
                <c:pt idx="33">
                  <c:v>1.7</c:v>
                </c:pt>
                <c:pt idx="34">
                  <c:v>1.7149999999999999</c:v>
                </c:pt>
                <c:pt idx="35">
                  <c:v>1.7</c:v>
                </c:pt>
                <c:pt idx="36">
                  <c:v>1.7</c:v>
                </c:pt>
                <c:pt idx="37">
                  <c:v>1.7149999999999999</c:v>
                </c:pt>
                <c:pt idx="38">
                  <c:v>1.7</c:v>
                </c:pt>
                <c:pt idx="39">
                  <c:v>1.7</c:v>
                </c:pt>
                <c:pt idx="40">
                  <c:v>1.7149999999999999</c:v>
                </c:pt>
                <c:pt idx="41">
                  <c:v>1.7</c:v>
                </c:pt>
                <c:pt idx="42">
                  <c:v>1.7</c:v>
                </c:pt>
                <c:pt idx="43">
                  <c:v>1.7149999999999999</c:v>
                </c:pt>
                <c:pt idx="44">
                  <c:v>1.7</c:v>
                </c:pt>
                <c:pt idx="45">
                  <c:v>1.7</c:v>
                </c:pt>
                <c:pt idx="46">
                  <c:v>1.7149999999999999</c:v>
                </c:pt>
                <c:pt idx="47">
                  <c:v>1.7</c:v>
                </c:pt>
                <c:pt idx="48">
                  <c:v>1.7</c:v>
                </c:pt>
                <c:pt idx="49">
                  <c:v>1.7149999999999999</c:v>
                </c:pt>
                <c:pt idx="50">
                  <c:v>1.7</c:v>
                </c:pt>
                <c:pt idx="51">
                  <c:v>1.7</c:v>
                </c:pt>
                <c:pt idx="52">
                  <c:v>1.7149999999999999</c:v>
                </c:pt>
                <c:pt idx="53">
                  <c:v>1.7</c:v>
                </c:pt>
                <c:pt idx="54">
                  <c:v>1.7</c:v>
                </c:pt>
                <c:pt idx="55">
                  <c:v>1.7149999999999999</c:v>
                </c:pt>
                <c:pt idx="56">
                  <c:v>1.7</c:v>
                </c:pt>
                <c:pt idx="57">
                  <c:v>1.7</c:v>
                </c:pt>
                <c:pt idx="58">
                  <c:v>1.7149999999999999</c:v>
                </c:pt>
                <c:pt idx="59">
                  <c:v>1.7</c:v>
                </c:pt>
                <c:pt idx="60">
                  <c:v>1.7</c:v>
                </c:pt>
                <c:pt idx="61">
                  <c:v>1.7149999999999999</c:v>
                </c:pt>
                <c:pt idx="62">
                  <c:v>1.7</c:v>
                </c:pt>
              </c:numCache>
            </c:numRef>
          </c:xVal>
          <c:yVal>
            <c:numRef>
              <c:f>'Piper Plot'!$AX$15:$AX$77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8.7758256189037279E-2</c:v>
                </c:pt>
                <c:pt idx="4">
                  <c:v>8.7758256189037279E-2</c:v>
                </c:pt>
                <c:pt idx="5">
                  <c:v>8.7758256189037279E-2</c:v>
                </c:pt>
                <c:pt idx="6">
                  <c:v>0.17551651237807456</c:v>
                </c:pt>
                <c:pt idx="7">
                  <c:v>0.17551651237807456</c:v>
                </c:pt>
                <c:pt idx="8">
                  <c:v>0.17551651237807456</c:v>
                </c:pt>
                <c:pt idx="9">
                  <c:v>0.26327476856711185</c:v>
                </c:pt>
                <c:pt idx="10">
                  <c:v>0.26327476856711185</c:v>
                </c:pt>
                <c:pt idx="11">
                  <c:v>0.26327476856711185</c:v>
                </c:pt>
                <c:pt idx="12">
                  <c:v>0.35103302475614911</c:v>
                </c:pt>
                <c:pt idx="13">
                  <c:v>0.35103302475614911</c:v>
                </c:pt>
                <c:pt idx="14">
                  <c:v>0.35103302475614911</c:v>
                </c:pt>
                <c:pt idx="15">
                  <c:v>0.43879128094518638</c:v>
                </c:pt>
                <c:pt idx="16">
                  <c:v>0.43879128094518638</c:v>
                </c:pt>
                <c:pt idx="17">
                  <c:v>0.43879128094518638</c:v>
                </c:pt>
                <c:pt idx="18">
                  <c:v>0.52654953713422359</c:v>
                </c:pt>
                <c:pt idx="19">
                  <c:v>0.52654953713422359</c:v>
                </c:pt>
                <c:pt idx="20">
                  <c:v>0.52654953713422359</c:v>
                </c:pt>
                <c:pt idx="21">
                  <c:v>0.61430779332326091</c:v>
                </c:pt>
                <c:pt idx="22">
                  <c:v>0.61430779332326091</c:v>
                </c:pt>
                <c:pt idx="23">
                  <c:v>0.61430779332326091</c:v>
                </c:pt>
                <c:pt idx="24">
                  <c:v>0.70206604951229812</c:v>
                </c:pt>
                <c:pt idx="25">
                  <c:v>0.70206604951229812</c:v>
                </c:pt>
                <c:pt idx="26">
                  <c:v>0.70206604951229812</c:v>
                </c:pt>
                <c:pt idx="27">
                  <c:v>0.78982430570133544</c:v>
                </c:pt>
                <c:pt idx="28">
                  <c:v>0.78982430570133544</c:v>
                </c:pt>
                <c:pt idx="29">
                  <c:v>0.78982430570133544</c:v>
                </c:pt>
                <c:pt idx="30">
                  <c:v>0.87758256189037265</c:v>
                </c:pt>
                <c:pt idx="31">
                  <c:v>0.87758256189037265</c:v>
                </c:pt>
                <c:pt idx="32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5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8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1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4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7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0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3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6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59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  <c:pt idx="62">
                  <c:v>0.87758256189037265</c:v>
                </c:pt>
              </c:numCache>
            </c:numRef>
          </c:yVal>
          <c:smooth val="0"/>
        </c:ser>
        <c:ser>
          <c:idx val="11"/>
          <c:order val="13"/>
          <c:tx>
            <c:v>Left Axis Lines-Anions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Plot'!$AY$15:$AY$77</c:f>
              <c:numCache>
                <c:formatCode>General</c:formatCode>
                <c:ptCount val="63"/>
                <c:pt idx="3">
                  <c:v>2.15</c:v>
                </c:pt>
                <c:pt idx="4">
                  <c:v>1.25</c:v>
                </c:pt>
                <c:pt idx="6">
                  <c:v>2.1</c:v>
                </c:pt>
                <c:pt idx="7">
                  <c:v>1.3</c:v>
                </c:pt>
                <c:pt idx="9">
                  <c:v>2.0500000000000003</c:v>
                </c:pt>
                <c:pt idx="10">
                  <c:v>1.3499999999999999</c:v>
                </c:pt>
                <c:pt idx="12">
                  <c:v>2</c:v>
                </c:pt>
                <c:pt idx="13">
                  <c:v>1.4</c:v>
                </c:pt>
                <c:pt idx="15">
                  <c:v>1.95</c:v>
                </c:pt>
                <c:pt idx="16">
                  <c:v>1.45</c:v>
                </c:pt>
                <c:pt idx="18">
                  <c:v>1.9</c:v>
                </c:pt>
                <c:pt idx="19">
                  <c:v>1.5</c:v>
                </c:pt>
                <c:pt idx="21">
                  <c:v>1.8499999999999999</c:v>
                </c:pt>
                <c:pt idx="22">
                  <c:v>1.55</c:v>
                </c:pt>
                <c:pt idx="24">
                  <c:v>1.8</c:v>
                </c:pt>
                <c:pt idx="25">
                  <c:v>1.5999999999999999</c:v>
                </c:pt>
                <c:pt idx="27">
                  <c:v>1.75</c:v>
                </c:pt>
                <c:pt idx="28">
                  <c:v>1.65</c:v>
                </c:pt>
                <c:pt idx="30">
                  <c:v>1.7</c:v>
                </c:pt>
                <c:pt idx="31">
                  <c:v>1.7</c:v>
                </c:pt>
                <c:pt idx="33">
                  <c:v>1.7</c:v>
                </c:pt>
                <c:pt idx="34">
                  <c:v>1.7</c:v>
                </c:pt>
                <c:pt idx="36">
                  <c:v>1.7</c:v>
                </c:pt>
                <c:pt idx="37">
                  <c:v>1.7</c:v>
                </c:pt>
                <c:pt idx="39">
                  <c:v>1.7</c:v>
                </c:pt>
                <c:pt idx="40">
                  <c:v>1.7</c:v>
                </c:pt>
                <c:pt idx="42">
                  <c:v>1.7</c:v>
                </c:pt>
                <c:pt idx="43">
                  <c:v>1.7</c:v>
                </c:pt>
                <c:pt idx="45">
                  <c:v>1.7</c:v>
                </c:pt>
                <c:pt idx="46">
                  <c:v>1.7</c:v>
                </c:pt>
                <c:pt idx="48">
                  <c:v>1.7</c:v>
                </c:pt>
                <c:pt idx="49">
                  <c:v>1.7</c:v>
                </c:pt>
                <c:pt idx="51">
                  <c:v>1.7</c:v>
                </c:pt>
                <c:pt idx="52">
                  <c:v>1.7</c:v>
                </c:pt>
                <c:pt idx="54">
                  <c:v>1.7</c:v>
                </c:pt>
                <c:pt idx="55">
                  <c:v>1.7</c:v>
                </c:pt>
                <c:pt idx="57">
                  <c:v>1.7</c:v>
                </c:pt>
                <c:pt idx="58">
                  <c:v>1.7</c:v>
                </c:pt>
                <c:pt idx="60">
                  <c:v>1.7</c:v>
                </c:pt>
                <c:pt idx="61">
                  <c:v>1.7</c:v>
                </c:pt>
              </c:numCache>
            </c:numRef>
          </c:xVal>
          <c:yVal>
            <c:numRef>
              <c:f>'Piper Plot'!$AZ$15:$AZ$77</c:f>
              <c:numCache>
                <c:formatCode>General</c:formatCode>
                <c:ptCount val="63"/>
                <c:pt idx="3">
                  <c:v>8.7758256189037279E-2</c:v>
                </c:pt>
                <c:pt idx="4">
                  <c:v>8.7758256189037279E-2</c:v>
                </c:pt>
                <c:pt idx="6">
                  <c:v>0.17551651237807456</c:v>
                </c:pt>
                <c:pt idx="7">
                  <c:v>0.17551651237807456</c:v>
                </c:pt>
                <c:pt idx="9">
                  <c:v>0.26327476856711185</c:v>
                </c:pt>
                <c:pt idx="10">
                  <c:v>0.26327476856711185</c:v>
                </c:pt>
                <c:pt idx="12">
                  <c:v>0.35103302475614911</c:v>
                </c:pt>
                <c:pt idx="13">
                  <c:v>0.35103302475614911</c:v>
                </c:pt>
                <c:pt idx="15">
                  <c:v>0.43879128094518638</c:v>
                </c:pt>
                <c:pt idx="16">
                  <c:v>0.43879128094518638</c:v>
                </c:pt>
                <c:pt idx="18">
                  <c:v>0.52654953713422359</c:v>
                </c:pt>
                <c:pt idx="19">
                  <c:v>0.52654953713422359</c:v>
                </c:pt>
                <c:pt idx="21">
                  <c:v>0.61430779332326091</c:v>
                </c:pt>
                <c:pt idx="22">
                  <c:v>0.61430779332326091</c:v>
                </c:pt>
                <c:pt idx="24">
                  <c:v>0.70206604951229812</c:v>
                </c:pt>
                <c:pt idx="25">
                  <c:v>0.70206604951229812</c:v>
                </c:pt>
                <c:pt idx="27">
                  <c:v>0.78982430570133544</c:v>
                </c:pt>
                <c:pt idx="28">
                  <c:v>0.78982430570133544</c:v>
                </c:pt>
                <c:pt idx="30">
                  <c:v>0.87758256189037265</c:v>
                </c:pt>
                <c:pt idx="31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</c:numCache>
            </c:numRef>
          </c:yVal>
          <c:smooth val="0"/>
        </c:ser>
        <c:ser>
          <c:idx val="12"/>
          <c:order val="14"/>
          <c:tx>
            <c:v>Right Axis Lines-Anions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Plot'!$BA$15:$BA$77</c:f>
              <c:numCache>
                <c:formatCode>General</c:formatCode>
                <c:ptCount val="63"/>
                <c:pt idx="3">
                  <c:v>2.15</c:v>
                </c:pt>
                <c:pt idx="4">
                  <c:v>2.1</c:v>
                </c:pt>
                <c:pt idx="6">
                  <c:v>2.1</c:v>
                </c:pt>
                <c:pt idx="7">
                  <c:v>2</c:v>
                </c:pt>
                <c:pt idx="9">
                  <c:v>2.0500000000000003</c:v>
                </c:pt>
                <c:pt idx="10">
                  <c:v>1.9</c:v>
                </c:pt>
                <c:pt idx="12">
                  <c:v>2</c:v>
                </c:pt>
                <c:pt idx="13">
                  <c:v>1.8</c:v>
                </c:pt>
                <c:pt idx="15">
                  <c:v>1.95</c:v>
                </c:pt>
                <c:pt idx="16">
                  <c:v>1.7</c:v>
                </c:pt>
                <c:pt idx="18">
                  <c:v>1.9</c:v>
                </c:pt>
                <c:pt idx="19">
                  <c:v>1.5999999999999999</c:v>
                </c:pt>
                <c:pt idx="21">
                  <c:v>1.8499999999999999</c:v>
                </c:pt>
                <c:pt idx="22">
                  <c:v>1.5</c:v>
                </c:pt>
                <c:pt idx="24">
                  <c:v>1.8</c:v>
                </c:pt>
                <c:pt idx="25">
                  <c:v>1.4000000000000001</c:v>
                </c:pt>
                <c:pt idx="27">
                  <c:v>1.75</c:v>
                </c:pt>
                <c:pt idx="28">
                  <c:v>1.3</c:v>
                </c:pt>
                <c:pt idx="30">
                  <c:v>1.7</c:v>
                </c:pt>
                <c:pt idx="31">
                  <c:v>1.2</c:v>
                </c:pt>
                <c:pt idx="33">
                  <c:v>1.7</c:v>
                </c:pt>
                <c:pt idx="34">
                  <c:v>1.7</c:v>
                </c:pt>
                <c:pt idx="36">
                  <c:v>1.7</c:v>
                </c:pt>
                <c:pt idx="37">
                  <c:v>1.7</c:v>
                </c:pt>
                <c:pt idx="39">
                  <c:v>1.7</c:v>
                </c:pt>
                <c:pt idx="40">
                  <c:v>1.7</c:v>
                </c:pt>
                <c:pt idx="42">
                  <c:v>1.7</c:v>
                </c:pt>
                <c:pt idx="43">
                  <c:v>1.7</c:v>
                </c:pt>
                <c:pt idx="45">
                  <c:v>1.7</c:v>
                </c:pt>
                <c:pt idx="46">
                  <c:v>1.7</c:v>
                </c:pt>
                <c:pt idx="48">
                  <c:v>1.7</c:v>
                </c:pt>
                <c:pt idx="49">
                  <c:v>1.7</c:v>
                </c:pt>
                <c:pt idx="51">
                  <c:v>1.7</c:v>
                </c:pt>
                <c:pt idx="52">
                  <c:v>1.7</c:v>
                </c:pt>
                <c:pt idx="54">
                  <c:v>1.7</c:v>
                </c:pt>
                <c:pt idx="55">
                  <c:v>1.7</c:v>
                </c:pt>
                <c:pt idx="57">
                  <c:v>1.7</c:v>
                </c:pt>
                <c:pt idx="58">
                  <c:v>1.7</c:v>
                </c:pt>
                <c:pt idx="60">
                  <c:v>1.7</c:v>
                </c:pt>
                <c:pt idx="61">
                  <c:v>1.7</c:v>
                </c:pt>
              </c:numCache>
            </c:numRef>
          </c:xVal>
          <c:yVal>
            <c:numRef>
              <c:f>'Piper Plot'!$BB$15:$BB$77</c:f>
              <c:numCache>
                <c:formatCode>General</c:formatCode>
                <c:ptCount val="63"/>
                <c:pt idx="3">
                  <c:v>8.7758256189037279E-2</c:v>
                </c:pt>
                <c:pt idx="4">
                  <c:v>0</c:v>
                </c:pt>
                <c:pt idx="6">
                  <c:v>0.17551651237807456</c:v>
                </c:pt>
                <c:pt idx="7">
                  <c:v>0</c:v>
                </c:pt>
                <c:pt idx="9">
                  <c:v>0.26327476856711185</c:v>
                </c:pt>
                <c:pt idx="10">
                  <c:v>0</c:v>
                </c:pt>
                <c:pt idx="12">
                  <c:v>0.35103302475614911</c:v>
                </c:pt>
                <c:pt idx="13">
                  <c:v>0</c:v>
                </c:pt>
                <c:pt idx="15">
                  <c:v>0.43879128094518638</c:v>
                </c:pt>
                <c:pt idx="16">
                  <c:v>0</c:v>
                </c:pt>
                <c:pt idx="18">
                  <c:v>0.52654953713422359</c:v>
                </c:pt>
                <c:pt idx="19">
                  <c:v>0</c:v>
                </c:pt>
                <c:pt idx="21">
                  <c:v>0.61430779332326091</c:v>
                </c:pt>
                <c:pt idx="22">
                  <c:v>0</c:v>
                </c:pt>
                <c:pt idx="24">
                  <c:v>0.70206604951229812</c:v>
                </c:pt>
                <c:pt idx="25">
                  <c:v>0</c:v>
                </c:pt>
                <c:pt idx="27">
                  <c:v>0.78982430570133544</c:v>
                </c:pt>
                <c:pt idx="28">
                  <c:v>0</c:v>
                </c:pt>
                <c:pt idx="30">
                  <c:v>0.87758256189037265</c:v>
                </c:pt>
                <c:pt idx="31">
                  <c:v>0</c:v>
                </c:pt>
                <c:pt idx="33">
                  <c:v>0.87758256189037265</c:v>
                </c:pt>
                <c:pt idx="34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</c:numCache>
            </c:numRef>
          </c:yVal>
          <c:smooth val="0"/>
        </c:ser>
        <c:ser>
          <c:idx val="13"/>
          <c:order val="15"/>
          <c:tx>
            <c:v>Bottom Axis Lines-Anions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Plot'!$BC$15:$BC$77</c:f>
              <c:numCache>
                <c:formatCode>General</c:formatCode>
                <c:ptCount val="63"/>
                <c:pt idx="0">
                  <c:v>1.2</c:v>
                </c:pt>
                <c:pt idx="3">
                  <c:v>1.3</c:v>
                </c:pt>
                <c:pt idx="4">
                  <c:v>1.25</c:v>
                </c:pt>
                <c:pt idx="6">
                  <c:v>1.4</c:v>
                </c:pt>
                <c:pt idx="7">
                  <c:v>1.3</c:v>
                </c:pt>
                <c:pt idx="9">
                  <c:v>1.5</c:v>
                </c:pt>
                <c:pt idx="10">
                  <c:v>1.3499999999999999</c:v>
                </c:pt>
                <c:pt idx="12">
                  <c:v>1.5999999999999999</c:v>
                </c:pt>
                <c:pt idx="13">
                  <c:v>1.4</c:v>
                </c:pt>
                <c:pt idx="15">
                  <c:v>1.7</c:v>
                </c:pt>
                <c:pt idx="16">
                  <c:v>1.45</c:v>
                </c:pt>
                <c:pt idx="18">
                  <c:v>1.8</c:v>
                </c:pt>
                <c:pt idx="19">
                  <c:v>1.5</c:v>
                </c:pt>
                <c:pt idx="21">
                  <c:v>1.9</c:v>
                </c:pt>
                <c:pt idx="22">
                  <c:v>1.55</c:v>
                </c:pt>
                <c:pt idx="24">
                  <c:v>1.9999999999999998</c:v>
                </c:pt>
                <c:pt idx="25">
                  <c:v>1.5999999999999999</c:v>
                </c:pt>
                <c:pt idx="27">
                  <c:v>2.1</c:v>
                </c:pt>
                <c:pt idx="28">
                  <c:v>1.65</c:v>
                </c:pt>
                <c:pt idx="30">
                  <c:v>2.2000000000000002</c:v>
                </c:pt>
                <c:pt idx="31">
                  <c:v>1.7</c:v>
                </c:pt>
                <c:pt idx="33">
                  <c:v>1.2</c:v>
                </c:pt>
                <c:pt idx="34">
                  <c:v>1.7</c:v>
                </c:pt>
                <c:pt idx="36">
                  <c:v>1.2</c:v>
                </c:pt>
                <c:pt idx="37">
                  <c:v>1.7</c:v>
                </c:pt>
                <c:pt idx="39">
                  <c:v>1.2</c:v>
                </c:pt>
                <c:pt idx="40">
                  <c:v>1.7</c:v>
                </c:pt>
                <c:pt idx="42">
                  <c:v>1.2</c:v>
                </c:pt>
                <c:pt idx="43">
                  <c:v>1.7</c:v>
                </c:pt>
                <c:pt idx="45">
                  <c:v>1.2</c:v>
                </c:pt>
                <c:pt idx="46">
                  <c:v>1.7</c:v>
                </c:pt>
                <c:pt idx="48">
                  <c:v>1.2</c:v>
                </c:pt>
                <c:pt idx="49">
                  <c:v>1.7</c:v>
                </c:pt>
                <c:pt idx="51">
                  <c:v>1.2</c:v>
                </c:pt>
                <c:pt idx="52">
                  <c:v>1.7</c:v>
                </c:pt>
                <c:pt idx="54">
                  <c:v>1.2</c:v>
                </c:pt>
                <c:pt idx="55">
                  <c:v>1.7</c:v>
                </c:pt>
                <c:pt idx="57">
                  <c:v>1.2</c:v>
                </c:pt>
                <c:pt idx="58">
                  <c:v>1.7</c:v>
                </c:pt>
                <c:pt idx="60">
                  <c:v>1.2</c:v>
                </c:pt>
                <c:pt idx="61">
                  <c:v>1.7</c:v>
                </c:pt>
              </c:numCache>
            </c:numRef>
          </c:xVal>
          <c:yVal>
            <c:numRef>
              <c:f>'Piper Plot'!$BD$15:$BD$77</c:f>
              <c:numCache>
                <c:formatCode>General</c:formatCode>
                <c:ptCount val="63"/>
                <c:pt idx="0">
                  <c:v>0</c:v>
                </c:pt>
                <c:pt idx="3">
                  <c:v>0</c:v>
                </c:pt>
                <c:pt idx="4">
                  <c:v>8.7758256189037279E-2</c:v>
                </c:pt>
                <c:pt idx="6">
                  <c:v>0</c:v>
                </c:pt>
                <c:pt idx="7">
                  <c:v>0.17551651237807456</c:v>
                </c:pt>
                <c:pt idx="9">
                  <c:v>0</c:v>
                </c:pt>
                <c:pt idx="10">
                  <c:v>0.26327476856711185</c:v>
                </c:pt>
                <c:pt idx="12">
                  <c:v>0</c:v>
                </c:pt>
                <c:pt idx="13">
                  <c:v>0.35103302475614911</c:v>
                </c:pt>
                <c:pt idx="15">
                  <c:v>0</c:v>
                </c:pt>
                <c:pt idx="16">
                  <c:v>0.43879128094518638</c:v>
                </c:pt>
                <c:pt idx="18">
                  <c:v>0</c:v>
                </c:pt>
                <c:pt idx="19">
                  <c:v>0.52654953713422359</c:v>
                </c:pt>
                <c:pt idx="21">
                  <c:v>0</c:v>
                </c:pt>
                <c:pt idx="22">
                  <c:v>0.61430779332326091</c:v>
                </c:pt>
                <c:pt idx="24">
                  <c:v>0</c:v>
                </c:pt>
                <c:pt idx="25">
                  <c:v>0.70206604951229812</c:v>
                </c:pt>
                <c:pt idx="27">
                  <c:v>0</c:v>
                </c:pt>
                <c:pt idx="28">
                  <c:v>0.78982430570133544</c:v>
                </c:pt>
                <c:pt idx="30">
                  <c:v>0</c:v>
                </c:pt>
                <c:pt idx="31">
                  <c:v>0.87758256189037265</c:v>
                </c:pt>
                <c:pt idx="33">
                  <c:v>0</c:v>
                </c:pt>
                <c:pt idx="34">
                  <c:v>0.87758256189037265</c:v>
                </c:pt>
                <c:pt idx="36">
                  <c:v>0</c:v>
                </c:pt>
                <c:pt idx="37">
                  <c:v>0.87758256189037265</c:v>
                </c:pt>
                <c:pt idx="39">
                  <c:v>0</c:v>
                </c:pt>
                <c:pt idx="40">
                  <c:v>0.87758256189037265</c:v>
                </c:pt>
                <c:pt idx="42">
                  <c:v>0</c:v>
                </c:pt>
                <c:pt idx="43">
                  <c:v>0.87758256189037265</c:v>
                </c:pt>
                <c:pt idx="45">
                  <c:v>0</c:v>
                </c:pt>
                <c:pt idx="46">
                  <c:v>0.87758256189037265</c:v>
                </c:pt>
                <c:pt idx="48">
                  <c:v>0</c:v>
                </c:pt>
                <c:pt idx="49">
                  <c:v>0.87758256189037265</c:v>
                </c:pt>
                <c:pt idx="51">
                  <c:v>0</c:v>
                </c:pt>
                <c:pt idx="52">
                  <c:v>0.87758256189037265</c:v>
                </c:pt>
                <c:pt idx="54">
                  <c:v>0</c:v>
                </c:pt>
                <c:pt idx="55">
                  <c:v>0.87758256189037265</c:v>
                </c:pt>
                <c:pt idx="57">
                  <c:v>0</c:v>
                </c:pt>
                <c:pt idx="58">
                  <c:v>0.87758256189037265</c:v>
                </c:pt>
                <c:pt idx="60">
                  <c:v>0</c:v>
                </c:pt>
                <c:pt idx="61">
                  <c:v>0.87758256189037265</c:v>
                </c:pt>
              </c:numCache>
            </c:numRef>
          </c:yVal>
          <c:smooth val="0"/>
        </c:ser>
        <c:ser>
          <c:idx val="14"/>
          <c:order val="16"/>
          <c:tx>
            <c:v>Bottom Ticks-Anions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Plot'!$BG$15:$BG$77</c:f>
              <c:numCache>
                <c:formatCode>General</c:formatCode>
                <c:ptCount val="63"/>
                <c:pt idx="0">
                  <c:v>1.2</c:v>
                </c:pt>
                <c:pt idx="1">
                  <c:v>1.1849999999999998</c:v>
                </c:pt>
                <c:pt idx="2">
                  <c:v>1.2</c:v>
                </c:pt>
                <c:pt idx="3">
                  <c:v>1.3</c:v>
                </c:pt>
                <c:pt idx="4">
                  <c:v>1.2849999999999999</c:v>
                </c:pt>
                <c:pt idx="5">
                  <c:v>1.3</c:v>
                </c:pt>
                <c:pt idx="6">
                  <c:v>1.4</c:v>
                </c:pt>
                <c:pt idx="7">
                  <c:v>1.385</c:v>
                </c:pt>
                <c:pt idx="8">
                  <c:v>1.4</c:v>
                </c:pt>
                <c:pt idx="9">
                  <c:v>1.5</c:v>
                </c:pt>
                <c:pt idx="10">
                  <c:v>1.4849999999999999</c:v>
                </c:pt>
                <c:pt idx="11">
                  <c:v>1.5</c:v>
                </c:pt>
                <c:pt idx="12">
                  <c:v>1.5999999999999999</c:v>
                </c:pt>
                <c:pt idx="13">
                  <c:v>1.585</c:v>
                </c:pt>
                <c:pt idx="14">
                  <c:v>1.5999999999999999</c:v>
                </c:pt>
                <c:pt idx="15">
                  <c:v>1.7</c:v>
                </c:pt>
                <c:pt idx="16">
                  <c:v>1.6850000000000001</c:v>
                </c:pt>
                <c:pt idx="17">
                  <c:v>1.7</c:v>
                </c:pt>
                <c:pt idx="18">
                  <c:v>1.8</c:v>
                </c:pt>
                <c:pt idx="19">
                  <c:v>1.7849999999999999</c:v>
                </c:pt>
                <c:pt idx="20">
                  <c:v>1.8</c:v>
                </c:pt>
                <c:pt idx="21">
                  <c:v>1.9</c:v>
                </c:pt>
                <c:pt idx="22">
                  <c:v>1.8849999999999998</c:v>
                </c:pt>
                <c:pt idx="23">
                  <c:v>1.9</c:v>
                </c:pt>
                <c:pt idx="24">
                  <c:v>1.9999999999999998</c:v>
                </c:pt>
                <c:pt idx="25">
                  <c:v>1.9850000000000001</c:v>
                </c:pt>
                <c:pt idx="26">
                  <c:v>1.9999999999999998</c:v>
                </c:pt>
                <c:pt idx="27">
                  <c:v>2.1</c:v>
                </c:pt>
                <c:pt idx="28">
                  <c:v>2.0850000000000004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2.1850000000000001</c:v>
                </c:pt>
                <c:pt idx="32">
                  <c:v>2.2000000000000002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</c:numCache>
            </c:numRef>
          </c:xVal>
          <c:yVal>
            <c:numRef>
              <c:f>'Piper Plot'!$BH$15:$BH$77</c:f>
              <c:numCache>
                <c:formatCode>General</c:formatCode>
                <c:ptCount val="63"/>
                <c:pt idx="0">
                  <c:v>0</c:v>
                </c:pt>
                <c:pt idx="1">
                  <c:v>-2.632747685671118E-2</c:v>
                </c:pt>
                <c:pt idx="2">
                  <c:v>0</c:v>
                </c:pt>
                <c:pt idx="3">
                  <c:v>0</c:v>
                </c:pt>
                <c:pt idx="4">
                  <c:v>-2.632747685671118E-2</c:v>
                </c:pt>
                <c:pt idx="5">
                  <c:v>0</c:v>
                </c:pt>
                <c:pt idx="6">
                  <c:v>0</c:v>
                </c:pt>
                <c:pt idx="7">
                  <c:v>-2.632747685671118E-2</c:v>
                </c:pt>
                <c:pt idx="8">
                  <c:v>0</c:v>
                </c:pt>
                <c:pt idx="9">
                  <c:v>0</c:v>
                </c:pt>
                <c:pt idx="10">
                  <c:v>-2.632747685671118E-2</c:v>
                </c:pt>
                <c:pt idx="11">
                  <c:v>0</c:v>
                </c:pt>
                <c:pt idx="12">
                  <c:v>0</c:v>
                </c:pt>
                <c:pt idx="13">
                  <c:v>-2.632747685671118E-2</c:v>
                </c:pt>
                <c:pt idx="14">
                  <c:v>0</c:v>
                </c:pt>
                <c:pt idx="15">
                  <c:v>0</c:v>
                </c:pt>
                <c:pt idx="16">
                  <c:v>-2.632747685671118E-2</c:v>
                </c:pt>
                <c:pt idx="17">
                  <c:v>0</c:v>
                </c:pt>
                <c:pt idx="18">
                  <c:v>0</c:v>
                </c:pt>
                <c:pt idx="19">
                  <c:v>-2.632747685671118E-2</c:v>
                </c:pt>
                <c:pt idx="20">
                  <c:v>0</c:v>
                </c:pt>
                <c:pt idx="21">
                  <c:v>0</c:v>
                </c:pt>
                <c:pt idx="22">
                  <c:v>-2.632747685671118E-2</c:v>
                </c:pt>
                <c:pt idx="23">
                  <c:v>0</c:v>
                </c:pt>
                <c:pt idx="24">
                  <c:v>0</c:v>
                </c:pt>
                <c:pt idx="25">
                  <c:v>-2.632747685671118E-2</c:v>
                </c:pt>
                <c:pt idx="26">
                  <c:v>0</c:v>
                </c:pt>
                <c:pt idx="27">
                  <c:v>0</c:v>
                </c:pt>
                <c:pt idx="28">
                  <c:v>-2.632747685671118E-2</c:v>
                </c:pt>
                <c:pt idx="29">
                  <c:v>0</c:v>
                </c:pt>
                <c:pt idx="30">
                  <c:v>0</c:v>
                </c:pt>
                <c:pt idx="31">
                  <c:v>-2.632747685671118E-2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Diamond Outline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Plot'!$AO$7:$AO$11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0.60000000000000009</c:v>
                </c:pt>
                <c:pt idx="2">
                  <c:v>1.1000000000000001</c:v>
                </c:pt>
                <c:pt idx="3">
                  <c:v>1.6</c:v>
                </c:pt>
                <c:pt idx="4">
                  <c:v>1.1000000000000001</c:v>
                </c:pt>
              </c:numCache>
            </c:numRef>
          </c:xVal>
          <c:yVal>
            <c:numRef>
              <c:f>'Piper Plot'!$AP$7:$AP$11</c:f>
              <c:numCache>
                <c:formatCode>General</c:formatCode>
                <c:ptCount val="5"/>
                <c:pt idx="0">
                  <c:v>0.17551651237807456</c:v>
                </c:pt>
                <c:pt idx="1">
                  <c:v>1.0530990742684474</c:v>
                </c:pt>
                <c:pt idx="2">
                  <c:v>1.9306816361588202</c:v>
                </c:pt>
                <c:pt idx="3">
                  <c:v>1.0530990742684474</c:v>
                </c:pt>
                <c:pt idx="4">
                  <c:v>0.17551651237807456</c:v>
                </c:pt>
              </c:numCache>
            </c:numRef>
          </c:yVal>
          <c:smooth val="0"/>
        </c:ser>
        <c:ser>
          <c:idx val="17"/>
          <c:order val="18"/>
          <c:tx>
            <c:v>Right Axis Ticks-Diamond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Plot'!$BK$15:$BK$77</c:f>
              <c:numCache>
                <c:formatCode>General</c:formatCode>
                <c:ptCount val="63"/>
                <c:pt idx="0">
                  <c:v>1.6</c:v>
                </c:pt>
                <c:pt idx="1">
                  <c:v>1.6150000000000002</c:v>
                </c:pt>
                <c:pt idx="2">
                  <c:v>1.6</c:v>
                </c:pt>
                <c:pt idx="3">
                  <c:v>1.5499999999999998</c:v>
                </c:pt>
                <c:pt idx="4">
                  <c:v>1.5649999999999999</c:v>
                </c:pt>
                <c:pt idx="5">
                  <c:v>1.5499999999999998</c:v>
                </c:pt>
                <c:pt idx="6">
                  <c:v>1.5</c:v>
                </c:pt>
                <c:pt idx="7">
                  <c:v>1.5150000000000001</c:v>
                </c:pt>
                <c:pt idx="8">
                  <c:v>1.5</c:v>
                </c:pt>
                <c:pt idx="9">
                  <c:v>1.4500000000000002</c:v>
                </c:pt>
                <c:pt idx="10">
                  <c:v>1.4649999999999999</c:v>
                </c:pt>
                <c:pt idx="11">
                  <c:v>1.4500000000000002</c:v>
                </c:pt>
                <c:pt idx="12">
                  <c:v>1.4000000000000004</c:v>
                </c:pt>
                <c:pt idx="13">
                  <c:v>1.415</c:v>
                </c:pt>
                <c:pt idx="14">
                  <c:v>1.4000000000000004</c:v>
                </c:pt>
                <c:pt idx="15">
                  <c:v>1.35</c:v>
                </c:pt>
                <c:pt idx="16">
                  <c:v>1.3650000000000002</c:v>
                </c:pt>
                <c:pt idx="17">
                  <c:v>1.35</c:v>
                </c:pt>
                <c:pt idx="18">
                  <c:v>1.2999999999999998</c:v>
                </c:pt>
                <c:pt idx="19">
                  <c:v>1.3149999999999999</c:v>
                </c:pt>
                <c:pt idx="20">
                  <c:v>1.2999999999999998</c:v>
                </c:pt>
                <c:pt idx="21">
                  <c:v>1.25</c:v>
                </c:pt>
                <c:pt idx="22">
                  <c:v>1.2650000000000001</c:v>
                </c:pt>
                <c:pt idx="23">
                  <c:v>1.25</c:v>
                </c:pt>
                <c:pt idx="24">
                  <c:v>1.2000000000000002</c:v>
                </c:pt>
                <c:pt idx="25">
                  <c:v>1.2150000000000003</c:v>
                </c:pt>
                <c:pt idx="26">
                  <c:v>1.2000000000000002</c:v>
                </c:pt>
                <c:pt idx="27">
                  <c:v>1.1500000000000004</c:v>
                </c:pt>
                <c:pt idx="28">
                  <c:v>1.165</c:v>
                </c:pt>
                <c:pt idx="29">
                  <c:v>1.1500000000000004</c:v>
                </c:pt>
                <c:pt idx="30">
                  <c:v>1.1000000000000001</c:v>
                </c:pt>
                <c:pt idx="31">
                  <c:v>1.1150000000000002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</c:numCache>
            </c:numRef>
          </c:xVal>
          <c:yVal>
            <c:numRef>
              <c:f>'Piper Plot'!$BL$15:$BL$77</c:f>
              <c:numCache>
                <c:formatCode>General</c:formatCode>
                <c:ptCount val="63"/>
                <c:pt idx="0">
                  <c:v>1.0530990742684474</c:v>
                </c:pt>
                <c:pt idx="1">
                  <c:v>1.0794265511251586</c:v>
                </c:pt>
                <c:pt idx="2">
                  <c:v>1.0530990742684474</c:v>
                </c:pt>
                <c:pt idx="3">
                  <c:v>1.1408573304574845</c:v>
                </c:pt>
                <c:pt idx="4">
                  <c:v>1.1671848073141957</c:v>
                </c:pt>
                <c:pt idx="5">
                  <c:v>1.1408573304574845</c:v>
                </c:pt>
                <c:pt idx="6">
                  <c:v>1.228615586646522</c:v>
                </c:pt>
                <c:pt idx="7">
                  <c:v>1.2549430635032333</c:v>
                </c:pt>
                <c:pt idx="8">
                  <c:v>1.228615586646522</c:v>
                </c:pt>
                <c:pt idx="9">
                  <c:v>1.3163738428355591</c:v>
                </c:pt>
                <c:pt idx="10">
                  <c:v>1.3427013196922704</c:v>
                </c:pt>
                <c:pt idx="11">
                  <c:v>1.3163738428355591</c:v>
                </c:pt>
                <c:pt idx="12">
                  <c:v>1.4041320990245967</c:v>
                </c:pt>
                <c:pt idx="13">
                  <c:v>1.4304595758813079</c:v>
                </c:pt>
                <c:pt idx="14">
                  <c:v>1.4041320990245967</c:v>
                </c:pt>
                <c:pt idx="15">
                  <c:v>1.4918903552136338</c:v>
                </c:pt>
                <c:pt idx="16">
                  <c:v>1.518217832070345</c:v>
                </c:pt>
                <c:pt idx="17">
                  <c:v>1.4918903552136338</c:v>
                </c:pt>
                <c:pt idx="18">
                  <c:v>1.5796486114026709</c:v>
                </c:pt>
                <c:pt idx="19">
                  <c:v>1.6059760882593821</c:v>
                </c:pt>
                <c:pt idx="20">
                  <c:v>1.5796486114026709</c:v>
                </c:pt>
                <c:pt idx="21">
                  <c:v>1.6674068675917084</c:v>
                </c:pt>
                <c:pt idx="22">
                  <c:v>1.6937343444484196</c:v>
                </c:pt>
                <c:pt idx="23">
                  <c:v>1.6674068675917084</c:v>
                </c:pt>
                <c:pt idx="24">
                  <c:v>1.7551651237807455</c:v>
                </c:pt>
                <c:pt idx="25">
                  <c:v>1.7814926006374567</c:v>
                </c:pt>
                <c:pt idx="26">
                  <c:v>1.7551651237807455</c:v>
                </c:pt>
                <c:pt idx="27">
                  <c:v>1.8429233799697826</c:v>
                </c:pt>
                <c:pt idx="28">
                  <c:v>1.8692508568264943</c:v>
                </c:pt>
                <c:pt idx="29">
                  <c:v>1.8429233799697826</c:v>
                </c:pt>
                <c:pt idx="30">
                  <c:v>1.9306816361588202</c:v>
                </c:pt>
                <c:pt idx="31">
                  <c:v>1.9570091130155314</c:v>
                </c:pt>
                <c:pt idx="32">
                  <c:v>1.9306816361588202</c:v>
                </c:pt>
                <c:pt idx="33">
                  <c:v>1.9306816361588202</c:v>
                </c:pt>
                <c:pt idx="34">
                  <c:v>1.9306816361588202</c:v>
                </c:pt>
                <c:pt idx="35">
                  <c:v>1.9306816361588202</c:v>
                </c:pt>
                <c:pt idx="36">
                  <c:v>1.9306816361588202</c:v>
                </c:pt>
                <c:pt idx="37">
                  <c:v>1.9306816361588202</c:v>
                </c:pt>
                <c:pt idx="38">
                  <c:v>1.9306816361588202</c:v>
                </c:pt>
                <c:pt idx="39">
                  <c:v>1.9306816361588202</c:v>
                </c:pt>
                <c:pt idx="40">
                  <c:v>1.9306816361588202</c:v>
                </c:pt>
                <c:pt idx="41">
                  <c:v>1.9306816361588202</c:v>
                </c:pt>
                <c:pt idx="42">
                  <c:v>1.9306816361588202</c:v>
                </c:pt>
                <c:pt idx="43">
                  <c:v>1.9306816361588202</c:v>
                </c:pt>
                <c:pt idx="44">
                  <c:v>1.9306816361588202</c:v>
                </c:pt>
                <c:pt idx="45">
                  <c:v>1.9306816361588202</c:v>
                </c:pt>
                <c:pt idx="46">
                  <c:v>1.9306816361588202</c:v>
                </c:pt>
                <c:pt idx="47">
                  <c:v>1.9306816361588202</c:v>
                </c:pt>
                <c:pt idx="48">
                  <c:v>1.9306816361588202</c:v>
                </c:pt>
                <c:pt idx="49">
                  <c:v>1.9306816361588202</c:v>
                </c:pt>
                <c:pt idx="50">
                  <c:v>1.9306816361588202</c:v>
                </c:pt>
                <c:pt idx="51">
                  <c:v>1.9306816361588202</c:v>
                </c:pt>
                <c:pt idx="52">
                  <c:v>1.9306816361588202</c:v>
                </c:pt>
                <c:pt idx="53">
                  <c:v>1.9306816361588202</c:v>
                </c:pt>
                <c:pt idx="54">
                  <c:v>1.9306816361588202</c:v>
                </c:pt>
                <c:pt idx="55">
                  <c:v>1.9306816361588202</c:v>
                </c:pt>
                <c:pt idx="56">
                  <c:v>1.9306816361588202</c:v>
                </c:pt>
                <c:pt idx="57">
                  <c:v>1.9306816361588202</c:v>
                </c:pt>
                <c:pt idx="58">
                  <c:v>1.9306816361588202</c:v>
                </c:pt>
                <c:pt idx="59">
                  <c:v>1.9306816361588202</c:v>
                </c:pt>
                <c:pt idx="60">
                  <c:v>1.9306816361588202</c:v>
                </c:pt>
                <c:pt idx="61">
                  <c:v>1.9306816361588202</c:v>
                </c:pt>
                <c:pt idx="62">
                  <c:v>1.9306816361588202</c:v>
                </c:pt>
              </c:numCache>
            </c:numRef>
          </c:yVal>
          <c:smooth val="0"/>
        </c:ser>
        <c:ser>
          <c:idx val="18"/>
          <c:order val="19"/>
          <c:tx>
            <c:v>Left Axis Ticks-Diamond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Plot'!$BI$15:$BI$77</c:f>
              <c:numCache>
                <c:formatCode>General</c:formatCode>
                <c:ptCount val="63"/>
                <c:pt idx="0">
                  <c:v>0.60000000000000009</c:v>
                </c:pt>
                <c:pt idx="1">
                  <c:v>0.58499999999999996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0.63500000000000001</c:v>
                </c:pt>
                <c:pt idx="5">
                  <c:v>0.65000000000000013</c:v>
                </c:pt>
                <c:pt idx="6">
                  <c:v>0.70000000000000018</c:v>
                </c:pt>
                <c:pt idx="7">
                  <c:v>0.68500000000000005</c:v>
                </c:pt>
                <c:pt idx="8">
                  <c:v>0.70000000000000018</c:v>
                </c:pt>
                <c:pt idx="9">
                  <c:v>0.75</c:v>
                </c:pt>
                <c:pt idx="10">
                  <c:v>0.7350000000000001</c:v>
                </c:pt>
                <c:pt idx="11">
                  <c:v>0.75</c:v>
                </c:pt>
                <c:pt idx="12">
                  <c:v>0.8</c:v>
                </c:pt>
                <c:pt idx="13">
                  <c:v>0.78499999999999992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0.83499999999999996</c:v>
                </c:pt>
                <c:pt idx="17">
                  <c:v>0.85000000000000009</c:v>
                </c:pt>
                <c:pt idx="18">
                  <c:v>0.90000000000000013</c:v>
                </c:pt>
                <c:pt idx="19">
                  <c:v>0.88500000000000001</c:v>
                </c:pt>
                <c:pt idx="20">
                  <c:v>0.90000000000000013</c:v>
                </c:pt>
                <c:pt idx="21">
                  <c:v>0.95000000000000018</c:v>
                </c:pt>
                <c:pt idx="22">
                  <c:v>0.93499999999999983</c:v>
                </c:pt>
                <c:pt idx="23">
                  <c:v>0.95000000000000018</c:v>
                </c:pt>
                <c:pt idx="24">
                  <c:v>1</c:v>
                </c:pt>
                <c:pt idx="25">
                  <c:v>0.9850000000000001</c:v>
                </c:pt>
                <c:pt idx="26">
                  <c:v>1</c:v>
                </c:pt>
                <c:pt idx="27">
                  <c:v>1.05</c:v>
                </c:pt>
                <c:pt idx="28">
                  <c:v>1.0349999999999999</c:v>
                </c:pt>
                <c:pt idx="29">
                  <c:v>1.05</c:v>
                </c:pt>
                <c:pt idx="30">
                  <c:v>1.1000000000000001</c:v>
                </c:pt>
                <c:pt idx="31">
                  <c:v>1.085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</c:numCache>
            </c:numRef>
          </c:xVal>
          <c:yVal>
            <c:numRef>
              <c:f>'Piper Plot'!$BJ$15:$BJ$77</c:f>
              <c:numCache>
                <c:formatCode>General</c:formatCode>
                <c:ptCount val="63"/>
                <c:pt idx="0">
                  <c:v>1.0530990742684474</c:v>
                </c:pt>
                <c:pt idx="1">
                  <c:v>1.0794265511251586</c:v>
                </c:pt>
                <c:pt idx="2">
                  <c:v>1.0530990742684474</c:v>
                </c:pt>
                <c:pt idx="3">
                  <c:v>1.1408573304574845</c:v>
                </c:pt>
                <c:pt idx="4">
                  <c:v>1.1671848073141957</c:v>
                </c:pt>
                <c:pt idx="5">
                  <c:v>1.1408573304574845</c:v>
                </c:pt>
                <c:pt idx="6">
                  <c:v>1.228615586646522</c:v>
                </c:pt>
                <c:pt idx="7">
                  <c:v>1.2549430635032333</c:v>
                </c:pt>
                <c:pt idx="8">
                  <c:v>1.228615586646522</c:v>
                </c:pt>
                <c:pt idx="9">
                  <c:v>1.3163738428355591</c:v>
                </c:pt>
                <c:pt idx="10">
                  <c:v>1.3427013196922704</c:v>
                </c:pt>
                <c:pt idx="11">
                  <c:v>1.3163738428355591</c:v>
                </c:pt>
                <c:pt idx="12">
                  <c:v>1.4041320990245967</c:v>
                </c:pt>
                <c:pt idx="13">
                  <c:v>1.4304595758813079</c:v>
                </c:pt>
                <c:pt idx="14">
                  <c:v>1.4041320990245967</c:v>
                </c:pt>
                <c:pt idx="15">
                  <c:v>1.4918903552136338</c:v>
                </c:pt>
                <c:pt idx="16">
                  <c:v>1.518217832070345</c:v>
                </c:pt>
                <c:pt idx="17">
                  <c:v>1.4918903552136338</c:v>
                </c:pt>
                <c:pt idx="18">
                  <c:v>1.5796486114026709</c:v>
                </c:pt>
                <c:pt idx="19">
                  <c:v>1.6059760882593821</c:v>
                </c:pt>
                <c:pt idx="20">
                  <c:v>1.5796486114026709</c:v>
                </c:pt>
                <c:pt idx="21">
                  <c:v>1.6674068675917084</c:v>
                </c:pt>
                <c:pt idx="22">
                  <c:v>1.6937343444484196</c:v>
                </c:pt>
                <c:pt idx="23">
                  <c:v>1.6674068675917084</c:v>
                </c:pt>
                <c:pt idx="24">
                  <c:v>1.7551651237807455</c:v>
                </c:pt>
                <c:pt idx="25">
                  <c:v>1.7814926006374567</c:v>
                </c:pt>
                <c:pt idx="26">
                  <c:v>1.7551651237807455</c:v>
                </c:pt>
                <c:pt idx="27">
                  <c:v>1.8429233799697826</c:v>
                </c:pt>
                <c:pt idx="28">
                  <c:v>1.8692508568264943</c:v>
                </c:pt>
                <c:pt idx="29">
                  <c:v>1.8429233799697826</c:v>
                </c:pt>
                <c:pt idx="30">
                  <c:v>1.9306816361588202</c:v>
                </c:pt>
                <c:pt idx="31">
                  <c:v>1.9570091130155314</c:v>
                </c:pt>
                <c:pt idx="32">
                  <c:v>1.9306816361588202</c:v>
                </c:pt>
                <c:pt idx="33">
                  <c:v>1.9306816361588202</c:v>
                </c:pt>
                <c:pt idx="34">
                  <c:v>1.9306816361588202</c:v>
                </c:pt>
                <c:pt idx="35">
                  <c:v>1.9306816361588202</c:v>
                </c:pt>
                <c:pt idx="36">
                  <c:v>1.9306816361588202</c:v>
                </c:pt>
                <c:pt idx="37">
                  <c:v>1.9306816361588202</c:v>
                </c:pt>
                <c:pt idx="38">
                  <c:v>1.9306816361588202</c:v>
                </c:pt>
                <c:pt idx="39">
                  <c:v>1.9306816361588202</c:v>
                </c:pt>
                <c:pt idx="40">
                  <c:v>1.9306816361588202</c:v>
                </c:pt>
                <c:pt idx="41">
                  <c:v>1.9306816361588202</c:v>
                </c:pt>
                <c:pt idx="42">
                  <c:v>1.9306816361588202</c:v>
                </c:pt>
                <c:pt idx="43">
                  <c:v>1.9306816361588202</c:v>
                </c:pt>
                <c:pt idx="44">
                  <c:v>1.9306816361588202</c:v>
                </c:pt>
                <c:pt idx="45">
                  <c:v>1.9306816361588202</c:v>
                </c:pt>
                <c:pt idx="46">
                  <c:v>1.9306816361588202</c:v>
                </c:pt>
                <c:pt idx="47">
                  <c:v>1.9306816361588202</c:v>
                </c:pt>
                <c:pt idx="48">
                  <c:v>1.9306816361588202</c:v>
                </c:pt>
                <c:pt idx="49">
                  <c:v>1.9306816361588202</c:v>
                </c:pt>
                <c:pt idx="50">
                  <c:v>1.9306816361588202</c:v>
                </c:pt>
                <c:pt idx="51">
                  <c:v>1.9306816361588202</c:v>
                </c:pt>
                <c:pt idx="52">
                  <c:v>1.9306816361588202</c:v>
                </c:pt>
                <c:pt idx="53">
                  <c:v>1.9306816361588202</c:v>
                </c:pt>
                <c:pt idx="54">
                  <c:v>1.9306816361588202</c:v>
                </c:pt>
                <c:pt idx="55">
                  <c:v>1.9306816361588202</c:v>
                </c:pt>
                <c:pt idx="56">
                  <c:v>1.9306816361588202</c:v>
                </c:pt>
                <c:pt idx="57">
                  <c:v>1.9306816361588202</c:v>
                </c:pt>
                <c:pt idx="58">
                  <c:v>1.9306816361588202</c:v>
                </c:pt>
                <c:pt idx="59">
                  <c:v>1.9306816361588202</c:v>
                </c:pt>
                <c:pt idx="60">
                  <c:v>1.9306816361588202</c:v>
                </c:pt>
                <c:pt idx="61">
                  <c:v>1.9306816361588202</c:v>
                </c:pt>
                <c:pt idx="62">
                  <c:v>1.9306816361588202</c:v>
                </c:pt>
              </c:numCache>
            </c:numRef>
          </c:yVal>
          <c:smooth val="0"/>
        </c:ser>
        <c:ser>
          <c:idx val="19"/>
          <c:order val="20"/>
          <c:tx>
            <c:v>Left Axis Lines-Diamond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Plot'!$BM$15:$BM$77</c:f>
              <c:numCache>
                <c:formatCode>General</c:formatCode>
                <c:ptCount val="63"/>
                <c:pt idx="0">
                  <c:v>0.60000000000000009</c:v>
                </c:pt>
                <c:pt idx="1">
                  <c:v>1.1000000000000001</c:v>
                </c:pt>
                <c:pt idx="3">
                  <c:v>0.65000000000000013</c:v>
                </c:pt>
                <c:pt idx="4">
                  <c:v>1.1500000000000001</c:v>
                </c:pt>
                <c:pt idx="6">
                  <c:v>0.70000000000000018</c:v>
                </c:pt>
                <c:pt idx="7">
                  <c:v>1.2000000000000002</c:v>
                </c:pt>
                <c:pt idx="9">
                  <c:v>0.75</c:v>
                </c:pt>
                <c:pt idx="10">
                  <c:v>1.25</c:v>
                </c:pt>
                <c:pt idx="12">
                  <c:v>0.8</c:v>
                </c:pt>
                <c:pt idx="13">
                  <c:v>1.3</c:v>
                </c:pt>
                <c:pt idx="15">
                  <c:v>0.85000000000000009</c:v>
                </c:pt>
                <c:pt idx="16">
                  <c:v>1.35</c:v>
                </c:pt>
                <c:pt idx="18">
                  <c:v>0.90000000000000013</c:v>
                </c:pt>
                <c:pt idx="19">
                  <c:v>1.4000000000000001</c:v>
                </c:pt>
                <c:pt idx="21">
                  <c:v>0.95000000000000018</c:v>
                </c:pt>
                <c:pt idx="22">
                  <c:v>1.4500000000000002</c:v>
                </c:pt>
                <c:pt idx="24">
                  <c:v>1</c:v>
                </c:pt>
                <c:pt idx="25">
                  <c:v>1.5</c:v>
                </c:pt>
                <c:pt idx="27">
                  <c:v>1.05</c:v>
                </c:pt>
                <c:pt idx="28">
                  <c:v>1.55</c:v>
                </c:pt>
                <c:pt idx="30">
                  <c:v>1.1000000000000001</c:v>
                </c:pt>
                <c:pt idx="31">
                  <c:v>1.6</c:v>
                </c:pt>
                <c:pt idx="33">
                  <c:v>0.60000000000000009</c:v>
                </c:pt>
                <c:pt idx="34">
                  <c:v>0.60000000000000009</c:v>
                </c:pt>
                <c:pt idx="36">
                  <c:v>0.60000000000000009</c:v>
                </c:pt>
                <c:pt idx="37">
                  <c:v>0.60000000000000009</c:v>
                </c:pt>
                <c:pt idx="39">
                  <c:v>0.60000000000000009</c:v>
                </c:pt>
                <c:pt idx="40">
                  <c:v>0.60000000000000009</c:v>
                </c:pt>
                <c:pt idx="42">
                  <c:v>0.60000000000000009</c:v>
                </c:pt>
                <c:pt idx="43">
                  <c:v>0.60000000000000009</c:v>
                </c:pt>
                <c:pt idx="45">
                  <c:v>0.60000000000000009</c:v>
                </c:pt>
                <c:pt idx="46">
                  <c:v>0.60000000000000009</c:v>
                </c:pt>
                <c:pt idx="48">
                  <c:v>0.60000000000000009</c:v>
                </c:pt>
                <c:pt idx="49">
                  <c:v>0.60000000000000009</c:v>
                </c:pt>
                <c:pt idx="51">
                  <c:v>0.60000000000000009</c:v>
                </c:pt>
                <c:pt idx="52">
                  <c:v>0.60000000000000009</c:v>
                </c:pt>
                <c:pt idx="54">
                  <c:v>0.60000000000000009</c:v>
                </c:pt>
                <c:pt idx="55">
                  <c:v>0.60000000000000009</c:v>
                </c:pt>
                <c:pt idx="57">
                  <c:v>0.60000000000000009</c:v>
                </c:pt>
                <c:pt idx="58">
                  <c:v>0.60000000000000009</c:v>
                </c:pt>
                <c:pt idx="60">
                  <c:v>0.60000000000000009</c:v>
                </c:pt>
                <c:pt idx="61">
                  <c:v>0.60000000000000009</c:v>
                </c:pt>
              </c:numCache>
            </c:numRef>
          </c:xVal>
          <c:yVal>
            <c:numRef>
              <c:f>'Piper Plot'!$BN$15:$BN$77</c:f>
              <c:numCache>
                <c:formatCode>General</c:formatCode>
                <c:ptCount val="63"/>
                <c:pt idx="0">
                  <c:v>1.0530990742684474</c:v>
                </c:pt>
                <c:pt idx="1">
                  <c:v>0.17551651237807464</c:v>
                </c:pt>
                <c:pt idx="3">
                  <c:v>1.1408573304574845</c:v>
                </c:pt>
                <c:pt idx="4">
                  <c:v>0.26327476856711174</c:v>
                </c:pt>
                <c:pt idx="6">
                  <c:v>1.228615586646522</c:v>
                </c:pt>
                <c:pt idx="7">
                  <c:v>0.35103302475614928</c:v>
                </c:pt>
                <c:pt idx="9">
                  <c:v>1.3163738428355591</c:v>
                </c:pt>
                <c:pt idx="10">
                  <c:v>0.43879128094518638</c:v>
                </c:pt>
                <c:pt idx="12">
                  <c:v>1.4041320990245967</c:v>
                </c:pt>
                <c:pt idx="13">
                  <c:v>0.52654953713422392</c:v>
                </c:pt>
                <c:pt idx="15">
                  <c:v>1.4918903552136338</c:v>
                </c:pt>
                <c:pt idx="16">
                  <c:v>0.61430779332326102</c:v>
                </c:pt>
                <c:pt idx="18">
                  <c:v>1.5796486114026709</c:v>
                </c:pt>
                <c:pt idx="19">
                  <c:v>0.70206604951229812</c:v>
                </c:pt>
                <c:pt idx="21">
                  <c:v>1.6674068675917084</c:v>
                </c:pt>
                <c:pt idx="22">
                  <c:v>0.78982430570133566</c:v>
                </c:pt>
                <c:pt idx="24">
                  <c:v>1.7551651237807455</c:v>
                </c:pt>
                <c:pt idx="25">
                  <c:v>0.87758256189037276</c:v>
                </c:pt>
                <c:pt idx="27">
                  <c:v>1.8429233799697826</c:v>
                </c:pt>
                <c:pt idx="28">
                  <c:v>0.96534081807940986</c:v>
                </c:pt>
                <c:pt idx="30">
                  <c:v>1.9306816361588202</c:v>
                </c:pt>
                <c:pt idx="31">
                  <c:v>1.0530990742684474</c:v>
                </c:pt>
                <c:pt idx="33">
                  <c:v>1.0530990742684474</c:v>
                </c:pt>
                <c:pt idx="34">
                  <c:v>1.0530990742684474</c:v>
                </c:pt>
                <c:pt idx="36">
                  <c:v>1.0530990742684474</c:v>
                </c:pt>
                <c:pt idx="37">
                  <c:v>1.0530990742684474</c:v>
                </c:pt>
                <c:pt idx="39">
                  <c:v>1.0530990742684474</c:v>
                </c:pt>
                <c:pt idx="40">
                  <c:v>1.0530990742684474</c:v>
                </c:pt>
                <c:pt idx="42">
                  <c:v>1.0530990742684474</c:v>
                </c:pt>
                <c:pt idx="43">
                  <c:v>1.0530990742684474</c:v>
                </c:pt>
                <c:pt idx="45">
                  <c:v>1.0530990742684474</c:v>
                </c:pt>
                <c:pt idx="46">
                  <c:v>1.0530990742684474</c:v>
                </c:pt>
                <c:pt idx="48">
                  <c:v>1.0530990742684474</c:v>
                </c:pt>
                <c:pt idx="49">
                  <c:v>1.0530990742684474</c:v>
                </c:pt>
                <c:pt idx="51">
                  <c:v>1.0530990742684474</c:v>
                </c:pt>
                <c:pt idx="52">
                  <c:v>1.0530990742684474</c:v>
                </c:pt>
                <c:pt idx="54">
                  <c:v>1.0530990742684474</c:v>
                </c:pt>
                <c:pt idx="55">
                  <c:v>1.0530990742684474</c:v>
                </c:pt>
                <c:pt idx="57">
                  <c:v>1.0530990742684474</c:v>
                </c:pt>
                <c:pt idx="58">
                  <c:v>1.0530990742684474</c:v>
                </c:pt>
                <c:pt idx="60">
                  <c:v>1.0530990742684474</c:v>
                </c:pt>
                <c:pt idx="61">
                  <c:v>1.0530990742684474</c:v>
                </c:pt>
              </c:numCache>
            </c:numRef>
          </c:yVal>
          <c:smooth val="0"/>
        </c:ser>
        <c:ser>
          <c:idx val="20"/>
          <c:order val="21"/>
          <c:tx>
            <c:v>Right Axis Lines-Diamond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'Piper Plot'!$BO$15:$BO$77</c:f>
              <c:numCache>
                <c:formatCode>General</c:formatCode>
                <c:ptCount val="63"/>
                <c:pt idx="0">
                  <c:v>1.6</c:v>
                </c:pt>
                <c:pt idx="1">
                  <c:v>1.1000000000000001</c:v>
                </c:pt>
                <c:pt idx="3">
                  <c:v>1.5499999999999998</c:v>
                </c:pt>
                <c:pt idx="4">
                  <c:v>1.0499999999999998</c:v>
                </c:pt>
                <c:pt idx="6">
                  <c:v>1.5</c:v>
                </c:pt>
                <c:pt idx="7">
                  <c:v>1</c:v>
                </c:pt>
                <c:pt idx="9">
                  <c:v>1.4500000000000002</c:v>
                </c:pt>
                <c:pt idx="10">
                  <c:v>0.95000000000000018</c:v>
                </c:pt>
                <c:pt idx="12">
                  <c:v>1.4000000000000004</c:v>
                </c:pt>
                <c:pt idx="13">
                  <c:v>0.90000000000000036</c:v>
                </c:pt>
                <c:pt idx="15">
                  <c:v>1.35</c:v>
                </c:pt>
                <c:pt idx="16">
                  <c:v>0.85000000000000009</c:v>
                </c:pt>
                <c:pt idx="18">
                  <c:v>1.2999999999999998</c:v>
                </c:pt>
                <c:pt idx="19">
                  <c:v>0.79999999999999982</c:v>
                </c:pt>
                <c:pt idx="21">
                  <c:v>1.25</c:v>
                </c:pt>
                <c:pt idx="22">
                  <c:v>0.75</c:v>
                </c:pt>
                <c:pt idx="24">
                  <c:v>1.2000000000000002</c:v>
                </c:pt>
                <c:pt idx="25">
                  <c:v>0.70000000000000018</c:v>
                </c:pt>
                <c:pt idx="27">
                  <c:v>1.1500000000000004</c:v>
                </c:pt>
                <c:pt idx="28">
                  <c:v>0.65000000000000036</c:v>
                </c:pt>
                <c:pt idx="30">
                  <c:v>1.1000000000000001</c:v>
                </c:pt>
                <c:pt idx="31">
                  <c:v>0.60000000000000009</c:v>
                </c:pt>
                <c:pt idx="33">
                  <c:v>1.6</c:v>
                </c:pt>
                <c:pt idx="34">
                  <c:v>1.6</c:v>
                </c:pt>
                <c:pt idx="36">
                  <c:v>1.6</c:v>
                </c:pt>
                <c:pt idx="37">
                  <c:v>1.6</c:v>
                </c:pt>
                <c:pt idx="39">
                  <c:v>1.6</c:v>
                </c:pt>
                <c:pt idx="40">
                  <c:v>1.6</c:v>
                </c:pt>
                <c:pt idx="42">
                  <c:v>1.6</c:v>
                </c:pt>
                <c:pt idx="43">
                  <c:v>1.6</c:v>
                </c:pt>
                <c:pt idx="45">
                  <c:v>1.6</c:v>
                </c:pt>
                <c:pt idx="46">
                  <c:v>1.6</c:v>
                </c:pt>
                <c:pt idx="48">
                  <c:v>1.6</c:v>
                </c:pt>
                <c:pt idx="49">
                  <c:v>1.6</c:v>
                </c:pt>
                <c:pt idx="51">
                  <c:v>1.6</c:v>
                </c:pt>
                <c:pt idx="52">
                  <c:v>1.6</c:v>
                </c:pt>
                <c:pt idx="54">
                  <c:v>1.6</c:v>
                </c:pt>
                <c:pt idx="55">
                  <c:v>1.6</c:v>
                </c:pt>
                <c:pt idx="57">
                  <c:v>1.6</c:v>
                </c:pt>
                <c:pt idx="58">
                  <c:v>1.6</c:v>
                </c:pt>
                <c:pt idx="60">
                  <c:v>1.6</c:v>
                </c:pt>
                <c:pt idx="61">
                  <c:v>1.6</c:v>
                </c:pt>
              </c:numCache>
            </c:numRef>
          </c:xVal>
          <c:yVal>
            <c:numRef>
              <c:f>'Piper Plot'!$BP$15:$BP$77</c:f>
              <c:numCache>
                <c:formatCode>General</c:formatCode>
                <c:ptCount val="63"/>
                <c:pt idx="0">
                  <c:v>1.0530990742684474</c:v>
                </c:pt>
                <c:pt idx="1">
                  <c:v>0.17551651237807464</c:v>
                </c:pt>
                <c:pt idx="3">
                  <c:v>1.1408573304574845</c:v>
                </c:pt>
                <c:pt idx="4">
                  <c:v>0.26327476856711174</c:v>
                </c:pt>
                <c:pt idx="6">
                  <c:v>1.228615586646522</c:v>
                </c:pt>
                <c:pt idx="7">
                  <c:v>0.35103302475614928</c:v>
                </c:pt>
                <c:pt idx="9">
                  <c:v>1.3163738428355591</c:v>
                </c:pt>
                <c:pt idx="10">
                  <c:v>0.43879128094518638</c:v>
                </c:pt>
                <c:pt idx="12">
                  <c:v>1.4041320990245967</c:v>
                </c:pt>
                <c:pt idx="13">
                  <c:v>0.52654953713422392</c:v>
                </c:pt>
                <c:pt idx="15">
                  <c:v>1.4918903552136338</c:v>
                </c:pt>
                <c:pt idx="16">
                  <c:v>0.61430779332326102</c:v>
                </c:pt>
                <c:pt idx="18">
                  <c:v>1.5796486114026709</c:v>
                </c:pt>
                <c:pt idx="19">
                  <c:v>0.70206604951229812</c:v>
                </c:pt>
                <c:pt idx="21">
                  <c:v>1.6674068675917084</c:v>
                </c:pt>
                <c:pt idx="22">
                  <c:v>0.78982430570133566</c:v>
                </c:pt>
                <c:pt idx="24">
                  <c:v>1.7551651237807455</c:v>
                </c:pt>
                <c:pt idx="25">
                  <c:v>0.87758256189037276</c:v>
                </c:pt>
                <c:pt idx="27">
                  <c:v>1.8429233799697826</c:v>
                </c:pt>
                <c:pt idx="28">
                  <c:v>0.96534081807940986</c:v>
                </c:pt>
                <c:pt idx="30">
                  <c:v>1.9306816361588202</c:v>
                </c:pt>
                <c:pt idx="31">
                  <c:v>1.0530990742684474</c:v>
                </c:pt>
                <c:pt idx="33">
                  <c:v>1.0530990742684474</c:v>
                </c:pt>
                <c:pt idx="34">
                  <c:v>1.0530990742684474</c:v>
                </c:pt>
                <c:pt idx="36">
                  <c:v>1.0530990742684474</c:v>
                </c:pt>
                <c:pt idx="37">
                  <c:v>1.0530990742684474</c:v>
                </c:pt>
                <c:pt idx="39">
                  <c:v>1.0530990742684474</c:v>
                </c:pt>
                <c:pt idx="40">
                  <c:v>1.0530990742684474</c:v>
                </c:pt>
                <c:pt idx="42">
                  <c:v>1.0530990742684474</c:v>
                </c:pt>
                <c:pt idx="43">
                  <c:v>1.0530990742684474</c:v>
                </c:pt>
                <c:pt idx="45">
                  <c:v>1.0530990742684474</c:v>
                </c:pt>
                <c:pt idx="46">
                  <c:v>1.0530990742684474</c:v>
                </c:pt>
                <c:pt idx="48">
                  <c:v>1.0530990742684474</c:v>
                </c:pt>
                <c:pt idx="49">
                  <c:v>1.0530990742684474</c:v>
                </c:pt>
                <c:pt idx="51">
                  <c:v>1.0530990742684474</c:v>
                </c:pt>
                <c:pt idx="52">
                  <c:v>1.0530990742684474</c:v>
                </c:pt>
                <c:pt idx="54">
                  <c:v>1.0530990742684474</c:v>
                </c:pt>
                <c:pt idx="55">
                  <c:v>1.0530990742684474</c:v>
                </c:pt>
                <c:pt idx="57">
                  <c:v>1.0530990742684474</c:v>
                </c:pt>
                <c:pt idx="58">
                  <c:v>1.0530990742684474</c:v>
                </c:pt>
                <c:pt idx="60">
                  <c:v>1.0530990742684474</c:v>
                </c:pt>
                <c:pt idx="61">
                  <c:v>1.0530990742684474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4944"/>
        <c:axId val="103993728"/>
      </c:scatterChart>
      <c:valAx>
        <c:axId val="103874944"/>
        <c:scaling>
          <c:orientation val="minMax"/>
          <c:min val="-0.1"/>
        </c:scaling>
        <c:delete val="1"/>
        <c:axPos val="b"/>
        <c:numFmt formatCode="General" sourceLinked="1"/>
        <c:majorTickMark val="out"/>
        <c:minorTickMark val="none"/>
        <c:tickLblPos val="nextTo"/>
        <c:crossAx val="103993728"/>
        <c:crosses val="autoZero"/>
        <c:crossBetween val="midCat"/>
      </c:valAx>
      <c:valAx>
        <c:axId val="103993728"/>
        <c:scaling>
          <c:orientation val="minMax"/>
          <c:min val="-0.1"/>
        </c:scaling>
        <c:delete val="1"/>
        <c:axPos val="l"/>
        <c:numFmt formatCode="General" sourceLinked="1"/>
        <c:majorTickMark val="out"/>
        <c:minorTickMark val="none"/>
        <c:tickLblPos val="nextTo"/>
        <c:crossAx val="103874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76486176851655918"/>
          <c:y val="0.25336381339429348"/>
          <c:w val="7.0801100357504823E-2"/>
          <c:h val="0.15258433414720701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9</xdr:row>
      <xdr:rowOff>171449</xdr:rowOff>
    </xdr:from>
    <xdr:to>
      <xdr:col>20</xdr:col>
      <xdr:colOff>247650</xdr:colOff>
      <xdr:row>48</xdr:row>
      <xdr:rowOff>57150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0.19353</cdr:x>
      <cdr:y>0.58025</cdr:y>
    </cdr:from>
    <cdr:to>
      <cdr:x>0.25417</cdr:x>
      <cdr:y>0.62067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50716" y="4073291"/>
          <a:ext cx="454560" cy="2837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Mg</a:t>
          </a:r>
          <a:r>
            <a:rPr lang="en-GB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2+</a:t>
          </a:r>
        </a:p>
      </cdr:txBody>
    </cdr:sp>
  </cdr:relSizeAnchor>
  <cdr:relSizeAnchor xmlns:cdr="http://schemas.openxmlformats.org/drawingml/2006/chartDrawing">
    <cdr:from>
      <cdr:x>0.06106</cdr:x>
      <cdr:y>0.92973</cdr:y>
    </cdr:from>
    <cdr:to>
      <cdr:x>0.11876</cdr:x>
      <cdr:y>0.97015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727" y="6526621"/>
          <a:ext cx="432551" cy="2837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</a:t>
          </a:r>
          <a:r>
            <a:rPr lang="en-GB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2+</a:t>
          </a:r>
        </a:p>
      </cdr:txBody>
    </cdr:sp>
  </cdr:relSizeAnchor>
  <cdr:relSizeAnchor xmlns:cdr="http://schemas.openxmlformats.org/drawingml/2006/chartDrawing">
    <cdr:from>
      <cdr:x>0.44707</cdr:x>
      <cdr:y>0.8667</cdr:y>
    </cdr:from>
    <cdr:to>
      <cdr:x>0.54154</cdr:x>
      <cdr:y>0.9111</cdr:y>
    </cdr:to>
    <cdr:sp macro="" textlink="">
      <cdr:nvSpPr>
        <cdr:cNvPr id="6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0644" y="6141967"/>
          <a:ext cx="636178" cy="314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  <a:r>
            <a:rPr lang="en-GB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+</a:t>
          </a:r>
          <a:r>
            <a:rPr lang="en-GB" sz="1000" b="0" i="0" baseline="0">
              <a:effectLst/>
              <a:latin typeface="+mn-lt"/>
              <a:ea typeface="+mn-ea"/>
              <a:cs typeface="+mn-cs"/>
            </a:rPr>
            <a:t>+K</a:t>
          </a:r>
          <a:r>
            <a:rPr lang="en-GB" sz="1000" b="0" i="0" baseline="30000">
              <a:effectLst/>
              <a:latin typeface="+mn-lt"/>
              <a:ea typeface="+mn-ea"/>
              <a:cs typeface="+mn-cs"/>
            </a:rPr>
            <a:t>+</a:t>
          </a:r>
          <a:endParaRPr lang="en-US">
            <a:effectLst/>
          </a:endParaRPr>
        </a:p>
        <a:p xmlns:a="http://schemas.openxmlformats.org/drawingml/2006/main">
          <a:pPr algn="l" rtl="0">
            <a:defRPr sz="1000"/>
          </a:pPr>
          <a:endParaRPr lang="en-GB" sz="1000" b="0" i="0" u="none" strike="noStrike" baseline="3000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0.49527</cdr:x>
      <cdr:y>0.83921</cdr:y>
    </cdr:from>
    <cdr:to>
      <cdr:x>0.58974</cdr:x>
      <cdr:y>0.8836</cdr:y>
    </cdr:to>
    <cdr:sp macro="" textlink="">
      <cdr:nvSpPr>
        <cdr:cNvPr id="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5245" y="5947145"/>
          <a:ext cx="636177" cy="314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baseline="0">
              <a:effectLst/>
            </a:rPr>
            <a:t>HCO</a:t>
          </a:r>
          <a:r>
            <a:rPr lang="en-US" baseline="-25000">
              <a:effectLst/>
            </a:rPr>
            <a:t>3</a:t>
          </a:r>
          <a:r>
            <a:rPr lang="en-US" baseline="30000">
              <a:effectLst/>
            </a:rPr>
            <a:t>-</a:t>
          </a:r>
          <a:endParaRPr lang="en-US">
            <a:effectLst/>
          </a:endParaRPr>
        </a:p>
        <a:p xmlns:a="http://schemas.openxmlformats.org/drawingml/2006/main">
          <a:pPr algn="l" rtl="0">
            <a:defRPr sz="1000"/>
          </a:pPr>
          <a:endParaRPr lang="en-GB" sz="1000" b="0" i="0" u="none" strike="noStrike" baseline="3000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0.75486</cdr:x>
      <cdr:y>0.56574</cdr:y>
    </cdr:from>
    <cdr:to>
      <cdr:x>0.84933</cdr:x>
      <cdr:y>0.61013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3376" y="3642730"/>
          <a:ext cx="636177" cy="285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>
              <a:effectLst/>
            </a:rPr>
            <a:t>SO</a:t>
          </a:r>
          <a:r>
            <a:rPr lang="en-US" baseline="-25000">
              <a:effectLst/>
            </a:rPr>
            <a:t>4</a:t>
          </a:r>
          <a:r>
            <a:rPr lang="en-US" baseline="30000">
              <a:effectLst/>
            </a:rPr>
            <a:t>-</a:t>
          </a:r>
          <a:endParaRPr lang="en-US">
            <a:effectLst/>
          </a:endParaRPr>
        </a:p>
        <a:p xmlns:a="http://schemas.openxmlformats.org/drawingml/2006/main">
          <a:pPr algn="l" rtl="0">
            <a:defRPr sz="1000"/>
          </a:pPr>
          <a:endParaRPr lang="en-GB" sz="1000" b="0" i="0" u="none" strike="noStrike" baseline="3000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0.88139</cdr:x>
      <cdr:y>0.92536</cdr:y>
    </cdr:from>
    <cdr:to>
      <cdr:x>0.97586</cdr:x>
      <cdr:y>0.96975</cdr:y>
    </cdr:to>
    <cdr:sp macro="" textlink="">
      <cdr:nvSpPr>
        <cdr:cNvPr id="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07038" y="6495957"/>
          <a:ext cx="708162" cy="3116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baseline="0">
              <a:effectLst/>
            </a:rPr>
            <a:t>Cl</a:t>
          </a:r>
          <a:r>
            <a:rPr lang="en-US" baseline="30000">
              <a:effectLst/>
            </a:rPr>
            <a:t>-</a:t>
          </a:r>
          <a:endParaRPr lang="en-US">
            <a:effectLst/>
          </a:endParaRPr>
        </a:p>
        <a:p xmlns:a="http://schemas.openxmlformats.org/drawingml/2006/main">
          <a:pPr algn="l" rtl="0">
            <a:defRPr sz="1000"/>
          </a:pPr>
          <a:endParaRPr lang="en-GB" sz="1000" b="0" i="0" u="none" strike="noStrike" baseline="3000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0.3907</cdr:x>
      <cdr:y>0.19467</cdr:y>
    </cdr:from>
    <cdr:to>
      <cdr:x>0.48517</cdr:x>
      <cdr:y>0.23907</cdr:y>
    </cdr:to>
    <cdr:sp macro="" textlink="">
      <cdr:nvSpPr>
        <cdr:cNvPr id="1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31056" y="1379574"/>
          <a:ext cx="636177" cy="3146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>
              <a:effectLst/>
            </a:rPr>
            <a:t>SO</a:t>
          </a:r>
          <a:r>
            <a:rPr lang="en-US" baseline="-25000">
              <a:effectLst/>
            </a:rPr>
            <a:t>4</a:t>
          </a:r>
          <a:r>
            <a:rPr lang="en-US" baseline="30000">
              <a:effectLst/>
            </a:rPr>
            <a:t>-</a:t>
          </a:r>
          <a:r>
            <a:rPr lang="en-US" sz="1000">
              <a:effectLst/>
              <a:latin typeface="+mn-lt"/>
              <a:ea typeface="+mn-ea"/>
              <a:cs typeface="+mn-cs"/>
            </a:rPr>
            <a:t>+Cl</a:t>
          </a:r>
          <a:r>
            <a:rPr lang="en-US" sz="1000" baseline="30000">
              <a:effectLst/>
              <a:latin typeface="+mn-lt"/>
              <a:ea typeface="+mn-ea"/>
              <a:cs typeface="+mn-cs"/>
            </a:rPr>
            <a:t>-</a:t>
          </a:r>
          <a:endParaRPr lang="en-US">
            <a:effectLst/>
          </a:endParaRPr>
        </a:p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>
            <a:effectLst/>
          </a:endParaRPr>
        </a:p>
        <a:p xmlns:a="http://schemas.openxmlformats.org/drawingml/2006/main">
          <a:pPr algn="l" rtl="0">
            <a:defRPr sz="1000"/>
          </a:pPr>
          <a:endParaRPr lang="en-GB" sz="1000" b="0" i="0" u="none" strike="noStrike" baseline="3000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0.51115</cdr:x>
      <cdr:y>0.20138</cdr:y>
    </cdr:from>
    <cdr:to>
      <cdr:x>0.71253</cdr:x>
      <cdr:y>0.24669</cdr:y>
    </cdr:to>
    <cdr:sp macro="" textlink="">
      <cdr:nvSpPr>
        <cdr:cNvPr id="1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2206" y="1427109"/>
          <a:ext cx="1356068" cy="3210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</a:t>
          </a:r>
          <a:r>
            <a:rPr lang="en-GB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2+</a:t>
          </a:r>
          <a:r>
            <a:rPr kumimoji="0" lang="en-GB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+Mg</a:t>
          </a:r>
          <a:r>
            <a:rPr kumimoji="0" lang="en-GB" sz="1000" b="0" i="0" u="none" strike="noStrike" kern="0" cap="none" spc="0" normalizeH="0" baseline="30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2+</a:t>
          </a:r>
        </a:p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GB" sz="1000" b="0" i="0" u="none" strike="noStrike" baseline="3000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/Downloads/tri-plot_v1-4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-PLOT"/>
      <sheetName val="SHAPE"/>
      <sheetName val="SIZE"/>
    </sheetNames>
    <sheetDataSet>
      <sheetData sheetId="0"/>
      <sheetData sheetId="1"/>
      <sheetData sheetId="2">
        <row r="8">
          <cell r="L8">
            <v>0.6</v>
          </cell>
          <cell r="M8">
            <v>0.19052000000000002</v>
          </cell>
          <cell r="R8">
            <v>0.5</v>
          </cell>
          <cell r="S8">
            <v>0.95260000000000011</v>
          </cell>
        </row>
        <row r="9">
          <cell r="L9">
            <v>0.35</v>
          </cell>
          <cell r="M9">
            <v>0.28578000000000003</v>
          </cell>
          <cell r="R9">
            <v>0</v>
          </cell>
          <cell r="S9">
            <v>0</v>
          </cell>
        </row>
        <row r="10">
          <cell r="L10">
            <v>0.4</v>
          </cell>
          <cell r="M10">
            <v>0.57156000000000007</v>
          </cell>
          <cell r="R10">
            <v>1</v>
          </cell>
          <cell r="S10">
            <v>0</v>
          </cell>
        </row>
        <row r="11">
          <cell r="L11">
            <v>-1</v>
          </cell>
          <cell r="M11">
            <v>-1</v>
          </cell>
          <cell r="R11">
            <v>0.5</v>
          </cell>
          <cell r="S11">
            <v>0.95260000000000011</v>
          </cell>
        </row>
        <row r="12">
          <cell r="L12">
            <v>-1</v>
          </cell>
          <cell r="M12">
            <v>-1</v>
          </cell>
        </row>
        <row r="13">
          <cell r="L13">
            <v>-1</v>
          </cell>
          <cell r="M13">
            <v>-1</v>
          </cell>
        </row>
        <row r="14">
          <cell r="L14">
            <v>-1</v>
          </cell>
          <cell r="M14">
            <v>-1</v>
          </cell>
        </row>
        <row r="15">
          <cell r="L15">
            <v>-1</v>
          </cell>
          <cell r="M15">
            <v>-1</v>
          </cell>
        </row>
        <row r="16">
          <cell r="L16">
            <v>-1</v>
          </cell>
          <cell r="M16">
            <v>-1</v>
          </cell>
        </row>
        <row r="17">
          <cell r="L17">
            <v>-1</v>
          </cell>
          <cell r="M17">
            <v>-1</v>
          </cell>
        </row>
        <row r="18">
          <cell r="L18">
            <v>-1</v>
          </cell>
          <cell r="M18">
            <v>-1</v>
          </cell>
        </row>
        <row r="19">
          <cell r="L19">
            <v>-1</v>
          </cell>
          <cell r="M19">
            <v>-1</v>
          </cell>
        </row>
        <row r="20">
          <cell r="L20">
            <v>-1</v>
          </cell>
          <cell r="M20">
            <v>-1</v>
          </cell>
        </row>
        <row r="21">
          <cell r="L21">
            <v>-1</v>
          </cell>
          <cell r="M21">
            <v>-1</v>
          </cell>
          <cell r="R21">
            <v>0</v>
          </cell>
          <cell r="S21">
            <v>0</v>
          </cell>
          <cell r="U21">
            <v>1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I21">
            <v>0</v>
          </cell>
          <cell r="AJ21">
            <v>0</v>
          </cell>
        </row>
        <row r="22">
          <cell r="L22">
            <v>-1</v>
          </cell>
          <cell r="M22">
            <v>-1</v>
          </cell>
          <cell r="R22">
            <v>-0.03</v>
          </cell>
          <cell r="S22">
            <v>0</v>
          </cell>
          <cell r="U22">
            <v>1.0149999999999999</v>
          </cell>
          <cell r="V22">
            <v>2.8578000000000003E-2</v>
          </cell>
          <cell r="X22">
            <v>0</v>
          </cell>
          <cell r="Y22">
            <v>0</v>
          </cell>
          <cell r="AI22">
            <v>1.4999999999999999E-2</v>
          </cell>
          <cell r="AJ22">
            <v>-2.8578000000000003E-2</v>
          </cell>
        </row>
        <row r="23">
          <cell r="L23">
            <v>-1</v>
          </cell>
          <cell r="M23">
            <v>-1</v>
          </cell>
          <cell r="R23">
            <v>0</v>
          </cell>
          <cell r="S23">
            <v>0</v>
          </cell>
          <cell r="U23">
            <v>1</v>
          </cell>
          <cell r="V23">
            <v>0</v>
          </cell>
          <cell r="AI23">
            <v>0</v>
          </cell>
          <cell r="AJ23">
            <v>0</v>
          </cell>
        </row>
        <row r="24">
          <cell r="L24">
            <v>-1</v>
          </cell>
          <cell r="M24">
            <v>-1</v>
          </cell>
          <cell r="R24">
            <v>0.05</v>
          </cell>
          <cell r="S24">
            <v>9.5260000000000025E-2</v>
          </cell>
          <cell r="U24">
            <v>0.95</v>
          </cell>
          <cell r="V24">
            <v>9.5260000000000025E-2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I24">
            <v>0.1</v>
          </cell>
          <cell r="AJ24">
            <v>0</v>
          </cell>
        </row>
        <row r="25">
          <cell r="L25">
            <v>-1</v>
          </cell>
          <cell r="M25">
            <v>-1</v>
          </cell>
          <cell r="R25">
            <v>2.0000000000000004E-2</v>
          </cell>
          <cell r="S25">
            <v>9.5260000000000025E-2</v>
          </cell>
          <cell r="U25">
            <v>0.96499999999999997</v>
          </cell>
          <cell r="V25">
            <v>0.12383800000000003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I25">
            <v>0.115</v>
          </cell>
          <cell r="AJ25">
            <v>-2.8578000000000003E-2</v>
          </cell>
        </row>
        <row r="26">
          <cell r="L26">
            <v>-1</v>
          </cell>
          <cell r="M26">
            <v>-1</v>
          </cell>
          <cell r="R26">
            <v>0.05</v>
          </cell>
          <cell r="S26">
            <v>9.5260000000000025E-2</v>
          </cell>
          <cell r="U26">
            <v>0.95</v>
          </cell>
          <cell r="V26">
            <v>9.5260000000000025E-2</v>
          </cell>
          <cell r="AI26">
            <v>0.1</v>
          </cell>
          <cell r="AJ26">
            <v>0</v>
          </cell>
        </row>
        <row r="27">
          <cell r="L27">
            <v>-1</v>
          </cell>
          <cell r="M27">
            <v>-1</v>
          </cell>
          <cell r="R27">
            <v>0.1</v>
          </cell>
          <cell r="S27">
            <v>0.19052000000000005</v>
          </cell>
          <cell r="U27">
            <v>0.9</v>
          </cell>
          <cell r="V27">
            <v>0.19052000000000005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I27">
            <v>0.2</v>
          </cell>
          <cell r="AJ27">
            <v>0</v>
          </cell>
        </row>
        <row r="28">
          <cell r="L28">
            <v>-1</v>
          </cell>
          <cell r="M28">
            <v>-1</v>
          </cell>
          <cell r="R28">
            <v>7.0000000000000007E-2</v>
          </cell>
          <cell r="S28">
            <v>0.19052000000000005</v>
          </cell>
          <cell r="U28">
            <v>0.91500000000000004</v>
          </cell>
          <cell r="V28">
            <v>0.21909800000000004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I28">
            <v>0.21500000000000002</v>
          </cell>
          <cell r="AJ28">
            <v>-2.8578000000000003E-2</v>
          </cell>
        </row>
        <row r="29">
          <cell r="L29">
            <v>-1</v>
          </cell>
          <cell r="M29">
            <v>-1</v>
          </cell>
          <cell r="R29">
            <v>0.1</v>
          </cell>
          <cell r="S29">
            <v>0.19052000000000005</v>
          </cell>
          <cell r="U29">
            <v>0.9</v>
          </cell>
          <cell r="V29">
            <v>0.19052000000000005</v>
          </cell>
          <cell r="AI29">
            <v>0.2</v>
          </cell>
          <cell r="AJ29">
            <v>0</v>
          </cell>
        </row>
        <row r="30">
          <cell r="L30">
            <v>-1</v>
          </cell>
          <cell r="M30">
            <v>-1</v>
          </cell>
          <cell r="R30">
            <v>0.15000000000000002</v>
          </cell>
          <cell r="S30">
            <v>0.28578000000000003</v>
          </cell>
          <cell r="U30">
            <v>0.85</v>
          </cell>
          <cell r="V30">
            <v>0.28578000000000003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I30">
            <v>0.30000000000000004</v>
          </cell>
          <cell r="AJ30">
            <v>0</v>
          </cell>
        </row>
        <row r="31">
          <cell r="L31">
            <v>-1</v>
          </cell>
          <cell r="M31">
            <v>-1</v>
          </cell>
          <cell r="R31">
            <v>0.12000000000000002</v>
          </cell>
          <cell r="S31">
            <v>0.28578000000000003</v>
          </cell>
          <cell r="U31">
            <v>0.86499999999999999</v>
          </cell>
          <cell r="V31">
            <v>0.31435800000000003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I31">
            <v>0.31500000000000006</v>
          </cell>
          <cell r="AJ31">
            <v>-2.8578000000000003E-2</v>
          </cell>
        </row>
        <row r="32">
          <cell r="L32">
            <v>-1</v>
          </cell>
          <cell r="M32">
            <v>-1</v>
          </cell>
          <cell r="R32">
            <v>0.15000000000000002</v>
          </cell>
          <cell r="S32">
            <v>0.28578000000000003</v>
          </cell>
          <cell r="U32">
            <v>0.85</v>
          </cell>
          <cell r="V32">
            <v>0.28578000000000003</v>
          </cell>
          <cell r="AI32">
            <v>0.30000000000000004</v>
          </cell>
          <cell r="AJ32">
            <v>0</v>
          </cell>
        </row>
        <row r="33">
          <cell r="L33">
            <v>-1</v>
          </cell>
          <cell r="M33">
            <v>-1</v>
          </cell>
          <cell r="R33">
            <v>0.2</v>
          </cell>
          <cell r="S33">
            <v>0.3810400000000001</v>
          </cell>
          <cell r="U33">
            <v>0.8</v>
          </cell>
          <cell r="V33">
            <v>0.3810400000000001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I33">
            <v>0.4</v>
          </cell>
          <cell r="AJ33">
            <v>0</v>
          </cell>
        </row>
        <row r="34">
          <cell r="L34">
            <v>-1</v>
          </cell>
          <cell r="M34">
            <v>-1</v>
          </cell>
          <cell r="R34">
            <v>0.17</v>
          </cell>
          <cell r="S34">
            <v>0.3810400000000001</v>
          </cell>
          <cell r="U34">
            <v>0.81500000000000006</v>
          </cell>
          <cell r="V34">
            <v>0.40961800000000009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I34">
            <v>0.41500000000000004</v>
          </cell>
          <cell r="AJ34">
            <v>-2.8578000000000003E-2</v>
          </cell>
        </row>
        <row r="35">
          <cell r="L35">
            <v>-1</v>
          </cell>
          <cell r="M35">
            <v>-1</v>
          </cell>
          <cell r="R35">
            <v>0.2</v>
          </cell>
          <cell r="S35">
            <v>0.3810400000000001</v>
          </cell>
          <cell r="U35">
            <v>0.8</v>
          </cell>
          <cell r="V35">
            <v>0.3810400000000001</v>
          </cell>
          <cell r="AI35">
            <v>0.4</v>
          </cell>
          <cell r="AJ35">
            <v>0</v>
          </cell>
        </row>
        <row r="36">
          <cell r="L36">
            <v>-1</v>
          </cell>
          <cell r="M36">
            <v>-1</v>
          </cell>
          <cell r="R36">
            <v>0.25</v>
          </cell>
          <cell r="S36">
            <v>0.47630000000000006</v>
          </cell>
          <cell r="U36">
            <v>0.75</v>
          </cell>
          <cell r="V36">
            <v>0.47630000000000006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I36">
            <v>0.5</v>
          </cell>
          <cell r="AJ36">
            <v>0</v>
          </cell>
        </row>
        <row r="37">
          <cell r="L37">
            <v>-1</v>
          </cell>
          <cell r="M37">
            <v>-1</v>
          </cell>
          <cell r="R37">
            <v>0.22</v>
          </cell>
          <cell r="S37">
            <v>0.47630000000000006</v>
          </cell>
          <cell r="U37">
            <v>0.76500000000000001</v>
          </cell>
          <cell r="V37">
            <v>0.50487800000000005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I37">
            <v>0.51500000000000001</v>
          </cell>
          <cell r="AJ37">
            <v>-2.8578000000000003E-2</v>
          </cell>
        </row>
        <row r="38">
          <cell r="L38">
            <v>-1</v>
          </cell>
          <cell r="M38">
            <v>-1</v>
          </cell>
          <cell r="R38">
            <v>0.25</v>
          </cell>
          <cell r="S38">
            <v>0.47630000000000006</v>
          </cell>
          <cell r="U38">
            <v>0.75</v>
          </cell>
          <cell r="V38">
            <v>0.47630000000000006</v>
          </cell>
          <cell r="AI38">
            <v>0.5</v>
          </cell>
          <cell r="AJ38">
            <v>0</v>
          </cell>
        </row>
        <row r="39">
          <cell r="L39">
            <v>-1</v>
          </cell>
          <cell r="M39">
            <v>-1</v>
          </cell>
          <cell r="R39">
            <v>0.3</v>
          </cell>
          <cell r="S39">
            <v>0.57155999999999996</v>
          </cell>
          <cell r="U39">
            <v>0.7</v>
          </cell>
          <cell r="V39">
            <v>0.57155999999999996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I39">
            <v>0.6</v>
          </cell>
          <cell r="AJ39">
            <v>0</v>
          </cell>
        </row>
        <row r="40">
          <cell r="L40">
            <v>-1</v>
          </cell>
          <cell r="M40">
            <v>-1</v>
          </cell>
          <cell r="R40">
            <v>0.27</v>
          </cell>
          <cell r="S40">
            <v>0.57155999999999996</v>
          </cell>
          <cell r="U40">
            <v>0.71499999999999997</v>
          </cell>
          <cell r="V40">
            <v>0.60013799999999995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I40">
            <v>0.61499999999999999</v>
          </cell>
          <cell r="AJ40">
            <v>-2.8578000000000003E-2</v>
          </cell>
        </row>
        <row r="41">
          <cell r="L41">
            <v>-1</v>
          </cell>
          <cell r="M41">
            <v>-1</v>
          </cell>
          <cell r="R41">
            <v>0.3</v>
          </cell>
          <cell r="S41">
            <v>0.57155999999999996</v>
          </cell>
          <cell r="U41">
            <v>0.7</v>
          </cell>
          <cell r="V41">
            <v>0.57155999999999996</v>
          </cell>
          <cell r="AI41">
            <v>0.6</v>
          </cell>
          <cell r="AJ41">
            <v>0</v>
          </cell>
        </row>
        <row r="42">
          <cell r="L42">
            <v>-1</v>
          </cell>
          <cell r="M42">
            <v>-1</v>
          </cell>
          <cell r="R42">
            <v>0.35</v>
          </cell>
          <cell r="S42">
            <v>0.66681999999999997</v>
          </cell>
          <cell r="U42">
            <v>0.65</v>
          </cell>
          <cell r="V42">
            <v>0.66681999999999997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I42">
            <v>0.7</v>
          </cell>
          <cell r="AJ42">
            <v>0</v>
          </cell>
        </row>
        <row r="43">
          <cell r="L43">
            <v>-1</v>
          </cell>
          <cell r="M43">
            <v>-1</v>
          </cell>
          <cell r="R43">
            <v>0.31999999999999995</v>
          </cell>
          <cell r="S43">
            <v>0.66681999999999997</v>
          </cell>
          <cell r="U43">
            <v>0.66500000000000004</v>
          </cell>
          <cell r="V43">
            <v>0.69539799999999996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I43">
            <v>0.71499999999999997</v>
          </cell>
          <cell r="AJ43">
            <v>-2.8578000000000003E-2</v>
          </cell>
        </row>
        <row r="44">
          <cell r="L44">
            <v>-1</v>
          </cell>
          <cell r="M44">
            <v>-1</v>
          </cell>
          <cell r="R44">
            <v>0.35</v>
          </cell>
          <cell r="S44">
            <v>0.66681999999999997</v>
          </cell>
          <cell r="U44">
            <v>0.65</v>
          </cell>
          <cell r="V44">
            <v>0.66681999999999997</v>
          </cell>
          <cell r="AI44">
            <v>0.7</v>
          </cell>
          <cell r="AJ44">
            <v>0</v>
          </cell>
        </row>
        <row r="45">
          <cell r="L45">
            <v>-1</v>
          </cell>
          <cell r="M45">
            <v>-1</v>
          </cell>
          <cell r="R45">
            <v>0.39999999999999997</v>
          </cell>
          <cell r="S45">
            <v>0.76207999999999998</v>
          </cell>
          <cell r="U45">
            <v>0.60000000000000009</v>
          </cell>
          <cell r="V45">
            <v>0.76207999999999998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I45">
            <v>0.79999999999999993</v>
          </cell>
          <cell r="AJ45">
            <v>0</v>
          </cell>
        </row>
        <row r="46">
          <cell r="L46">
            <v>-1</v>
          </cell>
          <cell r="M46">
            <v>-1</v>
          </cell>
          <cell r="R46">
            <v>0.37</v>
          </cell>
          <cell r="S46">
            <v>0.76207999999999998</v>
          </cell>
          <cell r="U46">
            <v>0.6150000000000001</v>
          </cell>
          <cell r="V46">
            <v>0.79065799999999997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I46">
            <v>0.81499999999999995</v>
          </cell>
          <cell r="AJ46">
            <v>-2.8578000000000003E-2</v>
          </cell>
        </row>
        <row r="47">
          <cell r="L47">
            <v>-1</v>
          </cell>
          <cell r="M47">
            <v>-1</v>
          </cell>
          <cell r="R47">
            <v>0.39999999999999997</v>
          </cell>
          <cell r="S47">
            <v>0.76207999999999998</v>
          </cell>
          <cell r="U47">
            <v>0.60000000000000009</v>
          </cell>
          <cell r="V47">
            <v>0.76207999999999998</v>
          </cell>
          <cell r="AI47">
            <v>0.79999999999999993</v>
          </cell>
          <cell r="AJ47">
            <v>0</v>
          </cell>
        </row>
        <row r="48">
          <cell r="L48">
            <v>-1</v>
          </cell>
          <cell r="M48">
            <v>-1</v>
          </cell>
          <cell r="R48">
            <v>0.44999999999999996</v>
          </cell>
          <cell r="S48">
            <v>0.85733999999999988</v>
          </cell>
          <cell r="U48">
            <v>0.55000000000000004</v>
          </cell>
          <cell r="V48">
            <v>0.85733999999999988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I48">
            <v>0.89999999999999991</v>
          </cell>
          <cell r="AJ48">
            <v>0</v>
          </cell>
        </row>
        <row r="49">
          <cell r="L49">
            <v>-1</v>
          </cell>
          <cell r="M49">
            <v>-1</v>
          </cell>
          <cell r="R49">
            <v>0.41999999999999993</v>
          </cell>
          <cell r="S49">
            <v>0.85733999999999988</v>
          </cell>
          <cell r="U49">
            <v>0.56500000000000006</v>
          </cell>
          <cell r="V49">
            <v>0.88591799999999987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I49">
            <v>0.91499999999999992</v>
          </cell>
          <cell r="AJ49">
            <v>-2.8578000000000003E-2</v>
          </cell>
        </row>
        <row r="50">
          <cell r="L50">
            <v>-1</v>
          </cell>
          <cell r="M50">
            <v>-1</v>
          </cell>
          <cell r="R50">
            <v>0.44999999999999996</v>
          </cell>
          <cell r="S50">
            <v>0.85733999999999988</v>
          </cell>
          <cell r="U50">
            <v>0.55000000000000004</v>
          </cell>
          <cell r="V50">
            <v>0.85733999999999988</v>
          </cell>
          <cell r="AI50">
            <v>0.89999999999999991</v>
          </cell>
          <cell r="AJ50">
            <v>0</v>
          </cell>
        </row>
        <row r="51">
          <cell r="L51">
            <v>-1</v>
          </cell>
          <cell r="M51">
            <v>-1</v>
          </cell>
          <cell r="R51">
            <v>0.49999999999999994</v>
          </cell>
          <cell r="S51">
            <v>0.95259999999999989</v>
          </cell>
          <cell r="U51">
            <v>0.5</v>
          </cell>
          <cell r="V51">
            <v>0.95259999999999989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I51">
            <v>0.99999999999999989</v>
          </cell>
          <cell r="AJ51">
            <v>0</v>
          </cell>
        </row>
        <row r="52">
          <cell r="L52">
            <v>-1</v>
          </cell>
          <cell r="M52">
            <v>-1</v>
          </cell>
          <cell r="R52">
            <v>0.47</v>
          </cell>
          <cell r="S52">
            <v>0.95259999999999989</v>
          </cell>
          <cell r="U52">
            <v>0.51500000000000001</v>
          </cell>
          <cell r="V52">
            <v>0.98117799999999988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I52">
            <v>1.0149999999999999</v>
          </cell>
          <cell r="AJ52">
            <v>-2.8578000000000003E-2</v>
          </cell>
        </row>
        <row r="53">
          <cell r="L53">
            <v>-1</v>
          </cell>
          <cell r="M53">
            <v>-1</v>
          </cell>
          <cell r="R53">
            <v>0.49999999999999994</v>
          </cell>
          <cell r="S53">
            <v>0.95259999999999989</v>
          </cell>
          <cell r="U53">
            <v>0.5</v>
          </cell>
          <cell r="V53">
            <v>0.95259999999999989</v>
          </cell>
          <cell r="AI53">
            <v>0.99999999999999989</v>
          </cell>
          <cell r="AJ53">
            <v>0</v>
          </cell>
        </row>
        <row r="54">
          <cell r="L54">
            <v>-1</v>
          </cell>
          <cell r="M54">
            <v>-1</v>
          </cell>
          <cell r="R54">
            <v>0.49999999999999994</v>
          </cell>
          <cell r="S54">
            <v>0.95259999999999989</v>
          </cell>
          <cell r="U54">
            <v>0.5</v>
          </cell>
          <cell r="V54">
            <v>0.95259999999999989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I54">
            <v>0</v>
          </cell>
          <cell r="AJ54">
            <v>0</v>
          </cell>
        </row>
        <row r="55">
          <cell r="L55">
            <v>-1</v>
          </cell>
          <cell r="M55">
            <v>-1</v>
          </cell>
          <cell r="R55">
            <v>0.49999999999999994</v>
          </cell>
          <cell r="S55">
            <v>0.95259999999999989</v>
          </cell>
          <cell r="U55">
            <v>0.5</v>
          </cell>
          <cell r="V55">
            <v>0.95259999999999989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I55">
            <v>0</v>
          </cell>
          <cell r="AJ55">
            <v>0</v>
          </cell>
        </row>
        <row r="56">
          <cell r="L56">
            <v>-1</v>
          </cell>
          <cell r="M56">
            <v>-1</v>
          </cell>
          <cell r="R56">
            <v>0.49999999999999994</v>
          </cell>
          <cell r="S56">
            <v>0.95259999999999989</v>
          </cell>
          <cell r="U56">
            <v>0.5</v>
          </cell>
          <cell r="V56">
            <v>0.95259999999999989</v>
          </cell>
          <cell r="AI56">
            <v>0</v>
          </cell>
          <cell r="AJ56">
            <v>0</v>
          </cell>
        </row>
        <row r="57">
          <cell r="L57">
            <v>-1</v>
          </cell>
          <cell r="M57">
            <v>-1</v>
          </cell>
          <cell r="R57">
            <v>0.49999999999999994</v>
          </cell>
          <cell r="S57">
            <v>0.95259999999999989</v>
          </cell>
          <cell r="U57">
            <v>0.5</v>
          </cell>
          <cell r="V57">
            <v>0.95259999999999989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I57">
            <v>0</v>
          </cell>
          <cell r="AJ57">
            <v>0</v>
          </cell>
        </row>
        <row r="58">
          <cell r="L58">
            <v>-1</v>
          </cell>
          <cell r="M58">
            <v>-1</v>
          </cell>
          <cell r="R58">
            <v>0.49999999999999994</v>
          </cell>
          <cell r="S58">
            <v>0.95259999999999989</v>
          </cell>
          <cell r="U58">
            <v>0.5</v>
          </cell>
          <cell r="V58">
            <v>0.95259999999999989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I58">
            <v>0</v>
          </cell>
          <cell r="AJ58">
            <v>0</v>
          </cell>
        </row>
        <row r="59">
          <cell r="L59">
            <v>-1</v>
          </cell>
          <cell r="M59">
            <v>-1</v>
          </cell>
          <cell r="R59">
            <v>0.49999999999999994</v>
          </cell>
          <cell r="S59">
            <v>0.95259999999999989</v>
          </cell>
          <cell r="U59">
            <v>0.5</v>
          </cell>
          <cell r="V59">
            <v>0.95259999999999989</v>
          </cell>
          <cell r="AI59">
            <v>0</v>
          </cell>
          <cell r="AJ59">
            <v>0</v>
          </cell>
        </row>
        <row r="60">
          <cell r="L60">
            <v>-1</v>
          </cell>
          <cell r="M60">
            <v>-1</v>
          </cell>
          <cell r="R60">
            <v>0.49999999999999994</v>
          </cell>
          <cell r="S60">
            <v>0.95259999999999989</v>
          </cell>
          <cell r="U60">
            <v>0.5</v>
          </cell>
          <cell r="V60">
            <v>0.95259999999999989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I60">
            <v>0</v>
          </cell>
          <cell r="AJ60">
            <v>0</v>
          </cell>
        </row>
        <row r="61">
          <cell r="L61">
            <v>-1</v>
          </cell>
          <cell r="M61">
            <v>-1</v>
          </cell>
          <cell r="R61">
            <v>0.49999999999999994</v>
          </cell>
          <cell r="S61">
            <v>0.95259999999999989</v>
          </cell>
          <cell r="U61">
            <v>0.5</v>
          </cell>
          <cell r="V61">
            <v>0.95259999999999989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I61">
            <v>0</v>
          </cell>
          <cell r="AJ61">
            <v>0</v>
          </cell>
        </row>
        <row r="62">
          <cell r="L62">
            <v>-1</v>
          </cell>
          <cell r="M62">
            <v>-1</v>
          </cell>
          <cell r="R62">
            <v>0.49999999999999994</v>
          </cell>
          <cell r="S62">
            <v>0.95259999999999989</v>
          </cell>
          <cell r="U62">
            <v>0.5</v>
          </cell>
          <cell r="V62">
            <v>0.95259999999999989</v>
          </cell>
          <cell r="AI62">
            <v>0</v>
          </cell>
          <cell r="AJ62">
            <v>0</v>
          </cell>
        </row>
        <row r="63">
          <cell r="L63">
            <v>-1</v>
          </cell>
          <cell r="M63">
            <v>-1</v>
          </cell>
          <cell r="R63">
            <v>0.49999999999999994</v>
          </cell>
          <cell r="S63">
            <v>0.95259999999999989</v>
          </cell>
          <cell r="U63">
            <v>0.5</v>
          </cell>
          <cell r="V63">
            <v>0.95259999999999989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I63">
            <v>0</v>
          </cell>
          <cell r="AJ63">
            <v>0</v>
          </cell>
        </row>
        <row r="64">
          <cell r="L64">
            <v>-1</v>
          </cell>
          <cell r="M64">
            <v>-1</v>
          </cell>
          <cell r="R64">
            <v>0.49999999999999994</v>
          </cell>
          <cell r="S64">
            <v>0.95259999999999989</v>
          </cell>
          <cell r="U64">
            <v>0.5</v>
          </cell>
          <cell r="V64">
            <v>0.95259999999999989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I64">
            <v>0</v>
          </cell>
          <cell r="AJ64">
            <v>0</v>
          </cell>
        </row>
        <row r="65">
          <cell r="L65">
            <v>-1</v>
          </cell>
          <cell r="M65">
            <v>-1</v>
          </cell>
          <cell r="R65">
            <v>0.49999999999999994</v>
          </cell>
          <cell r="S65">
            <v>0.95259999999999989</v>
          </cell>
          <cell r="U65">
            <v>0.5</v>
          </cell>
          <cell r="V65">
            <v>0.95259999999999989</v>
          </cell>
          <cell r="AI65">
            <v>0</v>
          </cell>
          <cell r="AJ65">
            <v>0</v>
          </cell>
        </row>
        <row r="66">
          <cell r="L66">
            <v>-1</v>
          </cell>
          <cell r="M66">
            <v>-1</v>
          </cell>
          <cell r="R66">
            <v>0.49999999999999994</v>
          </cell>
          <cell r="S66">
            <v>0.95259999999999989</v>
          </cell>
          <cell r="U66">
            <v>0.5</v>
          </cell>
          <cell r="V66">
            <v>0.95259999999999989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I66">
            <v>0</v>
          </cell>
          <cell r="AJ66">
            <v>0</v>
          </cell>
        </row>
        <row r="67">
          <cell r="L67">
            <v>-1</v>
          </cell>
          <cell r="M67">
            <v>-1</v>
          </cell>
          <cell r="R67">
            <v>0.49999999999999994</v>
          </cell>
          <cell r="S67">
            <v>0.95259999999999989</v>
          </cell>
          <cell r="U67">
            <v>0.5</v>
          </cell>
          <cell r="V67">
            <v>0.95259999999999989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I67">
            <v>0</v>
          </cell>
          <cell r="AJ67">
            <v>0</v>
          </cell>
        </row>
        <row r="68">
          <cell r="L68">
            <v>-1</v>
          </cell>
          <cell r="M68">
            <v>-1</v>
          </cell>
          <cell r="R68">
            <v>0.49999999999999994</v>
          </cell>
          <cell r="S68">
            <v>0.95259999999999989</v>
          </cell>
          <cell r="U68">
            <v>0.5</v>
          </cell>
          <cell r="V68">
            <v>0.95259999999999989</v>
          </cell>
          <cell r="AI68">
            <v>0</v>
          </cell>
          <cell r="AJ68">
            <v>0</v>
          </cell>
        </row>
        <row r="69">
          <cell r="L69">
            <v>-1</v>
          </cell>
          <cell r="M69">
            <v>-1</v>
          </cell>
          <cell r="R69">
            <v>0.49999999999999994</v>
          </cell>
          <cell r="S69">
            <v>0.95259999999999989</v>
          </cell>
          <cell r="U69">
            <v>0.5</v>
          </cell>
          <cell r="V69">
            <v>0.95259999999999989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I69">
            <v>0</v>
          </cell>
          <cell r="AJ69">
            <v>0</v>
          </cell>
        </row>
        <row r="70">
          <cell r="L70">
            <v>-1</v>
          </cell>
          <cell r="M70">
            <v>-1</v>
          </cell>
          <cell r="R70">
            <v>0.49999999999999994</v>
          </cell>
          <cell r="S70">
            <v>0.95259999999999989</v>
          </cell>
          <cell r="U70">
            <v>0.5</v>
          </cell>
          <cell r="V70">
            <v>0.95259999999999989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I70">
            <v>0</v>
          </cell>
          <cell r="AJ70">
            <v>0</v>
          </cell>
        </row>
        <row r="71">
          <cell r="L71">
            <v>-1</v>
          </cell>
          <cell r="M71">
            <v>-1</v>
          </cell>
          <cell r="R71">
            <v>0.49999999999999994</v>
          </cell>
          <cell r="S71">
            <v>0.95259999999999989</v>
          </cell>
          <cell r="U71">
            <v>0.5</v>
          </cell>
          <cell r="V71">
            <v>0.95259999999999989</v>
          </cell>
          <cell r="AI71">
            <v>0</v>
          </cell>
          <cell r="AJ71">
            <v>0</v>
          </cell>
        </row>
        <row r="72">
          <cell r="L72">
            <v>-1</v>
          </cell>
          <cell r="M72">
            <v>-1</v>
          </cell>
          <cell r="R72">
            <v>0.49999999999999994</v>
          </cell>
          <cell r="S72">
            <v>0.95259999999999989</v>
          </cell>
          <cell r="U72">
            <v>0.5</v>
          </cell>
          <cell r="V72">
            <v>0.95259999999999989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I72">
            <v>0</v>
          </cell>
          <cell r="AJ72">
            <v>0</v>
          </cell>
        </row>
        <row r="73">
          <cell r="L73">
            <v>-1</v>
          </cell>
          <cell r="M73">
            <v>-1</v>
          </cell>
          <cell r="R73">
            <v>0.49999999999999994</v>
          </cell>
          <cell r="S73">
            <v>0.95259999999999989</v>
          </cell>
          <cell r="U73">
            <v>0.5</v>
          </cell>
          <cell r="V73">
            <v>0.95259999999999989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I73">
            <v>0</v>
          </cell>
          <cell r="AJ73">
            <v>0</v>
          </cell>
        </row>
        <row r="74">
          <cell r="L74">
            <v>-1</v>
          </cell>
          <cell r="M74">
            <v>-1</v>
          </cell>
          <cell r="R74">
            <v>0.49999999999999994</v>
          </cell>
          <cell r="S74">
            <v>0.95259999999999989</v>
          </cell>
          <cell r="U74">
            <v>0.5</v>
          </cell>
          <cell r="V74">
            <v>0.95259999999999989</v>
          </cell>
          <cell r="AI74">
            <v>0</v>
          </cell>
          <cell r="AJ74">
            <v>0</v>
          </cell>
        </row>
        <row r="75">
          <cell r="L75">
            <v>-1</v>
          </cell>
          <cell r="M75">
            <v>-1</v>
          </cell>
          <cell r="R75">
            <v>0.49999999999999994</v>
          </cell>
          <cell r="S75">
            <v>0.95259999999999989</v>
          </cell>
          <cell r="U75">
            <v>0.5</v>
          </cell>
          <cell r="V75">
            <v>0.95259999999999989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I75">
            <v>0</v>
          </cell>
          <cell r="AJ75">
            <v>0</v>
          </cell>
        </row>
        <row r="76">
          <cell r="L76">
            <v>-1</v>
          </cell>
          <cell r="M76">
            <v>-1</v>
          </cell>
          <cell r="R76">
            <v>0.49999999999999994</v>
          </cell>
          <cell r="S76">
            <v>0.95259999999999989</v>
          </cell>
          <cell r="U76">
            <v>0.5</v>
          </cell>
          <cell r="V76">
            <v>0.95259999999999989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I76">
            <v>0</v>
          </cell>
          <cell r="AJ76">
            <v>0</v>
          </cell>
        </row>
        <row r="77">
          <cell r="L77">
            <v>-1</v>
          </cell>
          <cell r="M77">
            <v>-1</v>
          </cell>
          <cell r="R77">
            <v>0.49999999999999994</v>
          </cell>
          <cell r="S77">
            <v>0.95259999999999989</v>
          </cell>
          <cell r="U77">
            <v>0.5</v>
          </cell>
          <cell r="V77">
            <v>0.95259999999999989</v>
          </cell>
          <cell r="AI77">
            <v>0</v>
          </cell>
          <cell r="AJ77">
            <v>0</v>
          </cell>
        </row>
        <row r="78">
          <cell r="L78">
            <v>-1</v>
          </cell>
          <cell r="M78">
            <v>-1</v>
          </cell>
          <cell r="R78">
            <v>0.49999999999999994</v>
          </cell>
          <cell r="S78">
            <v>0.95259999999999989</v>
          </cell>
          <cell r="U78">
            <v>0.5</v>
          </cell>
          <cell r="V78">
            <v>0.95259999999999989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I78">
            <v>0</v>
          </cell>
          <cell r="AJ78">
            <v>0</v>
          </cell>
        </row>
        <row r="79">
          <cell r="L79">
            <v>-1</v>
          </cell>
          <cell r="M79">
            <v>-1</v>
          </cell>
          <cell r="R79">
            <v>0.49999999999999994</v>
          </cell>
          <cell r="S79">
            <v>0.95259999999999989</v>
          </cell>
          <cell r="U79">
            <v>0.5</v>
          </cell>
          <cell r="V79">
            <v>0.95259999999999989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I79">
            <v>0</v>
          </cell>
          <cell r="AJ79">
            <v>0</v>
          </cell>
        </row>
        <row r="80">
          <cell r="L80">
            <v>-1</v>
          </cell>
          <cell r="M80">
            <v>-1</v>
          </cell>
          <cell r="R80">
            <v>0.49999999999999994</v>
          </cell>
          <cell r="S80">
            <v>0.95259999999999989</v>
          </cell>
          <cell r="U80">
            <v>0.5</v>
          </cell>
          <cell r="V80">
            <v>0.95259999999999989</v>
          </cell>
          <cell r="AI80">
            <v>0</v>
          </cell>
          <cell r="AJ80">
            <v>0</v>
          </cell>
        </row>
        <row r="81">
          <cell r="L81">
            <v>-1</v>
          </cell>
          <cell r="M81">
            <v>-1</v>
          </cell>
          <cell r="R81">
            <v>0.49999999999999994</v>
          </cell>
          <cell r="S81">
            <v>0.95259999999999989</v>
          </cell>
          <cell r="U81">
            <v>0.5</v>
          </cell>
          <cell r="V81">
            <v>0.95259999999999989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I81">
            <v>0</v>
          </cell>
          <cell r="AJ81">
            <v>0</v>
          </cell>
        </row>
        <row r="82">
          <cell r="L82">
            <v>-1</v>
          </cell>
          <cell r="M82">
            <v>-1</v>
          </cell>
          <cell r="R82">
            <v>0.49999999999999994</v>
          </cell>
          <cell r="S82">
            <v>0.95259999999999989</v>
          </cell>
          <cell r="U82">
            <v>0.5</v>
          </cell>
          <cell r="V82">
            <v>0.95259999999999989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I82">
            <v>0</v>
          </cell>
          <cell r="AJ82">
            <v>0</v>
          </cell>
        </row>
        <row r="83">
          <cell r="L83">
            <v>-1</v>
          </cell>
          <cell r="M83">
            <v>-1</v>
          </cell>
          <cell r="R83">
            <v>0.49999999999999994</v>
          </cell>
          <cell r="S83">
            <v>0.95259999999999989</v>
          </cell>
          <cell r="U83">
            <v>0.5</v>
          </cell>
          <cell r="V83">
            <v>0.95259999999999989</v>
          </cell>
          <cell r="AI83">
            <v>0</v>
          </cell>
          <cell r="AJ83">
            <v>0</v>
          </cell>
        </row>
        <row r="84">
          <cell r="L84">
            <v>-1</v>
          </cell>
          <cell r="M84">
            <v>-1</v>
          </cell>
        </row>
        <row r="85">
          <cell r="L85">
            <v>-1</v>
          </cell>
          <cell r="M85">
            <v>-1</v>
          </cell>
        </row>
        <row r="86">
          <cell r="L86">
            <v>-1</v>
          </cell>
          <cell r="M86">
            <v>-1</v>
          </cell>
        </row>
        <row r="87">
          <cell r="L87">
            <v>-1</v>
          </cell>
          <cell r="M87">
            <v>-1</v>
          </cell>
        </row>
        <row r="88">
          <cell r="L88">
            <v>-1</v>
          </cell>
          <cell r="M88">
            <v>-1</v>
          </cell>
        </row>
        <row r="89">
          <cell r="L89">
            <v>-1</v>
          </cell>
          <cell r="M89">
            <v>-1</v>
          </cell>
        </row>
        <row r="90">
          <cell r="L90">
            <v>-1</v>
          </cell>
          <cell r="M90">
            <v>-1</v>
          </cell>
        </row>
        <row r="91">
          <cell r="L91">
            <v>-1</v>
          </cell>
          <cell r="M91">
            <v>-1</v>
          </cell>
        </row>
        <row r="92">
          <cell r="L92">
            <v>-1</v>
          </cell>
          <cell r="M92">
            <v>-1</v>
          </cell>
        </row>
        <row r="93">
          <cell r="L93">
            <v>-1</v>
          </cell>
          <cell r="M93">
            <v>-1</v>
          </cell>
        </row>
        <row r="94">
          <cell r="L94">
            <v>-1</v>
          </cell>
          <cell r="M94">
            <v>-1</v>
          </cell>
        </row>
        <row r="95">
          <cell r="L95">
            <v>-1</v>
          </cell>
          <cell r="M95">
            <v>-1</v>
          </cell>
        </row>
        <row r="96">
          <cell r="L96">
            <v>-1</v>
          </cell>
          <cell r="M96">
            <v>-1</v>
          </cell>
        </row>
        <row r="97">
          <cell r="L97">
            <v>-1</v>
          </cell>
          <cell r="M97">
            <v>-1</v>
          </cell>
        </row>
        <row r="98">
          <cell r="L98">
            <v>-1</v>
          </cell>
          <cell r="M98">
            <v>-1</v>
          </cell>
        </row>
        <row r="99">
          <cell r="L99">
            <v>-1</v>
          </cell>
          <cell r="M99">
            <v>-1</v>
          </cell>
        </row>
        <row r="100">
          <cell r="L100">
            <v>-1</v>
          </cell>
          <cell r="M100">
            <v>-1</v>
          </cell>
        </row>
        <row r="101">
          <cell r="L101">
            <v>-1</v>
          </cell>
          <cell r="M101">
            <v>-1</v>
          </cell>
        </row>
        <row r="102">
          <cell r="L102">
            <v>-1</v>
          </cell>
          <cell r="M102">
            <v>-1</v>
          </cell>
        </row>
        <row r="103">
          <cell r="L103">
            <v>-1</v>
          </cell>
          <cell r="M103">
            <v>-1</v>
          </cell>
        </row>
        <row r="104">
          <cell r="L104">
            <v>-1</v>
          </cell>
          <cell r="M104">
            <v>-1</v>
          </cell>
        </row>
        <row r="105">
          <cell r="L105">
            <v>-1</v>
          </cell>
          <cell r="M105">
            <v>-1</v>
          </cell>
        </row>
        <row r="106">
          <cell r="L106">
            <v>-1</v>
          </cell>
          <cell r="M106">
            <v>-1</v>
          </cell>
        </row>
        <row r="107">
          <cell r="L107">
            <v>-1</v>
          </cell>
          <cell r="M107">
            <v>-1</v>
          </cell>
        </row>
        <row r="108">
          <cell r="L108">
            <v>-1</v>
          </cell>
          <cell r="M108">
            <v>-1</v>
          </cell>
        </row>
        <row r="109">
          <cell r="L109">
            <v>-1</v>
          </cell>
          <cell r="M109">
            <v>-1</v>
          </cell>
        </row>
        <row r="110">
          <cell r="L110">
            <v>-1</v>
          </cell>
          <cell r="M110">
            <v>-1</v>
          </cell>
        </row>
        <row r="111">
          <cell r="L111">
            <v>-1</v>
          </cell>
          <cell r="M111">
            <v>-1</v>
          </cell>
        </row>
        <row r="112">
          <cell r="L112">
            <v>-1</v>
          </cell>
          <cell r="M112">
            <v>-1</v>
          </cell>
        </row>
        <row r="113">
          <cell r="L113">
            <v>-1</v>
          </cell>
          <cell r="M113">
            <v>-1</v>
          </cell>
        </row>
        <row r="114">
          <cell r="L114">
            <v>-1</v>
          </cell>
          <cell r="M114">
            <v>-1</v>
          </cell>
        </row>
        <row r="115">
          <cell r="L115">
            <v>-1</v>
          </cell>
          <cell r="M115">
            <v>-1</v>
          </cell>
        </row>
        <row r="116">
          <cell r="L116">
            <v>-1</v>
          </cell>
          <cell r="M116">
            <v>-1</v>
          </cell>
        </row>
        <row r="117">
          <cell r="L117">
            <v>-1</v>
          </cell>
          <cell r="M117">
            <v>-1</v>
          </cell>
        </row>
        <row r="118">
          <cell r="L118">
            <v>-1</v>
          </cell>
          <cell r="M118">
            <v>-1</v>
          </cell>
        </row>
        <row r="119">
          <cell r="L119">
            <v>-1</v>
          </cell>
          <cell r="M119">
            <v>-1</v>
          </cell>
        </row>
        <row r="120">
          <cell r="L120">
            <v>-1</v>
          </cell>
          <cell r="M120">
            <v>-1</v>
          </cell>
        </row>
        <row r="121">
          <cell r="L121">
            <v>-1</v>
          </cell>
          <cell r="M121">
            <v>-1</v>
          </cell>
        </row>
        <row r="122">
          <cell r="L122">
            <v>-1</v>
          </cell>
          <cell r="M122">
            <v>-1</v>
          </cell>
        </row>
        <row r="123">
          <cell r="L123">
            <v>-1</v>
          </cell>
          <cell r="M123">
            <v>-1</v>
          </cell>
        </row>
        <row r="124">
          <cell r="L124">
            <v>-1</v>
          </cell>
          <cell r="M124">
            <v>-1</v>
          </cell>
        </row>
        <row r="125">
          <cell r="L125">
            <v>-1</v>
          </cell>
          <cell r="M125">
            <v>-1</v>
          </cell>
        </row>
        <row r="126">
          <cell r="L126">
            <v>-1</v>
          </cell>
          <cell r="M126">
            <v>-1</v>
          </cell>
        </row>
        <row r="127">
          <cell r="L127">
            <v>-1</v>
          </cell>
          <cell r="M127">
            <v>-1</v>
          </cell>
        </row>
        <row r="128">
          <cell r="L128">
            <v>-1</v>
          </cell>
          <cell r="M128">
            <v>-1</v>
          </cell>
        </row>
        <row r="129">
          <cell r="L129">
            <v>-1</v>
          </cell>
          <cell r="M129">
            <v>-1</v>
          </cell>
        </row>
        <row r="130">
          <cell r="L130">
            <v>-1</v>
          </cell>
          <cell r="M130">
            <v>-1</v>
          </cell>
        </row>
        <row r="131">
          <cell r="L131">
            <v>-1</v>
          </cell>
          <cell r="M131">
            <v>-1</v>
          </cell>
        </row>
        <row r="132">
          <cell r="L132">
            <v>-1</v>
          </cell>
          <cell r="M132">
            <v>-1</v>
          </cell>
        </row>
        <row r="133">
          <cell r="L133">
            <v>-1</v>
          </cell>
          <cell r="M133">
            <v>-1</v>
          </cell>
        </row>
        <row r="134">
          <cell r="L134">
            <v>-1</v>
          </cell>
          <cell r="M134">
            <v>-1</v>
          </cell>
        </row>
        <row r="135">
          <cell r="L135">
            <v>-1</v>
          </cell>
          <cell r="M135">
            <v>-1</v>
          </cell>
        </row>
        <row r="136">
          <cell r="L136">
            <v>-1</v>
          </cell>
          <cell r="M136">
            <v>-1</v>
          </cell>
        </row>
        <row r="137">
          <cell r="L137">
            <v>-1</v>
          </cell>
          <cell r="M137">
            <v>-1</v>
          </cell>
        </row>
        <row r="138">
          <cell r="L138">
            <v>-1</v>
          </cell>
          <cell r="M138">
            <v>-1</v>
          </cell>
        </row>
        <row r="139">
          <cell r="L139">
            <v>-1</v>
          </cell>
          <cell r="M139">
            <v>-1</v>
          </cell>
        </row>
        <row r="140">
          <cell r="L140">
            <v>-1</v>
          </cell>
          <cell r="M140">
            <v>-1</v>
          </cell>
        </row>
        <row r="141">
          <cell r="L141">
            <v>-1</v>
          </cell>
          <cell r="M141">
            <v>-1</v>
          </cell>
        </row>
        <row r="142">
          <cell r="L142">
            <v>-1</v>
          </cell>
          <cell r="M142">
            <v>-1</v>
          </cell>
        </row>
        <row r="143">
          <cell r="L143">
            <v>-1</v>
          </cell>
          <cell r="M143">
            <v>-1</v>
          </cell>
        </row>
        <row r="144">
          <cell r="L144">
            <v>-1</v>
          </cell>
          <cell r="M144">
            <v>-1</v>
          </cell>
        </row>
        <row r="145">
          <cell r="L145">
            <v>-1</v>
          </cell>
          <cell r="M145">
            <v>-1</v>
          </cell>
        </row>
        <row r="146">
          <cell r="L146">
            <v>-1</v>
          </cell>
          <cell r="M146">
            <v>-1</v>
          </cell>
        </row>
        <row r="147">
          <cell r="L147">
            <v>-1</v>
          </cell>
          <cell r="M147">
            <v>-1</v>
          </cell>
        </row>
        <row r="148">
          <cell r="L148">
            <v>-1</v>
          </cell>
          <cell r="M148">
            <v>-1</v>
          </cell>
        </row>
        <row r="149">
          <cell r="L149">
            <v>-1</v>
          </cell>
          <cell r="M149">
            <v>-1</v>
          </cell>
        </row>
        <row r="150">
          <cell r="L150">
            <v>-1</v>
          </cell>
          <cell r="M150">
            <v>-1</v>
          </cell>
        </row>
        <row r="151">
          <cell r="L151">
            <v>-1</v>
          </cell>
          <cell r="M151">
            <v>-1</v>
          </cell>
        </row>
        <row r="152">
          <cell r="L152">
            <v>-1</v>
          </cell>
          <cell r="M152">
            <v>-1</v>
          </cell>
        </row>
        <row r="153">
          <cell r="L153">
            <v>-1</v>
          </cell>
          <cell r="M153">
            <v>-1</v>
          </cell>
        </row>
        <row r="154">
          <cell r="L154">
            <v>-1</v>
          </cell>
          <cell r="M154">
            <v>-1</v>
          </cell>
        </row>
        <row r="155">
          <cell r="L155">
            <v>-1</v>
          </cell>
          <cell r="M155">
            <v>-1</v>
          </cell>
        </row>
        <row r="156">
          <cell r="L156">
            <v>-1</v>
          </cell>
          <cell r="M156">
            <v>-1</v>
          </cell>
        </row>
        <row r="157">
          <cell r="L157">
            <v>-1</v>
          </cell>
          <cell r="M157">
            <v>-1</v>
          </cell>
        </row>
        <row r="158">
          <cell r="L158">
            <v>-1</v>
          </cell>
          <cell r="M158">
            <v>-1</v>
          </cell>
        </row>
        <row r="159">
          <cell r="L159">
            <v>-1</v>
          </cell>
          <cell r="M159">
            <v>-1</v>
          </cell>
        </row>
        <row r="160">
          <cell r="L160">
            <v>-1</v>
          </cell>
          <cell r="M160">
            <v>-1</v>
          </cell>
        </row>
        <row r="161">
          <cell r="L161">
            <v>-1</v>
          </cell>
          <cell r="M161">
            <v>-1</v>
          </cell>
        </row>
        <row r="162">
          <cell r="L162">
            <v>-1</v>
          </cell>
          <cell r="M162">
            <v>-1</v>
          </cell>
        </row>
        <row r="163">
          <cell r="L163">
            <v>-1</v>
          </cell>
          <cell r="M163">
            <v>-1</v>
          </cell>
        </row>
        <row r="164">
          <cell r="L164">
            <v>-1</v>
          </cell>
          <cell r="M164">
            <v>-1</v>
          </cell>
        </row>
        <row r="165">
          <cell r="L165">
            <v>-1</v>
          </cell>
          <cell r="M165">
            <v>-1</v>
          </cell>
        </row>
        <row r="166">
          <cell r="L166">
            <v>-1</v>
          </cell>
          <cell r="M166">
            <v>-1</v>
          </cell>
        </row>
        <row r="167">
          <cell r="L167">
            <v>-1</v>
          </cell>
          <cell r="M167">
            <v>-1</v>
          </cell>
        </row>
        <row r="168">
          <cell r="L168">
            <v>-1</v>
          </cell>
          <cell r="M168">
            <v>-1</v>
          </cell>
        </row>
        <row r="169">
          <cell r="L169">
            <v>-1</v>
          </cell>
          <cell r="M169">
            <v>-1</v>
          </cell>
        </row>
        <row r="170">
          <cell r="L170">
            <v>-1</v>
          </cell>
          <cell r="M170">
            <v>-1</v>
          </cell>
        </row>
        <row r="171">
          <cell r="L171">
            <v>-1</v>
          </cell>
          <cell r="M171">
            <v>-1</v>
          </cell>
        </row>
        <row r="172">
          <cell r="L172">
            <v>-1</v>
          </cell>
          <cell r="M172">
            <v>-1</v>
          </cell>
        </row>
        <row r="173">
          <cell r="L173">
            <v>-1</v>
          </cell>
          <cell r="M173">
            <v>-1</v>
          </cell>
        </row>
        <row r="174">
          <cell r="L174">
            <v>-1</v>
          </cell>
          <cell r="M174">
            <v>-1</v>
          </cell>
        </row>
        <row r="175">
          <cell r="L175">
            <v>-1</v>
          </cell>
          <cell r="M175">
            <v>-1</v>
          </cell>
        </row>
        <row r="176">
          <cell r="L176">
            <v>-1</v>
          </cell>
          <cell r="M176">
            <v>-1</v>
          </cell>
        </row>
        <row r="177">
          <cell r="L177">
            <v>-1</v>
          </cell>
          <cell r="M177">
            <v>-1</v>
          </cell>
        </row>
        <row r="178">
          <cell r="L178">
            <v>-1</v>
          </cell>
          <cell r="M178">
            <v>-1</v>
          </cell>
        </row>
        <row r="179">
          <cell r="L179">
            <v>-1</v>
          </cell>
          <cell r="M179">
            <v>-1</v>
          </cell>
        </row>
        <row r="180">
          <cell r="L180">
            <v>-1</v>
          </cell>
          <cell r="M180">
            <v>-1</v>
          </cell>
        </row>
        <row r="181">
          <cell r="L181">
            <v>-1</v>
          </cell>
          <cell r="M181">
            <v>-1</v>
          </cell>
        </row>
        <row r="182">
          <cell r="L182">
            <v>-1</v>
          </cell>
          <cell r="M182">
            <v>-1</v>
          </cell>
        </row>
        <row r="183">
          <cell r="L183">
            <v>-1</v>
          </cell>
          <cell r="M183">
            <v>-1</v>
          </cell>
        </row>
        <row r="184">
          <cell r="L184">
            <v>-1</v>
          </cell>
          <cell r="M184">
            <v>-1</v>
          </cell>
        </row>
        <row r="185">
          <cell r="L185">
            <v>-1</v>
          </cell>
          <cell r="M185">
            <v>-1</v>
          </cell>
        </row>
        <row r="186">
          <cell r="L186">
            <v>-1</v>
          </cell>
          <cell r="M186">
            <v>-1</v>
          </cell>
        </row>
        <row r="187">
          <cell r="L187">
            <v>-1</v>
          </cell>
          <cell r="M187">
            <v>-1</v>
          </cell>
        </row>
        <row r="188">
          <cell r="L188">
            <v>-1</v>
          </cell>
          <cell r="M188">
            <v>-1</v>
          </cell>
        </row>
        <row r="189">
          <cell r="L189">
            <v>-1</v>
          </cell>
          <cell r="M189">
            <v>-1</v>
          </cell>
        </row>
        <row r="190">
          <cell r="L190">
            <v>-1</v>
          </cell>
          <cell r="M190">
            <v>-1</v>
          </cell>
        </row>
        <row r="191">
          <cell r="L191">
            <v>-1</v>
          </cell>
          <cell r="M191">
            <v>-1</v>
          </cell>
        </row>
        <row r="192">
          <cell r="L192">
            <v>-1</v>
          </cell>
          <cell r="M192">
            <v>-1</v>
          </cell>
        </row>
        <row r="193">
          <cell r="L193">
            <v>-1</v>
          </cell>
          <cell r="M193">
            <v>-1</v>
          </cell>
        </row>
        <row r="194">
          <cell r="L194">
            <v>-1</v>
          </cell>
          <cell r="M194">
            <v>-1</v>
          </cell>
        </row>
        <row r="195">
          <cell r="L195">
            <v>-1</v>
          </cell>
          <cell r="M195">
            <v>-1</v>
          </cell>
        </row>
        <row r="196">
          <cell r="L196">
            <v>-1</v>
          </cell>
          <cell r="M196">
            <v>-1</v>
          </cell>
        </row>
        <row r="197">
          <cell r="L197">
            <v>-1</v>
          </cell>
          <cell r="M197">
            <v>-1</v>
          </cell>
        </row>
        <row r="198">
          <cell r="L198">
            <v>-1</v>
          </cell>
          <cell r="M198">
            <v>-1</v>
          </cell>
        </row>
        <row r="199">
          <cell r="L199">
            <v>-1</v>
          </cell>
          <cell r="M199">
            <v>-1</v>
          </cell>
        </row>
        <row r="200">
          <cell r="L200">
            <v>-1</v>
          </cell>
          <cell r="M200">
            <v>-1</v>
          </cell>
        </row>
        <row r="201">
          <cell r="L201">
            <v>-1</v>
          </cell>
          <cell r="M201">
            <v>-1</v>
          </cell>
        </row>
        <row r="202">
          <cell r="L202">
            <v>-1</v>
          </cell>
          <cell r="M202">
            <v>-1</v>
          </cell>
        </row>
        <row r="203">
          <cell r="L203">
            <v>-1</v>
          </cell>
          <cell r="M203">
            <v>-1</v>
          </cell>
        </row>
        <row r="204">
          <cell r="L204">
            <v>-1</v>
          </cell>
          <cell r="M204">
            <v>-1</v>
          </cell>
        </row>
        <row r="205">
          <cell r="L205">
            <v>-1</v>
          </cell>
          <cell r="M205">
            <v>-1</v>
          </cell>
        </row>
        <row r="206">
          <cell r="L206">
            <v>-1</v>
          </cell>
          <cell r="M206">
            <v>-1</v>
          </cell>
        </row>
        <row r="207">
          <cell r="L207">
            <v>-1</v>
          </cell>
          <cell r="M207">
            <v>-1</v>
          </cell>
        </row>
        <row r="208">
          <cell r="L208">
            <v>-1</v>
          </cell>
          <cell r="M208">
            <v>-1</v>
          </cell>
        </row>
        <row r="209">
          <cell r="L209">
            <v>-1</v>
          </cell>
          <cell r="M209">
            <v>-1</v>
          </cell>
        </row>
        <row r="210">
          <cell r="L210">
            <v>-1</v>
          </cell>
          <cell r="M210">
            <v>-1</v>
          </cell>
        </row>
        <row r="211">
          <cell r="L211">
            <v>-1</v>
          </cell>
          <cell r="M211">
            <v>-1</v>
          </cell>
        </row>
        <row r="212">
          <cell r="L212">
            <v>-1</v>
          </cell>
          <cell r="M212">
            <v>-1</v>
          </cell>
        </row>
        <row r="213">
          <cell r="L213">
            <v>-1</v>
          </cell>
          <cell r="M213">
            <v>-1</v>
          </cell>
        </row>
        <row r="214">
          <cell r="L214">
            <v>-1</v>
          </cell>
          <cell r="M214">
            <v>-1</v>
          </cell>
        </row>
        <row r="215">
          <cell r="L215">
            <v>-1</v>
          </cell>
          <cell r="M215">
            <v>-1</v>
          </cell>
        </row>
        <row r="216">
          <cell r="L216">
            <v>-1</v>
          </cell>
          <cell r="M216">
            <v>-1</v>
          </cell>
        </row>
        <row r="217">
          <cell r="L217">
            <v>-1</v>
          </cell>
          <cell r="M217">
            <v>-1</v>
          </cell>
        </row>
        <row r="218">
          <cell r="L218">
            <v>-1</v>
          </cell>
          <cell r="M218">
            <v>-1</v>
          </cell>
        </row>
        <row r="219">
          <cell r="L219">
            <v>-1</v>
          </cell>
          <cell r="M219">
            <v>-1</v>
          </cell>
        </row>
        <row r="220">
          <cell r="L220">
            <v>-1</v>
          </cell>
          <cell r="M220">
            <v>-1</v>
          </cell>
        </row>
        <row r="221">
          <cell r="L221">
            <v>-1</v>
          </cell>
          <cell r="M221">
            <v>-1</v>
          </cell>
        </row>
        <row r="222">
          <cell r="L222">
            <v>-1</v>
          </cell>
          <cell r="M222">
            <v>-1</v>
          </cell>
        </row>
        <row r="223">
          <cell r="L223">
            <v>-1</v>
          </cell>
          <cell r="M223">
            <v>-1</v>
          </cell>
        </row>
        <row r="224">
          <cell r="L224">
            <v>-1</v>
          </cell>
          <cell r="M224">
            <v>-1</v>
          </cell>
        </row>
        <row r="225">
          <cell r="L225">
            <v>-1</v>
          </cell>
          <cell r="M225">
            <v>-1</v>
          </cell>
        </row>
        <row r="226">
          <cell r="L226">
            <v>-1</v>
          </cell>
          <cell r="M226">
            <v>-1</v>
          </cell>
        </row>
        <row r="227">
          <cell r="L227">
            <v>-1</v>
          </cell>
          <cell r="M227">
            <v>-1</v>
          </cell>
        </row>
        <row r="228">
          <cell r="L228">
            <v>-1</v>
          </cell>
          <cell r="M228">
            <v>-1</v>
          </cell>
        </row>
        <row r="229">
          <cell r="L229">
            <v>-1</v>
          </cell>
          <cell r="M229">
            <v>-1</v>
          </cell>
        </row>
        <row r="230">
          <cell r="L230">
            <v>-1</v>
          </cell>
          <cell r="M230">
            <v>-1</v>
          </cell>
        </row>
        <row r="231">
          <cell r="L231">
            <v>-1</v>
          </cell>
          <cell r="M231">
            <v>-1</v>
          </cell>
        </row>
        <row r="232">
          <cell r="L232">
            <v>-1</v>
          </cell>
          <cell r="M232">
            <v>-1</v>
          </cell>
        </row>
        <row r="233">
          <cell r="L233">
            <v>-1</v>
          </cell>
          <cell r="M233">
            <v>-1</v>
          </cell>
        </row>
        <row r="234">
          <cell r="L234">
            <v>-1</v>
          </cell>
          <cell r="M234">
            <v>-1</v>
          </cell>
        </row>
        <row r="235">
          <cell r="L235">
            <v>-1</v>
          </cell>
          <cell r="M235">
            <v>-1</v>
          </cell>
        </row>
        <row r="236">
          <cell r="L236">
            <v>-1</v>
          </cell>
          <cell r="M236">
            <v>-1</v>
          </cell>
        </row>
        <row r="237">
          <cell r="L237">
            <v>-1</v>
          </cell>
          <cell r="M237">
            <v>-1</v>
          </cell>
        </row>
        <row r="238">
          <cell r="L238">
            <v>-1</v>
          </cell>
          <cell r="M238">
            <v>-1</v>
          </cell>
        </row>
        <row r="239">
          <cell r="L239">
            <v>-1</v>
          </cell>
          <cell r="M239">
            <v>-1</v>
          </cell>
        </row>
        <row r="240">
          <cell r="L240">
            <v>-1</v>
          </cell>
          <cell r="M240">
            <v>-1</v>
          </cell>
        </row>
        <row r="241">
          <cell r="L241">
            <v>-1</v>
          </cell>
          <cell r="M241">
            <v>-1</v>
          </cell>
        </row>
        <row r="242">
          <cell r="L242">
            <v>-1</v>
          </cell>
          <cell r="M242">
            <v>-1</v>
          </cell>
        </row>
        <row r="243">
          <cell r="L243">
            <v>-1</v>
          </cell>
          <cell r="M243">
            <v>-1</v>
          </cell>
        </row>
        <row r="244">
          <cell r="L244">
            <v>-1</v>
          </cell>
          <cell r="M244">
            <v>-1</v>
          </cell>
        </row>
        <row r="245">
          <cell r="L245">
            <v>-1</v>
          </cell>
          <cell r="M245">
            <v>-1</v>
          </cell>
        </row>
        <row r="246">
          <cell r="L246">
            <v>-1</v>
          </cell>
          <cell r="M246">
            <v>-1</v>
          </cell>
        </row>
        <row r="247">
          <cell r="L247">
            <v>-1</v>
          </cell>
          <cell r="M247">
            <v>-1</v>
          </cell>
        </row>
        <row r="248">
          <cell r="L248">
            <v>-1</v>
          </cell>
          <cell r="M248">
            <v>-1</v>
          </cell>
        </row>
        <row r="249">
          <cell r="L249">
            <v>-1</v>
          </cell>
          <cell r="M249">
            <v>-1</v>
          </cell>
        </row>
        <row r="250">
          <cell r="L250">
            <v>-1</v>
          </cell>
          <cell r="M250">
            <v>-1</v>
          </cell>
        </row>
        <row r="251">
          <cell r="L251">
            <v>-1</v>
          </cell>
          <cell r="M251">
            <v>-1</v>
          </cell>
        </row>
        <row r="252">
          <cell r="L252">
            <v>-1</v>
          </cell>
          <cell r="M252">
            <v>-1</v>
          </cell>
        </row>
        <row r="253">
          <cell r="L253">
            <v>-1</v>
          </cell>
          <cell r="M253">
            <v>-1</v>
          </cell>
        </row>
        <row r="254">
          <cell r="L254">
            <v>-1</v>
          </cell>
          <cell r="M254">
            <v>-1</v>
          </cell>
        </row>
        <row r="255">
          <cell r="L255">
            <v>-1</v>
          </cell>
          <cell r="M255">
            <v>-1</v>
          </cell>
        </row>
        <row r="256">
          <cell r="L256">
            <v>-1</v>
          </cell>
          <cell r="M256">
            <v>-1</v>
          </cell>
        </row>
        <row r="257">
          <cell r="L257">
            <v>-1</v>
          </cell>
          <cell r="M25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etercarlson@utexa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60"/>
  <sheetViews>
    <sheetView tabSelected="1" workbookViewId="0">
      <pane ySplit="3" topLeftCell="A4" activePane="bottomLeft" state="frozen"/>
      <selection pane="bottomLeft" activeCell="AE4" sqref="AE4"/>
    </sheetView>
  </sheetViews>
  <sheetFormatPr defaultColWidth="11.85546875" defaultRowHeight="15" x14ac:dyDescent="0.25"/>
  <cols>
    <col min="1" max="1" width="5.140625" bestFit="1" customWidth="1"/>
    <col min="2" max="2" width="8.42578125" customWidth="1"/>
    <col min="3" max="3" width="5" bestFit="1" customWidth="1"/>
    <col min="4" max="4" width="4" bestFit="1" customWidth="1"/>
    <col min="5" max="5" width="5.140625" bestFit="1" customWidth="1"/>
    <col min="6" max="6" width="5.85546875" bestFit="1" customWidth="1"/>
    <col min="7" max="7" width="6.5703125" bestFit="1" customWidth="1"/>
    <col min="8" max="8" width="5" bestFit="1" customWidth="1"/>
    <col min="9" max="9" width="5.85546875" bestFit="1" customWidth="1"/>
    <col min="10" max="13" width="12" bestFit="1" customWidth="1"/>
    <col min="14" max="16" width="12.7109375" bestFit="1" customWidth="1"/>
    <col min="17" max="28" width="12" bestFit="1" customWidth="1"/>
    <col min="30" max="30" width="20" bestFit="1" customWidth="1"/>
    <col min="31" max="31" width="18.85546875" bestFit="1" customWidth="1"/>
    <col min="32" max="32" width="5.28515625" bestFit="1" customWidth="1"/>
    <col min="33" max="33" width="5.7109375" bestFit="1" customWidth="1"/>
    <col min="34" max="34" width="12.28515625" bestFit="1" customWidth="1"/>
    <col min="35" max="35" width="6" bestFit="1" customWidth="1"/>
    <col min="36" max="36" width="22.28515625" bestFit="1" customWidth="1"/>
    <col min="37" max="37" width="5" bestFit="1" customWidth="1"/>
    <col min="38" max="38" width="12" bestFit="1" customWidth="1"/>
    <col min="39" max="39" width="21.7109375" bestFit="1" customWidth="1"/>
    <col min="40" max="40" width="12" bestFit="1" customWidth="1"/>
    <col min="41" max="41" width="5" bestFit="1" customWidth="1"/>
    <col min="42" max="42" width="12" bestFit="1" customWidth="1"/>
    <col min="43" max="43" width="6" bestFit="1" customWidth="1"/>
    <col min="44" max="44" width="12.7109375" bestFit="1" customWidth="1"/>
    <col min="45" max="45" width="12.42578125" bestFit="1" customWidth="1"/>
    <col min="46" max="46" width="12.7109375" bestFit="1" customWidth="1"/>
    <col min="47" max="47" width="6" bestFit="1" customWidth="1"/>
    <col min="48" max="48" width="12" bestFit="1" customWidth="1"/>
    <col min="49" max="49" width="6" bestFit="1" customWidth="1"/>
    <col min="50" max="50" width="12" bestFit="1" customWidth="1"/>
    <col min="51" max="51" width="5" bestFit="1" customWidth="1"/>
    <col min="52" max="52" width="12" bestFit="1" customWidth="1"/>
    <col min="53" max="53" width="5" bestFit="1" customWidth="1"/>
    <col min="54" max="54" width="12" bestFit="1" customWidth="1"/>
    <col min="55" max="55" width="5" bestFit="1" customWidth="1"/>
    <col min="56" max="56" width="12" bestFit="1" customWidth="1"/>
    <col min="57" max="57" width="6" bestFit="1" customWidth="1"/>
    <col min="58" max="58" width="12.7109375" bestFit="1" customWidth="1"/>
    <col min="59" max="59" width="6" bestFit="1" customWidth="1"/>
    <col min="60" max="60" width="12.7109375" bestFit="1" customWidth="1"/>
    <col min="61" max="61" width="6" bestFit="1" customWidth="1"/>
    <col min="62" max="62" width="12" bestFit="1" customWidth="1"/>
    <col min="63" max="63" width="6" bestFit="1" customWidth="1"/>
    <col min="64" max="64" width="12" bestFit="1" customWidth="1"/>
    <col min="65" max="65" width="5" bestFit="1" customWidth="1"/>
    <col min="66" max="66" width="12" bestFit="1" customWidth="1"/>
    <col min="67" max="67" width="5" bestFit="1" customWidth="1"/>
    <col min="68" max="68" width="12" bestFit="1" customWidth="1"/>
  </cols>
  <sheetData>
    <row r="1" spans="1:68" s="43" customFormat="1" x14ac:dyDescent="0.25">
      <c r="A1" s="33" t="s">
        <v>136</v>
      </c>
      <c r="B1" s="33"/>
      <c r="C1" s="33"/>
      <c r="D1" s="33"/>
      <c r="E1" s="33"/>
      <c r="F1" s="33"/>
      <c r="G1" s="33"/>
      <c r="H1" s="33"/>
      <c r="I1" s="87"/>
      <c r="J1" s="111" t="s">
        <v>137</v>
      </c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3"/>
      <c r="W1" s="105" t="s">
        <v>135</v>
      </c>
      <c r="X1" s="72"/>
      <c r="Y1" s="72"/>
      <c r="Z1" s="33"/>
      <c r="AA1" s="33"/>
      <c r="AB1" s="33"/>
      <c r="AC1" s="42"/>
      <c r="AG1" s="11"/>
    </row>
    <row r="2" spans="1:68" s="43" customFormat="1" x14ac:dyDescent="0.25">
      <c r="A2" s="33" t="s">
        <v>8</v>
      </c>
      <c r="B2" s="33"/>
      <c r="C2" s="33" t="s">
        <v>11</v>
      </c>
      <c r="D2" s="33"/>
      <c r="E2" s="33"/>
      <c r="F2" s="33"/>
      <c r="G2" s="33" t="s">
        <v>12</v>
      </c>
      <c r="H2" s="33"/>
      <c r="I2" s="87"/>
      <c r="J2" s="86" t="s">
        <v>107</v>
      </c>
      <c r="K2" s="74"/>
      <c r="L2" s="74"/>
      <c r="M2" s="75"/>
      <c r="N2" s="73" t="s">
        <v>108</v>
      </c>
      <c r="O2" s="74"/>
      <c r="P2" s="75"/>
      <c r="Q2" s="73" t="s">
        <v>125</v>
      </c>
      <c r="R2" s="74"/>
      <c r="S2" s="75"/>
      <c r="T2" s="73" t="s">
        <v>126</v>
      </c>
      <c r="U2" s="74"/>
      <c r="V2" s="114"/>
      <c r="W2" s="106" t="s">
        <v>115</v>
      </c>
      <c r="X2" s="74"/>
      <c r="Y2" s="75"/>
      <c r="Z2" s="36" t="s">
        <v>116</v>
      </c>
      <c r="AA2" s="33"/>
      <c r="AB2" s="33"/>
      <c r="AC2" s="42"/>
      <c r="AG2" s="11"/>
      <c r="AH2" s="43" t="s">
        <v>138</v>
      </c>
    </row>
    <row r="3" spans="1:68" s="43" customFormat="1" ht="15.75" thickBot="1" x14ac:dyDescent="0.3">
      <c r="A3" s="34" t="s">
        <v>0</v>
      </c>
      <c r="B3" s="34" t="s">
        <v>1</v>
      </c>
      <c r="C3" s="34" t="s">
        <v>3</v>
      </c>
      <c r="D3" s="34" t="s">
        <v>4</v>
      </c>
      <c r="E3" s="34" t="s">
        <v>9</v>
      </c>
      <c r="F3" s="34" t="s">
        <v>10</v>
      </c>
      <c r="G3" s="34" t="s">
        <v>5</v>
      </c>
      <c r="H3" s="34" t="s">
        <v>6</v>
      </c>
      <c r="I3" s="108" t="s">
        <v>7</v>
      </c>
      <c r="J3" s="115" t="s">
        <v>3</v>
      </c>
      <c r="K3" s="34" t="s">
        <v>4</v>
      </c>
      <c r="L3" s="34" t="s">
        <v>9</v>
      </c>
      <c r="M3" s="77" t="s">
        <v>10</v>
      </c>
      <c r="N3" s="76" t="s">
        <v>5</v>
      </c>
      <c r="O3" s="34" t="s">
        <v>6</v>
      </c>
      <c r="P3" s="77" t="s">
        <v>7</v>
      </c>
      <c r="Q3" s="76" t="s">
        <v>109</v>
      </c>
      <c r="R3" s="34" t="s">
        <v>9</v>
      </c>
      <c r="S3" s="77" t="s">
        <v>10</v>
      </c>
      <c r="T3" s="76" t="s">
        <v>5</v>
      </c>
      <c r="U3" s="34" t="s">
        <v>6</v>
      </c>
      <c r="V3" s="108" t="s">
        <v>7</v>
      </c>
      <c r="W3" s="54" t="s">
        <v>127</v>
      </c>
      <c r="X3" s="35" t="s">
        <v>129</v>
      </c>
      <c r="Y3" s="85" t="s">
        <v>134</v>
      </c>
      <c r="Z3" s="54" t="s">
        <v>127</v>
      </c>
      <c r="AA3" s="35" t="s">
        <v>129</v>
      </c>
      <c r="AB3" s="35" t="s">
        <v>134</v>
      </c>
      <c r="AC3" s="44"/>
      <c r="AF3" s="14"/>
      <c r="AG3" s="11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</row>
    <row r="4" spans="1:68" s="4" customFormat="1" x14ac:dyDescent="0.25">
      <c r="A4" s="37"/>
      <c r="B4" s="38" t="s">
        <v>139</v>
      </c>
      <c r="C4" s="37">
        <v>2.1</v>
      </c>
      <c r="D4" s="2">
        <v>0</v>
      </c>
      <c r="E4" s="2">
        <v>48</v>
      </c>
      <c r="F4" s="38">
        <v>3.6</v>
      </c>
      <c r="G4" s="37">
        <v>152</v>
      </c>
      <c r="H4" s="2">
        <v>8</v>
      </c>
      <c r="I4" s="3">
        <v>3.2</v>
      </c>
      <c r="J4" s="88">
        <f>IF(C4&lt;&gt;"",$C4/'Elements and ions'!$B$12,"")</f>
        <v>9.1344979343785743E-2</v>
      </c>
      <c r="K4" s="63">
        <f>IF(D4&lt;&gt;"",$D4/'Elements and ions'!$B$20,"")</f>
        <v>0</v>
      </c>
      <c r="L4" s="63">
        <f>IF(E4&lt;&gt;"",$E4/'Elements and ions'!$B$21*2,"")</f>
        <v>2.3953291082389341</v>
      </c>
      <c r="M4" s="79">
        <f>IF(F4&lt;&gt;"",$F4/'Elements and ions'!$B$13*2,"")</f>
        <v>0.29623534252211481</v>
      </c>
      <c r="N4" s="78">
        <f>IF(G4&lt;&gt;"",-$G4/'Elements and ions'!$F$3,"")</f>
        <v>-2.4911155674400707</v>
      </c>
      <c r="O4" s="63">
        <f>IF(H4&lt;&gt;"",-$H4/'Elements and ions'!$B$18,"")</f>
        <v>-0.2256508617042281</v>
      </c>
      <c r="P4" s="79">
        <f>IF(I4&lt;&gt;"",-2*$I4/'Elements and ions'!$F$4,"")</f>
        <v>-6.6623222773483121E-2</v>
      </c>
      <c r="Q4" s="78">
        <f>IF(OR(J4&lt;&gt;"",K4&lt;&gt;""),(J4+K4)/(J4+K4+L4+M4)*100,"")</f>
        <v>3.2823554498625813</v>
      </c>
      <c r="R4" s="63">
        <f>IF(L4&lt;&gt;"",L4/(J4+K4+L4+M4)*100,"")</f>
        <v>86.072837381154002</v>
      </c>
      <c r="S4" s="79">
        <f>IF(M4&lt;&gt;"",M4/(K4+L4+M4+J4)*100,"")</f>
        <v>10.644807168983411</v>
      </c>
      <c r="T4" s="78">
        <f>IF(N4&lt;&gt;"",N4/(N4+O4+P4)*100,"")</f>
        <v>89.499347161963783</v>
      </c>
      <c r="U4" s="63">
        <f>IF(O4&lt;&gt;"",O4/(O4+P4+N4)*100,"")</f>
        <v>8.1070525482751776</v>
      </c>
      <c r="V4" s="89">
        <f>IF(P4&lt;&gt;"",P4/(P4+N4+O4)*100,"")</f>
        <v>2.3936002897610509</v>
      </c>
      <c r="W4" s="69">
        <f>IF(Q4&lt;&gt;"",IF(Q4&lt;&gt;0,((Q4+(0.5*S4))/100),-1),"")</f>
        <v>8.6047590343542868E-2</v>
      </c>
      <c r="X4" s="63">
        <f>IF(V4&lt;&gt;"",IF($V4&lt;&gt;0,(($V4+(0.5*T4))/100+1+$AE$9),-1),"")</f>
        <v>1.6714327387074295</v>
      </c>
      <c r="Y4" s="79">
        <f>IF(AND(W4&lt;&gt;-1,X4&lt;&gt;-1,W4&lt;&gt;"",X4&lt;&gt;"",AA4&lt;&gt;-1,Z4&lt;&gt;-1,AA4&lt;&gt;"",Z4&lt;&gt;""),(W4+X4)/2+(AA4-Z4)/(4*COS(0.5)*$AE$5),"")</f>
        <v>1.0758765145079372</v>
      </c>
      <c r="Z4" s="69">
        <f>IF(S4&lt;&gt;"",IF($S4&lt;&gt;"",((($S4*COS(0.5))*$AE$5)/100),-1),"")</f>
        <v>9.3416971461854667E-2</v>
      </c>
      <c r="AA4" s="63">
        <f>IF(T4&lt;&gt;"",IF($T4&lt;&gt;"",((($T4*COS(0.5))*$AE$5)/100),-1),"")</f>
        <v>0.7854306636991204</v>
      </c>
      <c r="AB4" s="64">
        <f>IF(Y4&lt;&gt;"",2*COS(0.5)*$AE$5*(X4-W4)/2+(AA4+Z4)/2,"")</f>
        <v>1.8307301776646159</v>
      </c>
      <c r="AD4" s="45"/>
      <c r="AE4" s="46" t="s">
        <v>152</v>
      </c>
      <c r="AF4" s="15"/>
      <c r="AG4" s="11"/>
      <c r="AH4" s="20"/>
      <c r="AI4" s="20"/>
      <c r="AJ4" s="20"/>
      <c r="AK4" s="20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68" x14ac:dyDescent="0.25">
      <c r="A5" s="37"/>
      <c r="B5" s="38" t="s">
        <v>140</v>
      </c>
      <c r="C5" s="37">
        <v>29</v>
      </c>
      <c r="D5" s="2">
        <v>0</v>
      </c>
      <c r="E5" s="2">
        <v>144</v>
      </c>
      <c r="F5" s="38">
        <v>55</v>
      </c>
      <c r="G5" s="37">
        <v>622</v>
      </c>
      <c r="H5" s="2">
        <v>53</v>
      </c>
      <c r="I5" s="3">
        <v>60</v>
      </c>
      <c r="J5" s="90">
        <f>IF(C5&lt;&gt;"",$C5/'Elements and ions'!$B$12,"")</f>
        <v>1.2614306671284696</v>
      </c>
      <c r="K5" s="65">
        <f>IF(D5&lt;&gt;"",$D5/'Elements and ions'!$B$20,"")</f>
        <v>0</v>
      </c>
      <c r="L5" s="65">
        <f>IF(E5&lt;&gt;"",$E5/'Elements and ions'!$B$21*2,"")</f>
        <v>7.1859873247168018</v>
      </c>
      <c r="M5" s="81">
        <f>IF(F5&lt;&gt;"",$F5/'Elements and ions'!$B$13*2,"")</f>
        <v>4.5258177329767539</v>
      </c>
      <c r="N5" s="80">
        <f>IF(G5&lt;&gt;"",-$G5/'Elements and ions'!$F$3,"")</f>
        <v>-10.193907124656079</v>
      </c>
      <c r="O5" s="65">
        <f>IF(H5&lt;&gt;"",-$H5/'Elements and ions'!$B$18,"")</f>
        <v>-1.4949369587905112</v>
      </c>
      <c r="P5" s="81">
        <f>IF(I5&lt;&gt;"",-2*$I5/'Elements and ions'!$F$4,"")</f>
        <v>-1.2491854270028084</v>
      </c>
      <c r="Q5" s="80">
        <f t="shared" ref="Q5:Q68" si="0">IF(OR(J5&lt;&gt;"",K5&lt;&gt;""),(J5+K5)/(J5+K5+L5+M5)*100,"")</f>
        <v>9.7233311248244867</v>
      </c>
      <c r="R5" s="65">
        <f t="shared" ref="R5:R68" si="1">IF(L5&lt;&gt;"",L5/(J5+K5+L5+M5)*100,"")</f>
        <v>55.390863753193564</v>
      </c>
      <c r="S5" s="81">
        <f t="shared" ref="S5:S68" si="2">IF(M5&lt;&gt;"",M5/(K5+L5+M5+J5)*100,"")</f>
        <v>34.885805121981953</v>
      </c>
      <c r="T5" s="80">
        <f t="shared" ref="T5:T68" si="3">IF(N5&lt;&gt;"",N5/(N5+O5+P5)*100,"")</f>
        <v>78.790260266626916</v>
      </c>
      <c r="U5" s="65">
        <f t="shared" ref="U5:U68" si="4">IF(O5&lt;&gt;"",O5/(O5+P5+N5)*100,"")</f>
        <v>11.554595370053264</v>
      </c>
      <c r="V5" s="91">
        <f t="shared" ref="V5:V68" si="5">IF(P5&lt;&gt;"",P5/(P5+N5+O5)*100,"")</f>
        <v>9.655144363319808</v>
      </c>
      <c r="W5" s="70">
        <f t="shared" ref="W5:W68" si="6">IF(Q5&lt;&gt;"",IF(Q5&lt;&gt;0,((Q5+(0.5*S5))/100),-1),"")</f>
        <v>0.27166233685815461</v>
      </c>
      <c r="X5" s="65">
        <f>IF(V5&lt;&gt;"",IF($V5&lt;&gt;0,(($V5+(0.5*T5))/100+1+$AE$9),-1),"")</f>
        <v>1.6905027449663326</v>
      </c>
      <c r="Y5" s="81">
        <f>IF(AND(W5&lt;&gt;-1,X5&lt;&gt;-1,W5&lt;&gt;"",X5&lt;&gt;"",AA5&lt;&gt;-1,Z5&lt;&gt;-1,AA5&lt;&gt;"",Z5&lt;&gt;""),(W5+X5)/2+(AA5-Z5)/(4*COS(0.5)*$AE$5),"")</f>
        <v>1.090843678773856</v>
      </c>
      <c r="Z5" s="70">
        <f>IF(S5&lt;&gt;"",IF($S5&lt;&gt;"",((($S5*COS(0.5))*$AE$5)/100),-1),"")</f>
        <v>0.30615174232557207</v>
      </c>
      <c r="AA5" s="65">
        <f>IF(T5&lt;&gt;"",IF($T5&lt;&gt;"",((($T5*COS(0.5))*$AE$5)/100),-1),"")</f>
        <v>0.69144958456795691</v>
      </c>
      <c r="AB5" s="66">
        <f>IF(Y5&lt;&gt;"",2*COS(0.5)*$AE$5*(X5-W5)/2+(AA5+Z5)/2,"")</f>
        <v>1.7439502637079214</v>
      </c>
      <c r="AD5" s="16" t="s">
        <v>113</v>
      </c>
      <c r="AE5" s="47">
        <v>1</v>
      </c>
      <c r="AG5" s="11"/>
      <c r="AH5" s="9"/>
      <c r="AI5" s="22"/>
      <c r="AJ5" s="17" t="s">
        <v>130</v>
      </c>
      <c r="AK5" s="6"/>
      <c r="AL5" s="22"/>
      <c r="AM5" s="17" t="s">
        <v>131</v>
      </c>
      <c r="AN5" s="5"/>
      <c r="AO5" s="25" t="s">
        <v>133</v>
      </c>
      <c r="AP5" s="31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68" x14ac:dyDescent="0.25">
      <c r="A6" s="37"/>
      <c r="B6" s="38" t="s">
        <v>141</v>
      </c>
      <c r="C6" s="37">
        <v>0.4</v>
      </c>
      <c r="D6" s="2">
        <v>1.2</v>
      </c>
      <c r="E6" s="2">
        <v>40</v>
      </c>
      <c r="F6" s="38">
        <v>22</v>
      </c>
      <c r="G6" s="37">
        <v>213</v>
      </c>
      <c r="H6" s="2">
        <v>2</v>
      </c>
      <c r="I6" s="3">
        <v>4.9000000000000004</v>
      </c>
      <c r="J6" s="90">
        <f>IF(C6&lt;&gt;"",$C6/'Elements and ions'!$B$12,"")</f>
        <v>1.7399043684530619E-2</v>
      </c>
      <c r="K6" s="65">
        <f>IF(D6&lt;&gt;"",$D6/'Elements and ions'!$B$20,"")</f>
        <v>3.0691871513595217E-2</v>
      </c>
      <c r="L6" s="65">
        <f>IF(E6&lt;&gt;"",$E6/'Elements and ions'!$B$21*2,"")</f>
        <v>1.9961075901991117</v>
      </c>
      <c r="M6" s="81">
        <f>IF(F6&lt;&gt;"",$F6/'Elements and ions'!$B$13*2,"")</f>
        <v>1.8103270931907016</v>
      </c>
      <c r="N6" s="80">
        <f>IF(G6&lt;&gt;"",-$G6/'Elements and ions'!$F$3,"")</f>
        <v>-3.4908395780574679</v>
      </c>
      <c r="O6" s="65">
        <f>IF(H6&lt;&gt;"",-$H6/'Elements and ions'!$B$18,"")</f>
        <v>-5.6412715426057025E-2</v>
      </c>
      <c r="P6" s="81">
        <f>IF(I6&lt;&gt;"",-2*$I6/'Elements and ions'!$F$4,"")</f>
        <v>-0.10201680987189604</v>
      </c>
      <c r="Q6" s="80">
        <f t="shared" si="0"/>
        <v>1.2476480948976805</v>
      </c>
      <c r="R6" s="65">
        <f t="shared" si="1"/>
        <v>51.786076889212062</v>
      </c>
      <c r="S6" s="81">
        <f t="shared" si="2"/>
        <v>46.966275015890261</v>
      </c>
      <c r="T6" s="80">
        <f t="shared" si="3"/>
        <v>95.658595712980414</v>
      </c>
      <c r="U6" s="65">
        <f t="shared" si="4"/>
        <v>1.5458633997198727</v>
      </c>
      <c r="V6" s="91">
        <f t="shared" si="5"/>
        <v>2.7955408872997025</v>
      </c>
      <c r="W6" s="70">
        <f t="shared" si="6"/>
        <v>0.24730785602842811</v>
      </c>
      <c r="X6" s="65">
        <f>IF(V6&lt;&gt;"",IF($V6&lt;&gt;0,(($V6+(0.5*T6))/100+1+$AE$9),-1),"")</f>
        <v>1.7062483874378991</v>
      </c>
      <c r="Y6" s="81">
        <f>IF(AND(W6&lt;&gt;-1,X6&lt;&gt;-1,W6&lt;&gt;"",X6&lt;&gt;"",AA6&lt;&gt;-1,Z6&lt;&gt;-1,AA6&lt;&gt;"",Z6&lt;&gt;""),(W6+X6)/2+(AA6-Z6)/(4*COS(0.5)*$AE$5),"")</f>
        <v>1.0985089234758889</v>
      </c>
      <c r="Z6" s="70">
        <f>IF(S6&lt;&gt;"",IF($S6&lt;&gt;"",((($S6*COS(0.5))*$AE$5)/100),-1),"")</f>
        <v>0.41216783950892782</v>
      </c>
      <c r="AA6" s="65">
        <f>IF(T6&lt;&gt;"",IF($T6&lt;&gt;"",((($T6*COS(0.5))*$AE$5)/100),-1),"")</f>
        <v>0.83948315492632786</v>
      </c>
      <c r="AB6" s="66">
        <f>IF(Y6&lt;&gt;"",2*COS(0.5)*$AE$5*(X6-W6)/2+(AA6+Z6)/2,"")</f>
        <v>1.9061662664176533</v>
      </c>
      <c r="AD6" s="18" t="s">
        <v>114</v>
      </c>
      <c r="AE6" s="48">
        <v>0.1</v>
      </c>
      <c r="AG6" s="11"/>
      <c r="AH6" s="9"/>
      <c r="AI6" s="23" t="s">
        <v>115</v>
      </c>
      <c r="AJ6" s="24" t="s">
        <v>116</v>
      </c>
      <c r="AK6" s="6"/>
      <c r="AL6" s="23" t="s">
        <v>115</v>
      </c>
      <c r="AM6" s="24" t="s">
        <v>116</v>
      </c>
      <c r="AO6" s="23" t="s">
        <v>115</v>
      </c>
      <c r="AP6" s="24" t="s">
        <v>116</v>
      </c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68" x14ac:dyDescent="0.25">
      <c r="A7" s="37"/>
      <c r="B7" s="38"/>
      <c r="C7" s="37"/>
      <c r="D7" s="2"/>
      <c r="E7" s="2"/>
      <c r="F7" s="38"/>
      <c r="G7" s="37"/>
      <c r="H7" s="2"/>
      <c r="I7" s="3"/>
      <c r="J7" s="90" t="str">
        <f>IF(C7&lt;&gt;"",$C7/'Elements and ions'!$B$12,"")</f>
        <v/>
      </c>
      <c r="K7" s="65" t="str">
        <f>IF(D7&lt;&gt;"",$D7/'Elements and ions'!$B$20,"")</f>
        <v/>
      </c>
      <c r="L7" s="65" t="str">
        <f>IF(E7&lt;&gt;"",$E7/'Elements and ions'!$B$21*2,"")</f>
        <v/>
      </c>
      <c r="M7" s="81" t="str">
        <f>IF(F7&lt;&gt;"",$F7/'Elements and ions'!$B$13*2,"")</f>
        <v/>
      </c>
      <c r="N7" s="80" t="str">
        <f>IF(G7&lt;&gt;"",-$G7/'Elements and ions'!$F$3,"")</f>
        <v/>
      </c>
      <c r="O7" s="65" t="str">
        <f>IF(H7&lt;&gt;"",-$H7/'Elements and ions'!$B$18,"")</f>
        <v/>
      </c>
      <c r="P7" s="81" t="str">
        <f>IF(I7&lt;&gt;"",-2*$I7/'Elements and ions'!$F$4,"")</f>
        <v/>
      </c>
      <c r="Q7" s="80" t="str">
        <f t="shared" si="0"/>
        <v/>
      </c>
      <c r="R7" s="65" t="str">
        <f t="shared" si="1"/>
        <v/>
      </c>
      <c r="S7" s="81" t="str">
        <f t="shared" si="2"/>
        <v/>
      </c>
      <c r="T7" s="80" t="str">
        <f t="shared" si="3"/>
        <v/>
      </c>
      <c r="U7" s="65" t="str">
        <f t="shared" si="4"/>
        <v/>
      </c>
      <c r="V7" s="91" t="str">
        <f t="shared" si="5"/>
        <v/>
      </c>
      <c r="W7" s="70" t="str">
        <f t="shared" si="6"/>
        <v/>
      </c>
      <c r="X7" s="65" t="str">
        <f>IF(V7&lt;&gt;"",IF($V7&lt;&gt;0,(($V7+(0.5*T7))/100+1+$AE$9),-1),"")</f>
        <v/>
      </c>
      <c r="Y7" s="81" t="str">
        <f>IF(AND(W7&lt;&gt;-1,X7&lt;&gt;-1,W7&lt;&gt;"",X7&lt;&gt;"",AA7&lt;&gt;-1,Z7&lt;&gt;-1,AA7&lt;&gt;"",Z7&lt;&gt;""),(W7+X7)/2+(AA7-Z7)/(4*COS(0.5)*$AE$5),"")</f>
        <v/>
      </c>
      <c r="Z7" s="70" t="str">
        <f>IF(S7&lt;&gt;"",IF($S7&lt;&gt;"",((($S7*COS(0.5))*$AE$5)/100),-1),"")</f>
        <v/>
      </c>
      <c r="AA7" s="65" t="str">
        <f>IF(T7&lt;&gt;"",IF($T7&lt;&gt;"",((($T7*COS(0.5))*$AE$5)/100),-1),"")</f>
        <v/>
      </c>
      <c r="AB7" s="66" t="str">
        <f>IF(Y7&lt;&gt;"",2*COS(0.5)*$AE$5*(X7-W7)/2+(AA7+Z7)/2,"")</f>
        <v/>
      </c>
      <c r="AD7" s="18" t="s">
        <v>117</v>
      </c>
      <c r="AE7" s="48">
        <v>0.03</v>
      </c>
      <c r="AG7" s="11"/>
      <c r="AH7" s="7"/>
      <c r="AI7" s="99">
        <v>0.5</v>
      </c>
      <c r="AJ7" s="100">
        <f>COS(0.5)*$AE$5</f>
        <v>0.87758256189037276</v>
      </c>
      <c r="AK7" s="6"/>
      <c r="AL7" s="99">
        <f>AI7+1+$AE$9</f>
        <v>1.7</v>
      </c>
      <c r="AM7" s="100">
        <f>COS(0.5)*$AE$5</f>
        <v>0.87758256189037276</v>
      </c>
      <c r="AO7" s="56">
        <f>$AI$8+1+$AE$9/2</f>
        <v>1.1000000000000001</v>
      </c>
      <c r="AP7" s="57">
        <f>AJ8+COS(0.5)*AE9</f>
        <v>0.17551651237807456</v>
      </c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68" x14ac:dyDescent="0.25">
      <c r="A8" s="37"/>
      <c r="B8" s="38"/>
      <c r="C8" s="37"/>
      <c r="D8" s="2"/>
      <c r="E8" s="2"/>
      <c r="F8" s="38"/>
      <c r="G8" s="37"/>
      <c r="H8" s="2"/>
      <c r="I8" s="3"/>
      <c r="J8" s="90" t="str">
        <f>IF(C8&lt;&gt;"",$C8/'Elements and ions'!$B$12,"")</f>
        <v/>
      </c>
      <c r="K8" s="65" t="str">
        <f>IF(D8&lt;&gt;"",$D8/'Elements and ions'!$B$20,"")</f>
        <v/>
      </c>
      <c r="L8" s="65" t="str">
        <f>IF(E8&lt;&gt;"",$E8/'Elements and ions'!$B$21*2,"")</f>
        <v/>
      </c>
      <c r="M8" s="81" t="str">
        <f>IF(F8&lt;&gt;"",$F8/'Elements and ions'!$B$13*2,"")</f>
        <v/>
      </c>
      <c r="N8" s="80" t="str">
        <f>IF(G8&lt;&gt;"",-$G8/'Elements and ions'!$F$3,"")</f>
        <v/>
      </c>
      <c r="O8" s="65" t="str">
        <f>IF(H8&lt;&gt;"",-$H8/'Elements and ions'!$B$18,"")</f>
        <v/>
      </c>
      <c r="P8" s="81" t="str">
        <f>IF(I8&lt;&gt;"",-2*$I8/'Elements and ions'!$F$4,"")</f>
        <v/>
      </c>
      <c r="Q8" s="80" t="str">
        <f t="shared" si="0"/>
        <v/>
      </c>
      <c r="R8" s="65" t="str">
        <f t="shared" si="1"/>
        <v/>
      </c>
      <c r="S8" s="81" t="str">
        <f t="shared" si="2"/>
        <v/>
      </c>
      <c r="T8" s="80" t="str">
        <f t="shared" si="3"/>
        <v/>
      </c>
      <c r="U8" s="65" t="str">
        <f t="shared" si="4"/>
        <v/>
      </c>
      <c r="V8" s="91" t="str">
        <f t="shared" si="5"/>
        <v/>
      </c>
      <c r="W8" s="70" t="str">
        <f t="shared" si="6"/>
        <v/>
      </c>
      <c r="X8" s="65" t="str">
        <f>IF(V8&lt;&gt;"",IF($V8&lt;&gt;0,(($V8+(0.5*T8))/100+1+$AE$9),-1),"")</f>
        <v/>
      </c>
      <c r="Y8" s="81" t="str">
        <f>IF(AND(W8&lt;&gt;-1,X8&lt;&gt;-1,W8&lt;&gt;"",X8&lt;&gt;"",AA8&lt;&gt;-1,Z8&lt;&gt;-1,AA8&lt;&gt;"",Z8&lt;&gt;""),(W8+X8)/2+(AA8-Z8)/(4*COS(0.5)*$AE$5),"")</f>
        <v/>
      </c>
      <c r="Z8" s="70" t="str">
        <f>IF(S8&lt;&gt;"",IF($S8&lt;&gt;"",((($S8*COS(0.5))*$AE$5)/100),-1),"")</f>
        <v/>
      </c>
      <c r="AA8" s="65" t="str">
        <f>IF(T8&lt;&gt;"",IF($T8&lt;&gt;"",((($T8*COS(0.5))*$AE$5)/100),-1),"")</f>
        <v/>
      </c>
      <c r="AB8" s="66" t="str">
        <f>IF(Y8&lt;&gt;"",2*COS(0.5)*$AE$5*(X8-W8)/2+(AA8+Z8)/2,"")</f>
        <v/>
      </c>
      <c r="AD8" s="18" t="s">
        <v>132</v>
      </c>
      <c r="AE8" s="48">
        <v>1</v>
      </c>
      <c r="AG8" s="11"/>
      <c r="AH8" s="7"/>
      <c r="AI8" s="101">
        <v>0</v>
      </c>
      <c r="AJ8" s="102">
        <v>0</v>
      </c>
      <c r="AK8" s="6"/>
      <c r="AL8" s="101">
        <f>AI8+1+$AE$9</f>
        <v>1.2</v>
      </c>
      <c r="AM8" s="102">
        <v>0</v>
      </c>
      <c r="AO8" s="58">
        <f>AO7-0.5</f>
        <v>0.60000000000000009</v>
      </c>
      <c r="AP8" s="59">
        <f>AP7+AJ7</f>
        <v>1.0530990742684474</v>
      </c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68" ht="15.75" thickBot="1" x14ac:dyDescent="0.3">
      <c r="A9" s="37"/>
      <c r="B9" s="38"/>
      <c r="C9" s="37"/>
      <c r="D9" s="4"/>
      <c r="E9" s="4"/>
      <c r="F9" s="38"/>
      <c r="G9" s="37"/>
      <c r="H9" s="4"/>
      <c r="I9" s="109"/>
      <c r="J9" s="90" t="str">
        <f>IF(C9&lt;&gt;"",$C9/'Elements and ions'!$B$12,"")</f>
        <v/>
      </c>
      <c r="K9" s="65" t="str">
        <f>IF(D9&lt;&gt;"",$D9/'Elements and ions'!$B$20,"")</f>
        <v/>
      </c>
      <c r="L9" s="65" t="str">
        <f>IF(E9&lt;&gt;"",$E9/'Elements and ions'!$B$21*2,"")</f>
        <v/>
      </c>
      <c r="M9" s="81" t="str">
        <f>IF(F9&lt;&gt;"",$F9/'Elements and ions'!$B$13*2,"")</f>
        <v/>
      </c>
      <c r="N9" s="80" t="str">
        <f>IF(G9&lt;&gt;"",-$G9/'Elements and ions'!$F$3,"")</f>
        <v/>
      </c>
      <c r="O9" s="65" t="str">
        <f>IF(H9&lt;&gt;"",-$H9/'Elements and ions'!$B$18,"")</f>
        <v/>
      </c>
      <c r="P9" s="81" t="str">
        <f>IF(I9&lt;&gt;"",-2*$I9/'Elements and ions'!$F$4,"")</f>
        <v/>
      </c>
      <c r="Q9" s="80" t="str">
        <f t="shared" si="0"/>
        <v/>
      </c>
      <c r="R9" s="65" t="str">
        <f t="shared" si="1"/>
        <v/>
      </c>
      <c r="S9" s="81" t="str">
        <f t="shared" si="2"/>
        <v/>
      </c>
      <c r="T9" s="80" t="str">
        <f t="shared" si="3"/>
        <v/>
      </c>
      <c r="U9" s="65" t="str">
        <f t="shared" si="4"/>
        <v/>
      </c>
      <c r="V9" s="91" t="str">
        <f t="shared" si="5"/>
        <v/>
      </c>
      <c r="W9" s="70" t="str">
        <f t="shared" si="6"/>
        <v/>
      </c>
      <c r="X9" s="65" t="str">
        <f>IF(V9&lt;&gt;"",IF($V9&lt;&gt;0,(($V9+(0.5*T9))/100+1+$AE$9),-1),"")</f>
        <v/>
      </c>
      <c r="Y9" s="81" t="str">
        <f>IF(AND(W9&lt;&gt;-1,X9&lt;&gt;-1,W9&lt;&gt;"",X9&lt;&gt;"",AA9&lt;&gt;-1,Z9&lt;&gt;-1,AA9&lt;&gt;"",Z9&lt;&gt;""),(W9+X9)/2+(AA9-Z9)/(4*COS(0.5)*$AE$5),"")</f>
        <v/>
      </c>
      <c r="Z9" s="70" t="str">
        <f>IF(S9&lt;&gt;"",IF($S9&lt;&gt;"",((($S9*COS(0.5))*$AE$5)/100),-1),"")</f>
        <v/>
      </c>
      <c r="AA9" s="65" t="str">
        <f>IF(T9&lt;&gt;"",IF($T9&lt;&gt;"",((($T9*COS(0.5))*$AE$5)/100),-1),"")</f>
        <v/>
      </c>
      <c r="AB9" s="66" t="str">
        <f>IF(Y9&lt;&gt;"",2*COS(0.5)*$AE$5*(X9-W9)/2+(AA9+Z9)/2,"")</f>
        <v/>
      </c>
      <c r="AD9" s="19" t="s">
        <v>128</v>
      </c>
      <c r="AE9" s="49">
        <v>0.2</v>
      </c>
      <c r="AG9" s="11"/>
      <c r="AH9" s="7"/>
      <c r="AI9" s="101">
        <v>1</v>
      </c>
      <c r="AJ9" s="102">
        <v>0</v>
      </c>
      <c r="AK9" s="6"/>
      <c r="AL9" s="101">
        <f>AI9+1+$AE$9</f>
        <v>2.2000000000000002</v>
      </c>
      <c r="AM9" s="102">
        <v>0</v>
      </c>
      <c r="AO9" s="58">
        <f>AO7</f>
        <v>1.1000000000000001</v>
      </c>
      <c r="AP9" s="59">
        <f>AP7+2*AJ7</f>
        <v>1.9306816361588202</v>
      </c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68" x14ac:dyDescent="0.25">
      <c r="A10" s="37"/>
      <c r="B10" s="38"/>
      <c r="C10" s="37"/>
      <c r="D10" s="2"/>
      <c r="E10" s="2"/>
      <c r="F10" s="38"/>
      <c r="G10" s="37"/>
      <c r="H10" s="2"/>
      <c r="I10" s="3"/>
      <c r="J10" s="90" t="str">
        <f>IF(C10&lt;&gt;"",$C10/'Elements and ions'!$B$12,"")</f>
        <v/>
      </c>
      <c r="K10" s="65" t="str">
        <f>IF(D10&lt;&gt;"",$D10/'Elements and ions'!$B$20,"")</f>
        <v/>
      </c>
      <c r="L10" s="65" t="str">
        <f>IF(E10&lt;&gt;"",$E10/'Elements and ions'!$B$21*2,"")</f>
        <v/>
      </c>
      <c r="M10" s="81" t="str">
        <f>IF(F10&lt;&gt;"",$F10/'Elements and ions'!$B$13*2,"")</f>
        <v/>
      </c>
      <c r="N10" s="80" t="str">
        <f>IF(G10&lt;&gt;"",-$G10/'Elements and ions'!$F$3,"")</f>
        <v/>
      </c>
      <c r="O10" s="65" t="str">
        <f>IF(H10&lt;&gt;"",-$H10/'Elements and ions'!$B$18,"")</f>
        <v/>
      </c>
      <c r="P10" s="81" t="str">
        <f>IF(I10&lt;&gt;"",-2*$I10/'Elements and ions'!$F$4,"")</f>
        <v/>
      </c>
      <c r="Q10" s="80" t="str">
        <f t="shared" si="0"/>
        <v/>
      </c>
      <c r="R10" s="65" t="str">
        <f t="shared" si="1"/>
        <v/>
      </c>
      <c r="S10" s="81" t="str">
        <f t="shared" si="2"/>
        <v/>
      </c>
      <c r="T10" s="80" t="str">
        <f t="shared" si="3"/>
        <v/>
      </c>
      <c r="U10" s="65" t="str">
        <f t="shared" si="4"/>
        <v/>
      </c>
      <c r="V10" s="91" t="str">
        <f t="shared" si="5"/>
        <v/>
      </c>
      <c r="W10" s="70" t="str">
        <f t="shared" si="6"/>
        <v/>
      </c>
      <c r="X10" s="65" t="str">
        <f>IF(V10&lt;&gt;"",IF($V10&lt;&gt;0,(($V10+(0.5*T10))/100+1+$AE$9),-1),"")</f>
        <v/>
      </c>
      <c r="Y10" s="81" t="str">
        <f>IF(AND(W10&lt;&gt;-1,X10&lt;&gt;-1,W10&lt;&gt;"",X10&lt;&gt;"",AA10&lt;&gt;-1,Z10&lt;&gt;-1,AA10&lt;&gt;"",Z10&lt;&gt;""),(W10+X10)/2+(AA10-Z10)/(4*COS(0.5)*$AE$5),"")</f>
        <v/>
      </c>
      <c r="Z10" s="70" t="str">
        <f>IF(S10&lt;&gt;"",IF($S10&lt;&gt;"",((($S10*COS(0.5))*$AE$5)/100),-1),"")</f>
        <v/>
      </c>
      <c r="AA10" s="65" t="str">
        <f>IF(T10&lt;&gt;"",IF($T10&lt;&gt;"",((($T10*COS(0.5))*$AE$5)/100),-1),"")</f>
        <v/>
      </c>
      <c r="AB10" s="66" t="str">
        <f>IF(Y10&lt;&gt;"",2*COS(0.5)*$AE$5*(X10-W10)/2+(AA10+Z10)/2,"")</f>
        <v/>
      </c>
      <c r="AG10" s="11"/>
      <c r="AH10" s="7"/>
      <c r="AI10" s="103">
        <v>0.5</v>
      </c>
      <c r="AJ10" s="104">
        <f>COS(0.5)*$AE$5</f>
        <v>0.87758256189037276</v>
      </c>
      <c r="AK10" s="6"/>
      <c r="AL10" s="103">
        <f>AI10+1+$AE$9</f>
        <v>1.7</v>
      </c>
      <c r="AM10" s="104">
        <f>COS(0.5)*$AE$5</f>
        <v>0.87758256189037276</v>
      </c>
      <c r="AO10" s="58">
        <f>AO7+0.5</f>
        <v>1.6</v>
      </c>
      <c r="AP10" s="59">
        <f>AP8</f>
        <v>1.0530990742684474</v>
      </c>
    </row>
    <row r="11" spans="1:68" ht="15.75" thickBot="1" x14ac:dyDescent="0.3">
      <c r="A11" s="37"/>
      <c r="B11" s="38"/>
      <c r="C11" s="37"/>
      <c r="D11" s="2"/>
      <c r="E11" s="2"/>
      <c r="F11" s="38"/>
      <c r="G11" s="37"/>
      <c r="H11" s="2"/>
      <c r="I11" s="3"/>
      <c r="J11" s="90" t="str">
        <f>IF(C11&lt;&gt;"",$C11/'Elements and ions'!$B$12,"")</f>
        <v/>
      </c>
      <c r="K11" s="65" t="str">
        <f>IF(D11&lt;&gt;"",$D11/'Elements and ions'!$B$20,"")</f>
        <v/>
      </c>
      <c r="L11" s="65" t="str">
        <f>IF(E11&lt;&gt;"",$E11/'Elements and ions'!$B$21*2,"")</f>
        <v/>
      </c>
      <c r="M11" s="81" t="str">
        <f>IF(F11&lt;&gt;"",$F11/'Elements and ions'!$B$13*2,"")</f>
        <v/>
      </c>
      <c r="N11" s="80" t="str">
        <f>IF(G11&lt;&gt;"",-$G11/'Elements and ions'!$F$3,"")</f>
        <v/>
      </c>
      <c r="O11" s="65" t="str">
        <f>IF(H11&lt;&gt;"",-$H11/'Elements and ions'!$B$18,"")</f>
        <v/>
      </c>
      <c r="P11" s="81" t="str">
        <f>IF(I11&lt;&gt;"",-2*$I11/'Elements and ions'!$F$4,"")</f>
        <v/>
      </c>
      <c r="Q11" s="80" t="str">
        <f t="shared" si="0"/>
        <v/>
      </c>
      <c r="R11" s="65" t="str">
        <f t="shared" si="1"/>
        <v/>
      </c>
      <c r="S11" s="81" t="str">
        <f t="shared" si="2"/>
        <v/>
      </c>
      <c r="T11" s="80" t="str">
        <f t="shared" si="3"/>
        <v/>
      </c>
      <c r="U11" s="65" t="str">
        <f t="shared" si="4"/>
        <v/>
      </c>
      <c r="V11" s="91" t="str">
        <f t="shared" si="5"/>
        <v/>
      </c>
      <c r="W11" s="70" t="str">
        <f t="shared" si="6"/>
        <v/>
      </c>
      <c r="X11" s="65" t="str">
        <f>IF(V11&lt;&gt;"",IF($V11&lt;&gt;0,(($V11+(0.5*T11))/100+1+$AE$9),-1),"")</f>
        <v/>
      </c>
      <c r="Y11" s="81" t="str">
        <f>IF(AND(W11&lt;&gt;-1,X11&lt;&gt;-1,W11&lt;&gt;"",X11&lt;&gt;"",AA11&lt;&gt;-1,Z11&lt;&gt;-1,AA11&lt;&gt;"",Z11&lt;&gt;""),(W11+X11)/2+(AA11-Z11)/(4*COS(0.5)*$AE$5),"")</f>
        <v/>
      </c>
      <c r="Z11" s="70" t="str">
        <f>IF(S11&lt;&gt;"",IF($S11&lt;&gt;"",((($S11*COS(0.5))*$AE$5)/100),-1),"")</f>
        <v/>
      </c>
      <c r="AA11" s="65" t="str">
        <f>IF(T11&lt;&gt;"",IF($T11&lt;&gt;"",((($T11*COS(0.5))*$AE$5)/100),-1),"")</f>
        <v/>
      </c>
      <c r="AB11" s="66" t="str">
        <f>IF(Y11&lt;&gt;"",2*COS(0.5)*$AE$5*(X11-W11)/2+(AA11+Z11)/2,"")</f>
        <v/>
      </c>
      <c r="AE11" s="6"/>
      <c r="AF11" s="8"/>
      <c r="AG11" s="11"/>
      <c r="AH11" s="7"/>
      <c r="AI11" s="6"/>
      <c r="AJ11" s="6"/>
      <c r="AK11" s="6"/>
      <c r="AO11" s="60">
        <f>AO7</f>
        <v>1.1000000000000001</v>
      </c>
      <c r="AP11" s="62">
        <f>AP7</f>
        <v>0.17551651237807456</v>
      </c>
    </row>
    <row r="12" spans="1:68" x14ac:dyDescent="0.25">
      <c r="A12" s="37"/>
      <c r="B12" s="38"/>
      <c r="C12" s="37"/>
      <c r="D12" s="2"/>
      <c r="E12" s="2"/>
      <c r="F12" s="38"/>
      <c r="G12" s="37"/>
      <c r="H12" s="2"/>
      <c r="I12" s="3"/>
      <c r="J12" s="90" t="str">
        <f>IF(C12&lt;&gt;"",$C12/'Elements and ions'!$B$12,"")</f>
        <v/>
      </c>
      <c r="K12" s="65" t="str">
        <f>IF(D12&lt;&gt;"",$D12/'Elements and ions'!$B$20,"")</f>
        <v/>
      </c>
      <c r="L12" s="65" t="str">
        <f>IF(E12&lt;&gt;"",$E12/'Elements and ions'!$B$21*2,"")</f>
        <v/>
      </c>
      <c r="M12" s="81" t="str">
        <f>IF(F12&lt;&gt;"",$F12/'Elements and ions'!$B$13*2,"")</f>
        <v/>
      </c>
      <c r="N12" s="80" t="str">
        <f>IF(G12&lt;&gt;"",-$G12/'Elements and ions'!$F$3,"")</f>
        <v/>
      </c>
      <c r="O12" s="65" t="str">
        <f>IF(H12&lt;&gt;"",-$H12/'Elements and ions'!$B$18,"")</f>
        <v/>
      </c>
      <c r="P12" s="81" t="str">
        <f>IF(I12&lt;&gt;"",-2*$I12/'Elements and ions'!$F$4,"")</f>
        <v/>
      </c>
      <c r="Q12" s="80" t="str">
        <f t="shared" si="0"/>
        <v/>
      </c>
      <c r="R12" s="65" t="str">
        <f t="shared" si="1"/>
        <v/>
      </c>
      <c r="S12" s="81" t="str">
        <f t="shared" si="2"/>
        <v/>
      </c>
      <c r="T12" s="80" t="str">
        <f t="shared" si="3"/>
        <v/>
      </c>
      <c r="U12" s="65" t="str">
        <f t="shared" si="4"/>
        <v/>
      </c>
      <c r="V12" s="91" t="str">
        <f t="shared" si="5"/>
        <v/>
      </c>
      <c r="W12" s="70" t="str">
        <f t="shared" si="6"/>
        <v/>
      </c>
      <c r="X12" s="65" t="str">
        <f>IF(V12&lt;&gt;"",IF($V12&lt;&gt;0,(($V12+(0.5*T12))/100+1+$AE$9),-1),"")</f>
        <v/>
      </c>
      <c r="Y12" s="81" t="str">
        <f>IF(AND(W12&lt;&gt;-1,X12&lt;&gt;-1,W12&lt;&gt;"",X12&lt;&gt;"",AA12&lt;&gt;-1,Z12&lt;&gt;-1,AA12&lt;&gt;"",Z12&lt;&gt;""),(W12+X12)/2+(AA12-Z12)/(4*COS(0.5)*$AE$5),"")</f>
        <v/>
      </c>
      <c r="Z12" s="70" t="str">
        <f>IF(S12&lt;&gt;"",IF($S12&lt;&gt;"",((($S12*COS(0.5))*$AE$5)/100),-1),"")</f>
        <v/>
      </c>
      <c r="AA12" s="65" t="str">
        <f>IF(T12&lt;&gt;"",IF($T12&lt;&gt;"",((($T12*COS(0.5))*$AE$5)/100),-1),"")</f>
        <v/>
      </c>
      <c r="AB12" s="66" t="str">
        <f>IF(Y12&lt;&gt;"",2*COS(0.5)*$AE$5*(X12-W12)/2+(AA12+Z12)/2,"")</f>
        <v/>
      </c>
      <c r="AE12" s="50"/>
      <c r="AF12" s="10"/>
      <c r="AG12" s="6"/>
      <c r="AH12" s="6"/>
      <c r="AI12" s="6"/>
      <c r="AJ12" s="6"/>
      <c r="AK12" s="6"/>
    </row>
    <row r="13" spans="1:68" x14ac:dyDescent="0.25">
      <c r="A13" s="37"/>
      <c r="B13" s="52"/>
      <c r="C13" s="53"/>
      <c r="D13" s="4"/>
      <c r="E13" s="4"/>
      <c r="F13" s="52"/>
      <c r="G13" s="53"/>
      <c r="H13" s="4"/>
      <c r="I13" s="3"/>
      <c r="J13" s="90" t="str">
        <f>IF(C13&lt;&gt;"",$C13/'Elements and ions'!$B$12,"")</f>
        <v/>
      </c>
      <c r="K13" s="65" t="str">
        <f>IF(D13&lt;&gt;"",$D13/'Elements and ions'!$B$20,"")</f>
        <v/>
      </c>
      <c r="L13" s="65" t="str">
        <f>IF(E13&lt;&gt;"",$E13/'Elements and ions'!$B$21*2,"")</f>
        <v/>
      </c>
      <c r="M13" s="81" t="str">
        <f>IF(F13&lt;&gt;"",$F13/'Elements and ions'!$B$13*2,"")</f>
        <v/>
      </c>
      <c r="N13" s="80" t="str">
        <f>IF(G13&lt;&gt;"",-$G13/'Elements and ions'!$F$3,"")</f>
        <v/>
      </c>
      <c r="O13" s="65" t="str">
        <f>IF(H13&lt;&gt;"",-$H13/'Elements and ions'!$B$18,"")</f>
        <v/>
      </c>
      <c r="P13" s="81" t="str">
        <f>IF(I13&lt;&gt;"",-2*$I13/'Elements and ions'!$F$4,"")</f>
        <v/>
      </c>
      <c r="Q13" s="80" t="str">
        <f t="shared" si="0"/>
        <v/>
      </c>
      <c r="R13" s="65" t="str">
        <f t="shared" si="1"/>
        <v/>
      </c>
      <c r="S13" s="81" t="str">
        <f t="shared" si="2"/>
        <v/>
      </c>
      <c r="T13" s="80" t="str">
        <f t="shared" si="3"/>
        <v/>
      </c>
      <c r="U13" s="65" t="str">
        <f t="shared" si="4"/>
        <v/>
      </c>
      <c r="V13" s="91" t="str">
        <f t="shared" si="5"/>
        <v/>
      </c>
      <c r="W13" s="70" t="str">
        <f t="shared" si="6"/>
        <v/>
      </c>
      <c r="X13" s="65" t="str">
        <f>IF(V13&lt;&gt;"",IF($V13&lt;&gt;0,(($V13+(0.5*T13))/100+1+$AE$9),-1),"")</f>
        <v/>
      </c>
      <c r="Y13" s="81" t="str">
        <f>IF(AND(W13&lt;&gt;-1,X13&lt;&gt;-1,W13&lt;&gt;"",X13&lt;&gt;"",AA13&lt;&gt;-1,Z13&lt;&gt;-1,AA13&lt;&gt;"",Z13&lt;&gt;""),(W13+X13)/2+(AA13-Z13)/(4*COS(0.5)*$AE$5),"")</f>
        <v/>
      </c>
      <c r="Z13" s="70" t="str">
        <f>IF(S13&lt;&gt;"",IF($S13&lt;&gt;"",((($S13*COS(0.5))*$AE$5)/100),-1),"")</f>
        <v/>
      </c>
      <c r="AA13" s="65" t="str">
        <f>IF(T13&lt;&gt;"",IF($T13&lt;&gt;"",((($T13*COS(0.5))*$AE$5)/100),-1),"")</f>
        <v/>
      </c>
      <c r="AB13" s="66" t="str">
        <f>IF(Y13&lt;&gt;"",2*COS(0.5)*$AE$5*(X13-W13)/2+(AA13+Z13)/2,"")</f>
        <v/>
      </c>
      <c r="AE13" s="51" t="s">
        <v>138</v>
      </c>
      <c r="AF13" s="26" t="s">
        <v>118</v>
      </c>
      <c r="AG13" s="93" t="s">
        <v>119</v>
      </c>
      <c r="AH13" s="92"/>
      <c r="AI13" s="93" t="s">
        <v>120</v>
      </c>
      <c r="AJ13" s="92"/>
      <c r="AK13" s="93" t="s">
        <v>121</v>
      </c>
      <c r="AL13" s="92"/>
      <c r="AM13" s="93" t="s">
        <v>122</v>
      </c>
      <c r="AN13" s="92"/>
      <c r="AO13" s="93" t="s">
        <v>123</v>
      </c>
      <c r="AP13" s="92"/>
      <c r="AQ13" s="93" t="s">
        <v>124</v>
      </c>
      <c r="AR13" s="96"/>
      <c r="AS13" s="96"/>
      <c r="AT13" s="92"/>
      <c r="AU13" s="93" t="s">
        <v>119</v>
      </c>
      <c r="AV13" s="92"/>
      <c r="AW13" s="93" t="s">
        <v>120</v>
      </c>
      <c r="AX13" s="92"/>
      <c r="AY13" s="93" t="s">
        <v>121</v>
      </c>
      <c r="AZ13" s="92"/>
      <c r="BA13" s="93" t="s">
        <v>122</v>
      </c>
      <c r="BB13" s="92"/>
      <c r="BC13" s="93" t="s">
        <v>123</v>
      </c>
      <c r="BD13" s="92"/>
      <c r="BE13" s="93" t="s">
        <v>124</v>
      </c>
      <c r="BF13" s="96"/>
      <c r="BG13" s="96"/>
      <c r="BH13" s="92"/>
      <c r="BI13" s="93" t="s">
        <v>119</v>
      </c>
      <c r="BJ13" s="92"/>
      <c r="BK13" s="93" t="s">
        <v>120</v>
      </c>
      <c r="BL13" s="92"/>
      <c r="BM13" s="93" t="s">
        <v>121</v>
      </c>
      <c r="BN13" s="92"/>
      <c r="BO13" s="93" t="s">
        <v>122</v>
      </c>
      <c r="BP13" s="92"/>
    </row>
    <row r="14" spans="1:68" x14ac:dyDescent="0.25">
      <c r="A14" s="37"/>
      <c r="B14" s="52"/>
      <c r="C14" s="53"/>
      <c r="D14" s="4"/>
      <c r="E14" s="4"/>
      <c r="F14" s="52"/>
      <c r="G14" s="53"/>
      <c r="H14" s="4"/>
      <c r="I14" s="3"/>
      <c r="J14" s="90" t="str">
        <f>IF(C14&lt;&gt;"",$C14/'Elements and ions'!$B$12,"")</f>
        <v/>
      </c>
      <c r="K14" s="65" t="str">
        <f>IF(D14&lt;&gt;"",$D14/'Elements and ions'!$B$20,"")</f>
        <v/>
      </c>
      <c r="L14" s="65" t="str">
        <f>IF(E14&lt;&gt;"",$E14/'Elements and ions'!$B$21*2,"")</f>
        <v/>
      </c>
      <c r="M14" s="81" t="str">
        <f>IF(F14&lt;&gt;"",$F14/'Elements and ions'!$B$13*2,"")</f>
        <v/>
      </c>
      <c r="N14" s="80" t="str">
        <f>IF(G14&lt;&gt;"",-$G14/'Elements and ions'!$F$3,"")</f>
        <v/>
      </c>
      <c r="O14" s="65" t="str">
        <f>IF(H14&lt;&gt;"",-$H14/'Elements and ions'!$B$18,"")</f>
        <v/>
      </c>
      <c r="P14" s="81" t="str">
        <f>IF(I14&lt;&gt;"",-2*$I14/'Elements and ions'!$F$4,"")</f>
        <v/>
      </c>
      <c r="Q14" s="80" t="str">
        <f t="shared" si="0"/>
        <v/>
      </c>
      <c r="R14" s="65" t="str">
        <f t="shared" si="1"/>
        <v/>
      </c>
      <c r="S14" s="81" t="str">
        <f t="shared" si="2"/>
        <v/>
      </c>
      <c r="T14" s="80" t="str">
        <f t="shared" si="3"/>
        <v/>
      </c>
      <c r="U14" s="65" t="str">
        <f t="shared" si="4"/>
        <v/>
      </c>
      <c r="V14" s="91" t="str">
        <f t="shared" si="5"/>
        <v/>
      </c>
      <c r="W14" s="70" t="str">
        <f t="shared" si="6"/>
        <v/>
      </c>
      <c r="X14" s="65" t="str">
        <f>IF(V14&lt;&gt;"",IF($V14&lt;&gt;0,(($V14+(0.5*T14))/100+1+$AE$9),-1),"")</f>
        <v/>
      </c>
      <c r="Y14" s="81" t="str">
        <f>IF(AND(W14&lt;&gt;-1,X14&lt;&gt;-1,W14&lt;&gt;"",X14&lt;&gt;"",AA14&lt;&gt;-1,Z14&lt;&gt;-1,AA14&lt;&gt;"",Z14&lt;&gt;""),(W14+X14)/2+(AA14-Z14)/(4*COS(0.5)*$AE$5),"")</f>
        <v/>
      </c>
      <c r="Z14" s="70" t="str">
        <f>IF(S14&lt;&gt;"",IF($S14&lt;&gt;"",((($S14*COS(0.5))*$AE$5)/100),-1),"")</f>
        <v/>
      </c>
      <c r="AA14" s="65" t="str">
        <f>IF(T14&lt;&gt;"",IF($T14&lt;&gt;"",((($T14*COS(0.5))*$AE$5)/100),-1),"")</f>
        <v/>
      </c>
      <c r="AB14" s="66" t="str">
        <f>IF(Y14&lt;&gt;"",2*COS(0.5)*$AE$5*(X14-W14)/2+(AA14+Z14)/2,"")</f>
        <v/>
      </c>
      <c r="AE14" s="51"/>
      <c r="AF14" s="27"/>
      <c r="AG14" s="28"/>
      <c r="AH14" s="29"/>
      <c r="AI14" s="28"/>
      <c r="AJ14" s="29"/>
      <c r="AK14" s="28"/>
      <c r="AL14" s="29"/>
      <c r="AM14" s="28"/>
      <c r="AN14" s="29"/>
      <c r="AO14" s="28"/>
      <c r="AP14" s="29"/>
      <c r="AQ14" s="28"/>
      <c r="AR14" s="30"/>
      <c r="AS14" s="30"/>
      <c r="AT14" s="29"/>
      <c r="AU14" s="28"/>
      <c r="AV14" s="29"/>
      <c r="AW14" s="28"/>
      <c r="AX14" s="29"/>
      <c r="AY14" s="28"/>
      <c r="AZ14" s="29"/>
      <c r="BA14" s="28"/>
      <c r="BB14" s="29"/>
      <c r="BC14" s="28"/>
      <c r="BD14" s="29"/>
      <c r="BE14" s="28"/>
      <c r="BF14" s="30"/>
      <c r="BG14" s="30"/>
      <c r="BH14" s="29"/>
      <c r="BI14" s="28"/>
      <c r="BJ14" s="29"/>
      <c r="BK14" s="28"/>
      <c r="BL14" s="29"/>
      <c r="BM14" s="94"/>
      <c r="BN14" s="95"/>
      <c r="BO14" s="94"/>
      <c r="BP14" s="95"/>
    </row>
    <row r="15" spans="1:68" ht="20.25" customHeight="1" x14ac:dyDescent="0.25">
      <c r="A15" s="37"/>
      <c r="B15" s="52"/>
      <c r="C15" s="53"/>
      <c r="D15" s="4"/>
      <c r="E15" s="4"/>
      <c r="F15" s="52"/>
      <c r="G15" s="53"/>
      <c r="H15" s="4"/>
      <c r="I15" s="3"/>
      <c r="J15" s="90" t="str">
        <f>IF(C15&lt;&gt;"",$C15/'Elements and ions'!$B$12,"")</f>
        <v/>
      </c>
      <c r="K15" s="65" t="str">
        <f>IF(D15&lt;&gt;"",$D15/'Elements and ions'!$B$20,"")</f>
        <v/>
      </c>
      <c r="L15" s="65" t="str">
        <f>IF(E15&lt;&gt;"",$E15/'Elements and ions'!$B$21*2,"")</f>
        <v/>
      </c>
      <c r="M15" s="81" t="str">
        <f>IF(F15&lt;&gt;"",$F15/'Elements and ions'!$B$13*2,"")</f>
        <v/>
      </c>
      <c r="N15" s="80" t="str">
        <f>IF(G15&lt;&gt;"",-$G15/'Elements and ions'!$F$3,"")</f>
        <v/>
      </c>
      <c r="O15" s="65" t="str">
        <f>IF(H15&lt;&gt;"",-$H15/'Elements and ions'!$B$18,"")</f>
        <v/>
      </c>
      <c r="P15" s="81" t="str">
        <f>IF(I15&lt;&gt;"",-2*$I15/'Elements and ions'!$F$4,"")</f>
        <v/>
      </c>
      <c r="Q15" s="80" t="str">
        <f t="shared" si="0"/>
        <v/>
      </c>
      <c r="R15" s="65" t="str">
        <f t="shared" si="1"/>
        <v/>
      </c>
      <c r="S15" s="81" t="str">
        <f t="shared" si="2"/>
        <v/>
      </c>
      <c r="T15" s="80" t="str">
        <f t="shared" si="3"/>
        <v/>
      </c>
      <c r="U15" s="65" t="str">
        <f t="shared" si="4"/>
        <v/>
      </c>
      <c r="V15" s="91" t="str">
        <f t="shared" si="5"/>
        <v/>
      </c>
      <c r="W15" s="70" t="str">
        <f t="shared" si="6"/>
        <v/>
      </c>
      <c r="X15" s="65" t="str">
        <f>IF(V15&lt;&gt;"",IF($V15&lt;&gt;0,(($V15+(0.5*T15))/100+1+$AE$9),-1),"")</f>
        <v/>
      </c>
      <c r="Y15" s="81" t="str">
        <f>IF(AND(W15&lt;&gt;-1,X15&lt;&gt;-1,W15&lt;&gt;"",X15&lt;&gt;"",AA15&lt;&gt;-1,Z15&lt;&gt;-1,AA15&lt;&gt;"",Z15&lt;&gt;""),(W15+X15)/2+(AA15-Z15)/(4*COS(0.5)*$AE$5),"")</f>
        <v/>
      </c>
      <c r="Z15" s="70" t="str">
        <f>IF(S15&lt;&gt;"",IF($S15&lt;&gt;"",((($S15*COS(0.5))*$AE$5)/100),-1),"")</f>
        <v/>
      </c>
      <c r="AA15" s="65" t="str">
        <f>IF(T15&lt;&gt;"",IF($T15&lt;&gt;"",((($T15*COS(0.5))*$AE$5)/100),-1),"")</f>
        <v/>
      </c>
      <c r="AB15" s="66" t="str">
        <f>IF(Y15&lt;&gt;"",2*COS(0.5)*$AE$5*(X15-W15)/2+(AA15+Z15)/2,"")</f>
        <v/>
      </c>
      <c r="AE15" s="51"/>
      <c r="AF15" s="97">
        <f>IF(AND($AE$6&gt;0, $AE$7&gt;0), 0, "")</f>
        <v>0</v>
      </c>
      <c r="AG15" s="58">
        <f>IF(AF15&lt;&gt;"", 0, 0)</f>
        <v>0</v>
      </c>
      <c r="AH15" s="59">
        <f>IF(AF15&lt;&gt;"", (AF15*COS(0.5)*$AE$5), 0)</f>
        <v>0</v>
      </c>
      <c r="AI15" s="58">
        <f>IF(AF15&lt;&gt;"", 1, 0)</f>
        <v>1</v>
      </c>
      <c r="AJ15" s="59">
        <f>IF(AF15&lt;&gt;"", (AF15*COS(0.5)*$AE$5), 0)</f>
        <v>0</v>
      </c>
      <c r="AK15" s="58">
        <f>IF(AND($AE$8=1,AF15&lt;&gt;""), 0, 0)</f>
        <v>0</v>
      </c>
      <c r="AL15" s="59">
        <f>IF($AE$8=1, 0, 0)</f>
        <v>0</v>
      </c>
      <c r="AM15" s="58">
        <f>IF($AE$8=1, 1, 0)</f>
        <v>1</v>
      </c>
      <c r="AN15" s="59">
        <f>IF(AND($AE$8=1, AF15&lt;&gt;""), 0, 0)</f>
        <v>0</v>
      </c>
      <c r="AO15" s="58">
        <v>0</v>
      </c>
      <c r="AP15" s="59">
        <v>0</v>
      </c>
      <c r="AQ15" s="58">
        <v>0</v>
      </c>
      <c r="AR15" s="55">
        <v>0</v>
      </c>
      <c r="AS15" s="55">
        <f>AQ15</f>
        <v>0</v>
      </c>
      <c r="AT15" s="59">
        <f>AR15</f>
        <v>0</v>
      </c>
      <c r="AU15" s="58">
        <f>IF(AF15&lt;&gt;"",AG15+1+$AE$9, $AL$7)</f>
        <v>1.2</v>
      </c>
      <c r="AV15" s="59">
        <f>AJ15</f>
        <v>0</v>
      </c>
      <c r="AW15" s="58">
        <f>AI15+1+$AE$9</f>
        <v>2.2000000000000002</v>
      </c>
      <c r="AX15" s="59">
        <f>AH15</f>
        <v>0</v>
      </c>
      <c r="AY15" s="58"/>
      <c r="AZ15" s="59"/>
      <c r="BA15" s="58"/>
      <c r="BB15" s="59"/>
      <c r="BC15" s="58">
        <f>AO15+1+$AE$9</f>
        <v>1.2</v>
      </c>
      <c r="BD15" s="59">
        <f>AP15</f>
        <v>0</v>
      </c>
      <c r="BE15" s="58">
        <f>AQ15+1+$AE$9</f>
        <v>1.2</v>
      </c>
      <c r="BF15" s="55">
        <f>AR15</f>
        <v>0</v>
      </c>
      <c r="BG15" s="55">
        <f>IF(AF15&lt;&gt;"",AS15+1+$AE$9,BC15)</f>
        <v>1.2</v>
      </c>
      <c r="BH15" s="59">
        <f>IF(AF15&lt;&gt;"",AT15,0)</f>
        <v>0</v>
      </c>
      <c r="BI15" s="58">
        <f>AU15-$AL$8+$AO$8</f>
        <v>0.60000000000000009</v>
      </c>
      <c r="BJ15" s="59">
        <f>AV15+$AP$9-$AM$7</f>
        <v>1.0530990742684474</v>
      </c>
      <c r="BK15" s="58">
        <f>AI15+$AO$10-$AI$9</f>
        <v>1.6</v>
      </c>
      <c r="BL15" s="59">
        <f>AJ15+$AP$9-$AJ$7</f>
        <v>1.0530990742684474</v>
      </c>
      <c r="BM15" s="58">
        <f>IF(AND($AE$8=1,AF15&lt;&gt;""), BI15, $BI$15)</f>
        <v>0.60000000000000009</v>
      </c>
      <c r="BN15" s="59">
        <f>IF(AND($AE$8=1,AF15&lt;&gt;""), BJ15, $BJ$15)</f>
        <v>1.0530990742684474</v>
      </c>
      <c r="BO15" s="58">
        <f>IF(AND($AE$8=1,AF15&lt;&gt;""), BK15, $BK$15)</f>
        <v>1.6</v>
      </c>
      <c r="BP15" s="59">
        <f>IF(AND($AE$8=1,AF15&lt;&gt;""), BL15, $BJ$15)</f>
        <v>1.0530990742684474</v>
      </c>
    </row>
    <row r="16" spans="1:68" x14ac:dyDescent="0.25">
      <c r="A16" s="37"/>
      <c r="B16" s="52"/>
      <c r="C16" s="53"/>
      <c r="D16" s="4"/>
      <c r="E16" s="4"/>
      <c r="F16" s="52"/>
      <c r="G16" s="53"/>
      <c r="H16" s="4"/>
      <c r="I16" s="3"/>
      <c r="J16" s="90" t="str">
        <f>IF(C16&lt;&gt;"",$C16/'Elements and ions'!$B$12,"")</f>
        <v/>
      </c>
      <c r="K16" s="65" t="str">
        <f>IF(D16&lt;&gt;"",$D16/'Elements and ions'!$B$20,"")</f>
        <v/>
      </c>
      <c r="L16" s="65" t="str">
        <f>IF(E16&lt;&gt;"",$E16/'Elements and ions'!$B$21*2,"")</f>
        <v/>
      </c>
      <c r="M16" s="81" t="str">
        <f>IF(F16&lt;&gt;"",$F16/'Elements and ions'!$B$13*2,"")</f>
        <v/>
      </c>
      <c r="N16" s="80" t="str">
        <f>IF(G16&lt;&gt;"",-$G16/'Elements and ions'!$F$3,"")</f>
        <v/>
      </c>
      <c r="O16" s="65" t="str">
        <f>IF(H16&lt;&gt;"",-$H16/'Elements and ions'!$B$18,"")</f>
        <v/>
      </c>
      <c r="P16" s="81" t="str">
        <f>IF(I16&lt;&gt;"",-2*$I16/'Elements and ions'!$F$4,"")</f>
        <v/>
      </c>
      <c r="Q16" s="80" t="str">
        <f t="shared" si="0"/>
        <v/>
      </c>
      <c r="R16" s="65" t="str">
        <f t="shared" si="1"/>
        <v/>
      </c>
      <c r="S16" s="81" t="str">
        <f t="shared" si="2"/>
        <v/>
      </c>
      <c r="T16" s="80" t="str">
        <f t="shared" si="3"/>
        <v/>
      </c>
      <c r="U16" s="65" t="str">
        <f t="shared" si="4"/>
        <v/>
      </c>
      <c r="V16" s="91" t="str">
        <f t="shared" si="5"/>
        <v/>
      </c>
      <c r="W16" s="70" t="str">
        <f t="shared" si="6"/>
        <v/>
      </c>
      <c r="X16" s="65" t="str">
        <f>IF(V16&lt;&gt;"",IF($V16&lt;&gt;0,(($V16+(0.5*T16))/100+1+$AE$9),-1),"")</f>
        <v/>
      </c>
      <c r="Y16" s="81" t="str">
        <f>IF(AND(W16&lt;&gt;-1,X16&lt;&gt;-1,W16&lt;&gt;"",X16&lt;&gt;"",AA16&lt;&gt;-1,Z16&lt;&gt;-1,AA16&lt;&gt;"",Z16&lt;&gt;""),(W16+X16)/2+(AA16-Z16)/(4*COS(0.5)*$AE$5),"")</f>
        <v/>
      </c>
      <c r="Z16" s="70" t="str">
        <f>IF(S16&lt;&gt;"",IF($S16&lt;&gt;"",((($S16*COS(0.5))*$AE$5)/100),-1),"")</f>
        <v/>
      </c>
      <c r="AA16" s="65" t="str">
        <f>IF(T16&lt;&gt;"",IF($T16&lt;&gt;"",((($T16*COS(0.5))*$AE$5)/100),-1),"")</f>
        <v/>
      </c>
      <c r="AB16" s="66" t="str">
        <f>IF(Y16&lt;&gt;"",2*COS(0.5)*$AE$5*(X16-W16)/2+(AA16+Z16)/2,"")</f>
        <v/>
      </c>
      <c r="AE16" s="51"/>
      <c r="AF16" s="97">
        <f>AF15</f>
        <v>0</v>
      </c>
      <c r="AG16" s="58">
        <f>IF(AF16&lt;&gt;"", (0-$AE$7), 0)</f>
        <v>-0.03</v>
      </c>
      <c r="AH16" s="59">
        <f>IF(AF15&lt;&gt;"", (AF15*COS(0.5)*$AE$5), 0)</f>
        <v>0</v>
      </c>
      <c r="AI16" s="58">
        <f>IF(AF16&lt;&gt;"", AI15+($AE$7*0.5), 0)</f>
        <v>1.0149999999999999</v>
      </c>
      <c r="AJ16" s="59">
        <f>IF(AF16&lt;&gt;"", ($AE$7*COS(0.5)*$AE$5), 0)</f>
        <v>2.632747685671118E-2</v>
      </c>
      <c r="AK16" s="58">
        <f>IF(AND($AE$8=1, AF15&lt;&gt;""), 1, 0)</f>
        <v>1</v>
      </c>
      <c r="AL16" s="59">
        <f>IF($AE$8=1, 0, 0)</f>
        <v>0</v>
      </c>
      <c r="AM16" s="58"/>
      <c r="AN16" s="59"/>
      <c r="AO16" s="58"/>
      <c r="AP16" s="59"/>
      <c r="AQ16" s="58">
        <f>IF(AF15&lt;&gt;"",AQ15+(0.5*$AE$7),0)</f>
        <v>1.4999999999999999E-2</v>
      </c>
      <c r="AR16" s="55">
        <f>IF(AF15&lt;&gt;"",-COS(0.5)*$AE$7*$AE$5,0)</f>
        <v>-2.632747685671118E-2</v>
      </c>
      <c r="AS16" s="55">
        <f>AQ16</f>
        <v>1.4999999999999999E-2</v>
      </c>
      <c r="AT16" s="59">
        <f>AR16</f>
        <v>-2.632747685671118E-2</v>
      </c>
      <c r="AU16" s="58">
        <f>IF(AF16&lt;&gt;"",AG16+1+$AE$9+($AE$7*0.5), $AL$7)</f>
        <v>1.1849999999999998</v>
      </c>
      <c r="AV16" s="59">
        <f>AJ16</f>
        <v>2.632747685671118E-2</v>
      </c>
      <c r="AW16" s="58">
        <f>AI16+1+$AE$9+0.5*$AE$7</f>
        <v>2.23</v>
      </c>
      <c r="AX16" s="59">
        <f>AH16</f>
        <v>0</v>
      </c>
      <c r="AY16" s="58"/>
      <c r="AZ16" s="59"/>
      <c r="BA16" s="58"/>
      <c r="BB16" s="59"/>
      <c r="BC16" s="58"/>
      <c r="BD16" s="59"/>
      <c r="BE16" s="58">
        <f>AQ16+1+$AE$9</f>
        <v>1.2149999999999999</v>
      </c>
      <c r="BF16" s="55">
        <f>AR16</f>
        <v>-2.632747685671118E-2</v>
      </c>
      <c r="BG16" s="55">
        <f>IF(AF16&lt;&gt;"",AS16+1+$AE$9-$AE$7,BC15)</f>
        <v>1.1849999999999998</v>
      </c>
      <c r="BH16" s="59">
        <f>IF(AF16&lt;&gt;"",AT16,0)</f>
        <v>-2.632747685671118E-2</v>
      </c>
      <c r="BI16" s="58">
        <f>AU16-$AL$8+$AO$8</f>
        <v>0.58499999999999996</v>
      </c>
      <c r="BJ16" s="59">
        <f>AV16+$AP$9-$AM$7</f>
        <v>1.0794265511251586</v>
      </c>
      <c r="BK16" s="58">
        <f>AI16+$AO$10-$AI$9</f>
        <v>1.6150000000000002</v>
      </c>
      <c r="BL16" s="59">
        <f>AJ16+$AP$9-$AJ$7</f>
        <v>1.0794265511251586</v>
      </c>
      <c r="BM16" s="58">
        <f>IF(AND($AE$8=1,AF16&lt;&gt;""), BM15+0.5, $BI$15)</f>
        <v>1.1000000000000001</v>
      </c>
      <c r="BN16" s="59">
        <f>IF(AND($AE$8=1,AF16&lt;&gt;""), BN15-$AM$7, $BJ$15)</f>
        <v>0.17551651237807464</v>
      </c>
      <c r="BO16" s="58">
        <f>IF(AND($AE$8=1,AF16&lt;&gt;""), BO15-0.5, $BK$15)</f>
        <v>1.1000000000000001</v>
      </c>
      <c r="BP16" s="59">
        <f>IF(AND($AE$8=1,AF16&lt;&gt;""), BP15-$AM$7, $BL$15)</f>
        <v>0.17551651237807464</v>
      </c>
    </row>
    <row r="17" spans="1:68" x14ac:dyDescent="0.25">
      <c r="A17" s="37"/>
      <c r="B17" s="52"/>
      <c r="C17" s="53"/>
      <c r="D17" s="4"/>
      <c r="E17" s="4"/>
      <c r="F17" s="52"/>
      <c r="G17" s="53"/>
      <c r="H17" s="4"/>
      <c r="I17" s="3"/>
      <c r="J17" s="90" t="str">
        <f>IF(C17&lt;&gt;"",$C17/'Elements and ions'!$B$12,"")</f>
        <v/>
      </c>
      <c r="K17" s="65" t="str">
        <f>IF(D17&lt;&gt;"",$D17/'Elements and ions'!$B$20,"")</f>
        <v/>
      </c>
      <c r="L17" s="65" t="str">
        <f>IF(E17&lt;&gt;"",$E17/'Elements and ions'!$B$21*2,"")</f>
        <v/>
      </c>
      <c r="M17" s="81" t="str">
        <f>IF(F17&lt;&gt;"",$F17/'Elements and ions'!$B$13*2,"")</f>
        <v/>
      </c>
      <c r="N17" s="80" t="str">
        <f>IF(G17&lt;&gt;"",-$G17/'Elements and ions'!$F$3,"")</f>
        <v/>
      </c>
      <c r="O17" s="65" t="str">
        <f>IF(H17&lt;&gt;"",-$H17/'Elements and ions'!$B$18,"")</f>
        <v/>
      </c>
      <c r="P17" s="81" t="str">
        <f>IF(I17&lt;&gt;"",-2*$I17/'Elements and ions'!$F$4,"")</f>
        <v/>
      </c>
      <c r="Q17" s="80" t="str">
        <f t="shared" si="0"/>
        <v/>
      </c>
      <c r="R17" s="65" t="str">
        <f t="shared" si="1"/>
        <v/>
      </c>
      <c r="S17" s="81" t="str">
        <f t="shared" si="2"/>
        <v/>
      </c>
      <c r="T17" s="80" t="str">
        <f t="shared" si="3"/>
        <v/>
      </c>
      <c r="U17" s="65" t="str">
        <f t="shared" si="4"/>
        <v/>
      </c>
      <c r="V17" s="91" t="str">
        <f t="shared" si="5"/>
        <v/>
      </c>
      <c r="W17" s="70" t="str">
        <f t="shared" si="6"/>
        <v/>
      </c>
      <c r="X17" s="65" t="str">
        <f>IF(V17&lt;&gt;"",IF($V17&lt;&gt;0,(($V17+(0.5*T17))/100+1+$AE$9),-1),"")</f>
        <v/>
      </c>
      <c r="Y17" s="81" t="str">
        <f>IF(AND(W17&lt;&gt;-1,X17&lt;&gt;-1,W17&lt;&gt;"",X17&lt;&gt;"",AA17&lt;&gt;-1,Z17&lt;&gt;-1,AA17&lt;&gt;"",Z17&lt;&gt;""),(W17+X17)/2+(AA17-Z17)/(4*COS(0.5)*$AE$5),"")</f>
        <v/>
      </c>
      <c r="Z17" s="70" t="str">
        <f>IF(S17&lt;&gt;"",IF($S17&lt;&gt;"",((($S17*COS(0.5))*$AE$5)/100),-1),"")</f>
        <v/>
      </c>
      <c r="AA17" s="65" t="str">
        <f>IF(T17&lt;&gt;"",IF($T17&lt;&gt;"",((($T17*COS(0.5))*$AE$5)/100),-1),"")</f>
        <v/>
      </c>
      <c r="AB17" s="66" t="str">
        <f>IF(Y17&lt;&gt;"",2*COS(0.5)*$AE$5*(X17-W17)/2+(AA17+Z17)/2,"")</f>
        <v/>
      </c>
      <c r="AE17" s="51"/>
      <c r="AF17" s="97">
        <f>AF16</f>
        <v>0</v>
      </c>
      <c r="AG17" s="58">
        <f>IF(AF17&lt;&gt;"", 0, 0)</f>
        <v>0</v>
      </c>
      <c r="AH17" s="59" t="e">
        <f>IF(AF15&lt;&gt;"", (AF15*COS(0.5)*$T$7), 0)</f>
        <v>#VALUE!</v>
      </c>
      <c r="AI17" s="58">
        <f>IF(AF17&lt;&gt;"", 1, 0)</f>
        <v>1</v>
      </c>
      <c r="AJ17" s="59">
        <f>IF(AF17&lt;&gt;"", (AF17*COS(0.5)*$AE$5), 0)</f>
        <v>0</v>
      </c>
      <c r="AK17" s="58"/>
      <c r="AL17" s="59"/>
      <c r="AM17" s="58"/>
      <c r="AN17" s="59"/>
      <c r="AO17" s="58"/>
      <c r="AP17" s="59"/>
      <c r="AQ17" s="58">
        <v>0</v>
      </c>
      <c r="AR17" s="55">
        <v>0</v>
      </c>
      <c r="AS17" s="55">
        <f>AQ17</f>
        <v>0</v>
      </c>
      <c r="AT17" s="59">
        <f>AR17</f>
        <v>0</v>
      </c>
      <c r="AU17" s="58">
        <f>IF(AF17&lt;&gt;"",AG17+1+$AE$9, $AL$7)</f>
        <v>1.2</v>
      </c>
      <c r="AV17" s="59">
        <f>AJ17</f>
        <v>0</v>
      </c>
      <c r="AW17" s="58">
        <f>AI17+1+$AE$9</f>
        <v>2.2000000000000002</v>
      </c>
      <c r="AX17" s="59" t="e">
        <f>AH17</f>
        <v>#VALUE!</v>
      </c>
      <c r="AY17" s="58"/>
      <c r="AZ17" s="59"/>
      <c r="BA17" s="58"/>
      <c r="BB17" s="59"/>
      <c r="BC17" s="58"/>
      <c r="BD17" s="59"/>
      <c r="BE17" s="58">
        <f>AQ17+1+$AE$9</f>
        <v>1.2</v>
      </c>
      <c r="BF17" s="55">
        <f>AR17</f>
        <v>0</v>
      </c>
      <c r="BG17" s="55">
        <f>BG15</f>
        <v>1.2</v>
      </c>
      <c r="BH17" s="59">
        <f>IF(AF17&lt;&gt;"",AT17,0)</f>
        <v>0</v>
      </c>
      <c r="BI17" s="58">
        <f>AU17-$AL$8+$AO$8</f>
        <v>0.60000000000000009</v>
      </c>
      <c r="BJ17" s="59">
        <f>AV17+$AP$9-$AM$7</f>
        <v>1.0530990742684474</v>
      </c>
      <c r="BK17" s="58">
        <f>AI17+$AO$10-$AI$9</f>
        <v>1.6</v>
      </c>
      <c r="BL17" s="59">
        <f>AJ17+$AP$9-$AJ$7</f>
        <v>1.0530990742684474</v>
      </c>
      <c r="BM17" s="58"/>
      <c r="BN17" s="59"/>
      <c r="BO17" s="58"/>
      <c r="BP17" s="59"/>
    </row>
    <row r="18" spans="1:68" x14ac:dyDescent="0.25">
      <c r="A18" s="37"/>
      <c r="B18" s="52"/>
      <c r="C18" s="53"/>
      <c r="D18" s="4"/>
      <c r="E18" s="4"/>
      <c r="F18" s="52"/>
      <c r="G18" s="53"/>
      <c r="H18" s="4"/>
      <c r="I18" s="3"/>
      <c r="J18" s="90" t="str">
        <f>IF(C18&lt;&gt;"",$C18/'Elements and ions'!$B$12,"")</f>
        <v/>
      </c>
      <c r="K18" s="65" t="str">
        <f>IF(D18&lt;&gt;"",$D18/'Elements and ions'!$B$20,"")</f>
        <v/>
      </c>
      <c r="L18" s="65" t="str">
        <f>IF(E18&lt;&gt;"",$E18/'Elements and ions'!$B$21*2,"")</f>
        <v/>
      </c>
      <c r="M18" s="81" t="str">
        <f>IF(F18&lt;&gt;"",$F18/'Elements and ions'!$B$13*2,"")</f>
        <v/>
      </c>
      <c r="N18" s="80" t="str">
        <f>IF(G18&lt;&gt;"",-$G18/'Elements and ions'!$F$3,"")</f>
        <v/>
      </c>
      <c r="O18" s="65" t="str">
        <f>IF(H18&lt;&gt;"",-$H18/'Elements and ions'!$B$18,"")</f>
        <v/>
      </c>
      <c r="P18" s="81" t="str">
        <f>IF(I18&lt;&gt;"",-2*$I18/'Elements and ions'!$F$4,"")</f>
        <v/>
      </c>
      <c r="Q18" s="80" t="str">
        <f t="shared" si="0"/>
        <v/>
      </c>
      <c r="R18" s="65" t="str">
        <f t="shared" si="1"/>
        <v/>
      </c>
      <c r="S18" s="81" t="str">
        <f t="shared" si="2"/>
        <v/>
      </c>
      <c r="T18" s="80" t="str">
        <f t="shared" si="3"/>
        <v/>
      </c>
      <c r="U18" s="65" t="str">
        <f t="shared" si="4"/>
        <v/>
      </c>
      <c r="V18" s="91" t="str">
        <f t="shared" si="5"/>
        <v/>
      </c>
      <c r="W18" s="70" t="str">
        <f t="shared" si="6"/>
        <v/>
      </c>
      <c r="X18" s="65" t="str">
        <f>IF(V18&lt;&gt;"",IF($V18&lt;&gt;0,(($V18+(0.5*T18))/100+1+$AE$9),-1),"")</f>
        <v/>
      </c>
      <c r="Y18" s="81" t="str">
        <f>IF(AND(W18&lt;&gt;-1,X18&lt;&gt;-1,W18&lt;&gt;"",X18&lt;&gt;"",AA18&lt;&gt;-1,Z18&lt;&gt;-1,AA18&lt;&gt;"",Z18&lt;&gt;""),(W18+X18)/2+(AA18-Z18)/(4*COS(0.5)*$AE$5),"")</f>
        <v/>
      </c>
      <c r="Z18" s="70" t="str">
        <f>IF(S18&lt;&gt;"",IF($S18&lt;&gt;"",((($S18*COS(0.5))*$AE$5)/100),-1),"")</f>
        <v/>
      </c>
      <c r="AA18" s="65" t="str">
        <f>IF(T18&lt;&gt;"",IF($T18&lt;&gt;"",((($T18*COS(0.5))*$AE$5)/100),-1),"")</f>
        <v/>
      </c>
      <c r="AB18" s="66" t="str">
        <f>IF(Y18&lt;&gt;"",2*COS(0.5)*$AE$5*(X18-W18)/2+(AA18+Z18)/2,"")</f>
        <v/>
      </c>
      <c r="AE18" s="51"/>
      <c r="AF18" s="97">
        <f>IF(AND($AE$6&gt;0, $AE$7&gt;0, AF15&lt;1), AF15+$AE$6, "")</f>
        <v>0.1</v>
      </c>
      <c r="AG18" s="58">
        <f>IF(AF18&lt;&gt;"", (AF18*0.5), AG15)</f>
        <v>0.05</v>
      </c>
      <c r="AH18" s="59">
        <f>IF(AF18&lt;&gt;"", (AF18*COS(0.5)*$AE$5), AH15)</f>
        <v>8.7758256189037279E-2</v>
      </c>
      <c r="AI18" s="58">
        <f>IF(AF18&lt;&gt;"", 1-(AF18*0.5), AI15)</f>
        <v>0.95</v>
      </c>
      <c r="AJ18" s="59">
        <f>IF(AF18&lt;&gt;"", (AF18*COS(0.5)*$AE$5), AJ15)</f>
        <v>8.7758256189037279E-2</v>
      </c>
      <c r="AK18" s="58">
        <f>IF($AE$8=1, AI18, AK15)</f>
        <v>0.95</v>
      </c>
      <c r="AL18" s="59">
        <f>IF($AE$8=1, AJ18, AL15)</f>
        <v>8.7758256189037279E-2</v>
      </c>
      <c r="AM18" s="58">
        <f>IF(AND($AE$8=1, AF18&lt;&gt;""), AI18, AM15)</f>
        <v>0.95</v>
      </c>
      <c r="AN18" s="59">
        <f>IF(AND($AE$8=1, AF18&lt;&gt;""), AJ18, AN15)</f>
        <v>8.7758256189037279E-2</v>
      </c>
      <c r="AO18" s="58">
        <f>IF($AE$8=1,AQ18,AO15)</f>
        <v>0.1</v>
      </c>
      <c r="AP18" s="59">
        <v>0</v>
      </c>
      <c r="AQ18" s="58">
        <f>IF(AF18&lt;&gt;"", AF18, 0)</f>
        <v>0.1</v>
      </c>
      <c r="AR18" s="55">
        <v>0</v>
      </c>
      <c r="AS18" s="55">
        <f>AQ18</f>
        <v>0.1</v>
      </c>
      <c r="AT18" s="59">
        <f>AR18</f>
        <v>0</v>
      </c>
      <c r="AU18" s="58">
        <f>IF(AF18&lt;&gt;"",AG18+1+$AE$9, $AL$7)</f>
        <v>1.25</v>
      </c>
      <c r="AV18" s="59">
        <f>AJ18</f>
        <v>8.7758256189037279E-2</v>
      </c>
      <c r="AW18" s="58">
        <f>AI18+1+$AE$9</f>
        <v>2.15</v>
      </c>
      <c r="AX18" s="59">
        <f>AH18</f>
        <v>8.7758256189037279E-2</v>
      </c>
      <c r="AY18" s="58">
        <f>AK18+1+$AE$9</f>
        <v>2.15</v>
      </c>
      <c r="AZ18" s="59">
        <f>AL18</f>
        <v>8.7758256189037279E-2</v>
      </c>
      <c r="BA18" s="58">
        <f>AM18+1+$AE$9</f>
        <v>2.15</v>
      </c>
      <c r="BB18" s="59">
        <f>AN18</f>
        <v>8.7758256189037279E-2</v>
      </c>
      <c r="BC18" s="58">
        <f>AO18+1+$AE$9</f>
        <v>1.3</v>
      </c>
      <c r="BD18" s="59">
        <f>AP18</f>
        <v>0</v>
      </c>
      <c r="BE18" s="58">
        <f>AQ18+1+$AE$9</f>
        <v>1.3</v>
      </c>
      <c r="BF18" s="55">
        <f>AR18</f>
        <v>0</v>
      </c>
      <c r="BG18" s="55">
        <f>IF(AF18&lt;&gt;"",AS18+1+$AE$9,BC18)</f>
        <v>1.3</v>
      </c>
      <c r="BH18" s="59">
        <f>IF(AF18&lt;&gt;"",AT18,0)</f>
        <v>0</v>
      </c>
      <c r="BI18" s="58">
        <f>AU18-$AL$8+$AO$8</f>
        <v>0.65000000000000013</v>
      </c>
      <c r="BJ18" s="59">
        <f>AV18+$AP$9-$AM$7</f>
        <v>1.1408573304574845</v>
      </c>
      <c r="BK18" s="58">
        <f>AI18+$AO$10-$AI$9</f>
        <v>1.5499999999999998</v>
      </c>
      <c r="BL18" s="59">
        <f>AJ18+$AP$9-$AJ$7</f>
        <v>1.1408573304574845</v>
      </c>
      <c r="BM18" s="58">
        <f>IF(AND($AE$8=1,AF18&lt;&gt;""), BI18, $BI$15)</f>
        <v>0.65000000000000013</v>
      </c>
      <c r="BN18" s="59">
        <f>IF(AND($AE$8=1,AF18&lt;&gt;""), BJ18, $BJ$15)</f>
        <v>1.1408573304574845</v>
      </c>
      <c r="BO18" s="58">
        <f>IF(AND($AE$8=1,AF18&lt;&gt;""), BK18, $BK$15)</f>
        <v>1.5499999999999998</v>
      </c>
      <c r="BP18" s="59">
        <f>IF(AND($AE$8=1,AF18&lt;&gt;""), BL18, $BJ$15)</f>
        <v>1.1408573304574845</v>
      </c>
    </row>
    <row r="19" spans="1:68" x14ac:dyDescent="0.25">
      <c r="A19" s="37"/>
      <c r="B19" s="52"/>
      <c r="C19" s="53"/>
      <c r="D19" s="4"/>
      <c r="E19" s="4"/>
      <c r="F19" s="52"/>
      <c r="G19" s="53"/>
      <c r="H19" s="4"/>
      <c r="I19" s="3"/>
      <c r="J19" s="90" t="str">
        <f>IF(C19&lt;&gt;"",$C19/'Elements and ions'!$B$12,"")</f>
        <v/>
      </c>
      <c r="K19" s="65" t="str">
        <f>IF(D19&lt;&gt;"",$D19/'Elements and ions'!$B$20,"")</f>
        <v/>
      </c>
      <c r="L19" s="65" t="str">
        <f>IF(E19&lt;&gt;"",$E19/'Elements and ions'!$B$21*2,"")</f>
        <v/>
      </c>
      <c r="M19" s="81" t="str">
        <f>IF(F19&lt;&gt;"",$F19/'Elements and ions'!$B$13*2,"")</f>
        <v/>
      </c>
      <c r="N19" s="80" t="str">
        <f>IF(G19&lt;&gt;"",-$G19/'Elements and ions'!$F$3,"")</f>
        <v/>
      </c>
      <c r="O19" s="65" t="str">
        <f>IF(H19&lt;&gt;"",-$H19/'Elements and ions'!$B$18,"")</f>
        <v/>
      </c>
      <c r="P19" s="81" t="str">
        <f>IF(I19&lt;&gt;"",-2*$I19/'Elements and ions'!$F$4,"")</f>
        <v/>
      </c>
      <c r="Q19" s="80" t="str">
        <f t="shared" si="0"/>
        <v/>
      </c>
      <c r="R19" s="65" t="str">
        <f t="shared" si="1"/>
        <v/>
      </c>
      <c r="S19" s="81" t="str">
        <f t="shared" si="2"/>
        <v/>
      </c>
      <c r="T19" s="80" t="str">
        <f t="shared" si="3"/>
        <v/>
      </c>
      <c r="U19" s="65" t="str">
        <f t="shared" si="4"/>
        <v/>
      </c>
      <c r="V19" s="91" t="str">
        <f t="shared" si="5"/>
        <v/>
      </c>
      <c r="W19" s="70" t="str">
        <f t="shared" si="6"/>
        <v/>
      </c>
      <c r="X19" s="65" t="str">
        <f>IF(V19&lt;&gt;"",IF($V19&lt;&gt;0,(($V19+(0.5*T19))/100+1+$AE$9),-1),"")</f>
        <v/>
      </c>
      <c r="Y19" s="81" t="str">
        <f>IF(AND(W19&lt;&gt;-1,X19&lt;&gt;-1,W19&lt;&gt;"",X19&lt;&gt;"",AA19&lt;&gt;-1,Z19&lt;&gt;-1,AA19&lt;&gt;"",Z19&lt;&gt;""),(W19+X19)/2+(AA19-Z19)/(4*COS(0.5)*$AE$5),"")</f>
        <v/>
      </c>
      <c r="Z19" s="70" t="str">
        <f>IF(S19&lt;&gt;"",IF($S19&lt;&gt;"",((($S19*COS(0.5))*$AE$5)/100),-1),"")</f>
        <v/>
      </c>
      <c r="AA19" s="65" t="str">
        <f>IF(T19&lt;&gt;"",IF($T19&lt;&gt;"",((($T19*COS(0.5))*$AE$5)/100),-1),"")</f>
        <v/>
      </c>
      <c r="AB19" s="66" t="str">
        <f>IF(Y19&lt;&gt;"",2*COS(0.5)*$AE$5*(X19-W19)/2+(AA19+Z19)/2,"")</f>
        <v/>
      </c>
      <c r="AE19" s="51"/>
      <c r="AF19" s="97">
        <f t="shared" ref="AF19:AF77" si="7">AF18</f>
        <v>0.1</v>
      </c>
      <c r="AG19" s="58">
        <f>IF(AF19&lt;&gt;"", ((AF19*0.5)-$AE$7), AG15)</f>
        <v>2.0000000000000004E-2</v>
      </c>
      <c r="AH19" s="59">
        <f>IF(AF19&lt;&gt;"", (AF19*COS(0.5)*$AE$5), AH16)</f>
        <v>8.7758256189037279E-2</v>
      </c>
      <c r="AI19" s="58">
        <f>IF(AF19&lt;&gt;"", AI18+($AE$7*0.5), AI15)</f>
        <v>0.96499999999999997</v>
      </c>
      <c r="AJ19" s="59">
        <f>IF(AF19&lt;&gt;"", AJ18+($AE$7*COS(0.5)*$AE$5), AJ15)</f>
        <v>0.11408573304574846</v>
      </c>
      <c r="AK19" s="58">
        <f>IF($AE$8=1, AG18, AK15)</f>
        <v>0.05</v>
      </c>
      <c r="AL19" s="59">
        <f>IF($AE$8=1, AJ18, AL15)</f>
        <v>8.7758256189037279E-2</v>
      </c>
      <c r="AM19" s="58">
        <f>IF(AND($AE$8=1, AF18&lt;&gt;""), 1-AF18, AM18)</f>
        <v>0.9</v>
      </c>
      <c r="AN19" s="59">
        <f>IF(AND($AE$8=1, AF18&lt;&gt;""), 0, AN18)</f>
        <v>0</v>
      </c>
      <c r="AO19" s="58">
        <f>IF($AE$8=1,AG18,AO18)</f>
        <v>0.05</v>
      </c>
      <c r="AP19" s="59">
        <f>IF($AE$8=1,AH18,0)</f>
        <v>8.7758256189037279E-2</v>
      </c>
      <c r="AQ19" s="58">
        <f>IF(AF18&lt;&gt;"",AQ18+(0.5*$AE$7),0)</f>
        <v>0.115</v>
      </c>
      <c r="AR19" s="55">
        <f>IF(AF18&lt;&gt;"",-COS(0.5)*$AE$7*$AE$5,0)</f>
        <v>-2.632747685671118E-2</v>
      </c>
      <c r="AS19" s="55">
        <f>AQ19</f>
        <v>0.115</v>
      </c>
      <c r="AT19" s="59">
        <f>AR19</f>
        <v>-2.632747685671118E-2</v>
      </c>
      <c r="AU19" s="58">
        <f>IF(AF19&lt;&gt;"",AG19+1+$AE$9+($AE$7*0.5), $AL$7)</f>
        <v>1.2349999999999999</v>
      </c>
      <c r="AV19" s="59">
        <f>AJ19</f>
        <v>0.11408573304574846</v>
      </c>
      <c r="AW19" s="58">
        <f>AI19+1+$AE$9+0.5*$AE$7</f>
        <v>2.1800000000000002</v>
      </c>
      <c r="AX19" s="59">
        <f>AH19</f>
        <v>8.7758256189037279E-2</v>
      </c>
      <c r="AY19" s="58">
        <f>AK19+1+$AE$9</f>
        <v>1.25</v>
      </c>
      <c r="AZ19" s="59">
        <f>AL19</f>
        <v>8.7758256189037279E-2</v>
      </c>
      <c r="BA19" s="58">
        <f>AM19+1+$AE$9</f>
        <v>2.1</v>
      </c>
      <c r="BB19" s="59">
        <f>AN19</f>
        <v>0</v>
      </c>
      <c r="BC19" s="58">
        <f>AO19+1+$AE$9</f>
        <v>1.25</v>
      </c>
      <c r="BD19" s="59">
        <f>AP19</f>
        <v>8.7758256189037279E-2</v>
      </c>
      <c r="BE19" s="58">
        <f>AQ19+1+$AE$9</f>
        <v>1.3149999999999999</v>
      </c>
      <c r="BF19" s="55">
        <f>AR19</f>
        <v>-2.632747685671118E-2</v>
      </c>
      <c r="BG19" s="55">
        <f>IF(AF19&lt;&gt;"",AS19+1+$AE$9-$AE$7,BC18)</f>
        <v>1.2849999999999999</v>
      </c>
      <c r="BH19" s="59">
        <f>IF(AF19&lt;&gt;"",AT19,0)</f>
        <v>-2.632747685671118E-2</v>
      </c>
      <c r="BI19" s="58">
        <f>AU19-$AL$8+$AO$8</f>
        <v>0.63500000000000001</v>
      </c>
      <c r="BJ19" s="59">
        <f>AV19+$AP$9-$AM$7</f>
        <v>1.1671848073141957</v>
      </c>
      <c r="BK19" s="58">
        <f>AI19+$AO$10-$AI$9</f>
        <v>1.5649999999999999</v>
      </c>
      <c r="BL19" s="59">
        <f>AJ19+$AP$9-$AJ$7</f>
        <v>1.1671848073141957</v>
      </c>
      <c r="BM19" s="58">
        <f>IF(AND($AE$8=1,AF19&lt;&gt;""), BM18+0.5, $BI$15)</f>
        <v>1.1500000000000001</v>
      </c>
      <c r="BN19" s="59">
        <f>IF(AND($AE$8=1,AF19&lt;&gt;""), BN18-$AM$7, $BJ$15)</f>
        <v>0.26327476856711174</v>
      </c>
      <c r="BO19" s="58">
        <f>IF(AND($AE$8=1,AF19&lt;&gt;""), BO18-0.5, $BK$15)</f>
        <v>1.0499999999999998</v>
      </c>
      <c r="BP19" s="59">
        <f>IF(AND($AE$8=1,AF19&lt;&gt;""), BP18-$AM$7, $BL$15)</f>
        <v>0.26327476856711174</v>
      </c>
    </row>
    <row r="20" spans="1:68" x14ac:dyDescent="0.25">
      <c r="A20" s="37"/>
      <c r="B20" s="52"/>
      <c r="C20" s="53"/>
      <c r="D20" s="4"/>
      <c r="E20" s="4"/>
      <c r="F20" s="52"/>
      <c r="G20" s="53"/>
      <c r="H20" s="4"/>
      <c r="I20" s="3"/>
      <c r="J20" s="90" t="str">
        <f>IF(C20&lt;&gt;"",$C20/'Elements and ions'!$B$12,"")</f>
        <v/>
      </c>
      <c r="K20" s="65" t="str">
        <f>IF(D20&lt;&gt;"",$D20/'Elements and ions'!$B$20,"")</f>
        <v/>
      </c>
      <c r="L20" s="65" t="str">
        <f>IF(E20&lt;&gt;"",$E20/'Elements and ions'!$B$21*2,"")</f>
        <v/>
      </c>
      <c r="M20" s="81" t="str">
        <f>IF(F20&lt;&gt;"",$F20/'Elements and ions'!$B$13*2,"")</f>
        <v/>
      </c>
      <c r="N20" s="80" t="str">
        <f>IF(G20&lt;&gt;"",-$G20/'Elements and ions'!$F$3,"")</f>
        <v/>
      </c>
      <c r="O20" s="65" t="str">
        <f>IF(H20&lt;&gt;"",-$H20/'Elements and ions'!$B$18,"")</f>
        <v/>
      </c>
      <c r="P20" s="81" t="str">
        <f>IF(I20&lt;&gt;"",-2*$I20/'Elements and ions'!$F$4,"")</f>
        <v/>
      </c>
      <c r="Q20" s="80" t="str">
        <f t="shared" si="0"/>
        <v/>
      </c>
      <c r="R20" s="65" t="str">
        <f t="shared" si="1"/>
        <v/>
      </c>
      <c r="S20" s="81" t="str">
        <f t="shared" si="2"/>
        <v/>
      </c>
      <c r="T20" s="80" t="str">
        <f t="shared" si="3"/>
        <v/>
      </c>
      <c r="U20" s="65" t="str">
        <f t="shared" si="4"/>
        <v/>
      </c>
      <c r="V20" s="91" t="str">
        <f t="shared" si="5"/>
        <v/>
      </c>
      <c r="W20" s="70" t="str">
        <f t="shared" si="6"/>
        <v/>
      </c>
      <c r="X20" s="65" t="str">
        <f>IF(V20&lt;&gt;"",IF($V20&lt;&gt;0,(($V20+(0.5*T20))/100+1+$AE$9),-1),"")</f>
        <v/>
      </c>
      <c r="Y20" s="81" t="str">
        <f>IF(AND(W20&lt;&gt;-1,X20&lt;&gt;-1,W20&lt;&gt;"",X20&lt;&gt;"",AA20&lt;&gt;-1,Z20&lt;&gt;-1,AA20&lt;&gt;"",Z20&lt;&gt;""),(W20+X20)/2+(AA20-Z20)/(4*COS(0.5)*$AE$5),"")</f>
        <v/>
      </c>
      <c r="Z20" s="70" t="str">
        <f>IF(S20&lt;&gt;"",IF($S20&lt;&gt;"",((($S20*COS(0.5))*$AE$5)/100),-1),"")</f>
        <v/>
      </c>
      <c r="AA20" s="65" t="str">
        <f>IF(T20&lt;&gt;"",IF($T20&lt;&gt;"",((($T20*COS(0.5))*$AE$5)/100),-1),"")</f>
        <v/>
      </c>
      <c r="AB20" s="66" t="str">
        <f>IF(Y20&lt;&gt;"",2*COS(0.5)*$AE$5*(X20-W20)/2+(AA20+Z20)/2,"")</f>
        <v/>
      </c>
      <c r="AE20" s="51"/>
      <c r="AF20" s="97">
        <f t="shared" si="7"/>
        <v>0.1</v>
      </c>
      <c r="AG20" s="58">
        <f>IF(AF20&lt;&gt;"", (AF20*0.5), AG15)</f>
        <v>0.05</v>
      </c>
      <c r="AH20" s="59">
        <f>IF(AF20&lt;&gt;"", (AF20*COS(0.5)*$AE$5), AH17)</f>
        <v>8.7758256189037279E-2</v>
      </c>
      <c r="AI20" s="58">
        <f>IF(AF20&lt;&gt;"", 1-(AF20*0.5), AI15)</f>
        <v>0.95</v>
      </c>
      <c r="AJ20" s="59">
        <f>IF(AF20&lt;&gt;"", (AF20*COS(0.5)*$AE$5), AJ17)</f>
        <v>8.7758256189037279E-2</v>
      </c>
      <c r="AK20" s="58"/>
      <c r="AL20" s="59"/>
      <c r="AM20" s="58"/>
      <c r="AN20" s="59"/>
      <c r="AO20" s="58"/>
      <c r="AP20" s="59"/>
      <c r="AQ20" s="58">
        <f>IF(AF18&lt;&gt;"", AF18, 0)</f>
        <v>0.1</v>
      </c>
      <c r="AR20" s="55">
        <v>0</v>
      </c>
      <c r="AS20" s="55">
        <f>AQ20</f>
        <v>0.1</v>
      </c>
      <c r="AT20" s="59">
        <f>AR20</f>
        <v>0</v>
      </c>
      <c r="AU20" s="58">
        <f>IF(AF20&lt;&gt;"",AG20+1+$AE$9, $AL$7)</f>
        <v>1.25</v>
      </c>
      <c r="AV20" s="59">
        <f>AJ20</f>
        <v>8.7758256189037279E-2</v>
      </c>
      <c r="AW20" s="58">
        <f>AI20+1+$AE$9</f>
        <v>2.15</v>
      </c>
      <c r="AX20" s="59">
        <f>AH20</f>
        <v>8.7758256189037279E-2</v>
      </c>
      <c r="AY20" s="58"/>
      <c r="AZ20" s="59"/>
      <c r="BA20" s="58"/>
      <c r="BB20" s="59"/>
      <c r="BC20" s="58"/>
      <c r="BD20" s="59"/>
      <c r="BE20" s="58">
        <f>AQ20+1+$AE$9</f>
        <v>1.3</v>
      </c>
      <c r="BF20" s="55">
        <f>AR20</f>
        <v>0</v>
      </c>
      <c r="BG20" s="55">
        <f t="shared" ref="BG20" si="8">BG18</f>
        <v>1.3</v>
      </c>
      <c r="BH20" s="59">
        <f>IF(AF20&lt;&gt;"",AT20,0)</f>
        <v>0</v>
      </c>
      <c r="BI20" s="58">
        <f>AU20-$AL$8+$AO$8</f>
        <v>0.65000000000000013</v>
      </c>
      <c r="BJ20" s="59">
        <f>AV20+$AP$9-$AM$7</f>
        <v>1.1408573304574845</v>
      </c>
      <c r="BK20" s="58">
        <f>AI20+$AO$10-$AI$9</f>
        <v>1.5499999999999998</v>
      </c>
      <c r="BL20" s="59">
        <f>AJ20+$AP$9-$AJ$7</f>
        <v>1.1408573304574845</v>
      </c>
      <c r="BM20" s="58"/>
      <c r="BN20" s="59"/>
      <c r="BO20" s="58"/>
      <c r="BP20" s="59"/>
    </row>
    <row r="21" spans="1:68" x14ac:dyDescent="0.25">
      <c r="A21" s="37"/>
      <c r="B21" s="52"/>
      <c r="C21" s="53"/>
      <c r="D21" s="4"/>
      <c r="E21" s="4"/>
      <c r="F21" s="52"/>
      <c r="G21" s="53"/>
      <c r="H21" s="4"/>
      <c r="I21" s="3"/>
      <c r="J21" s="90" t="str">
        <f>IF(C21&lt;&gt;"",$C21/'Elements and ions'!$B$12,"")</f>
        <v/>
      </c>
      <c r="K21" s="65" t="str">
        <f>IF(D21&lt;&gt;"",$D21/'Elements and ions'!$B$20,"")</f>
        <v/>
      </c>
      <c r="L21" s="65" t="str">
        <f>IF(E21&lt;&gt;"",$E21/'Elements and ions'!$B$21*2,"")</f>
        <v/>
      </c>
      <c r="M21" s="81" t="str">
        <f>IF(F21&lt;&gt;"",$F21/'Elements and ions'!$B$13*2,"")</f>
        <v/>
      </c>
      <c r="N21" s="80" t="str">
        <f>IF(G21&lt;&gt;"",-$G21/'Elements and ions'!$F$3,"")</f>
        <v/>
      </c>
      <c r="O21" s="65" t="str">
        <f>IF(H21&lt;&gt;"",-$H21/'Elements and ions'!$B$18,"")</f>
        <v/>
      </c>
      <c r="P21" s="81" t="str">
        <f>IF(I21&lt;&gt;"",-2*$I21/'Elements and ions'!$F$4,"")</f>
        <v/>
      </c>
      <c r="Q21" s="80" t="str">
        <f t="shared" si="0"/>
        <v/>
      </c>
      <c r="R21" s="65" t="str">
        <f t="shared" si="1"/>
        <v/>
      </c>
      <c r="S21" s="81" t="str">
        <f t="shared" si="2"/>
        <v/>
      </c>
      <c r="T21" s="80" t="str">
        <f t="shared" si="3"/>
        <v/>
      </c>
      <c r="U21" s="65" t="str">
        <f t="shared" si="4"/>
        <v/>
      </c>
      <c r="V21" s="91" t="str">
        <f t="shared" si="5"/>
        <v/>
      </c>
      <c r="W21" s="70" t="str">
        <f t="shared" si="6"/>
        <v/>
      </c>
      <c r="X21" s="65" t="str">
        <f>IF(V21&lt;&gt;"",IF($V21&lt;&gt;0,(($V21+(0.5*T21))/100+1+$AE$9),-1),"")</f>
        <v/>
      </c>
      <c r="Y21" s="81" t="str">
        <f>IF(AND(W21&lt;&gt;-1,X21&lt;&gt;-1,W21&lt;&gt;"",X21&lt;&gt;"",AA21&lt;&gt;-1,Z21&lt;&gt;-1,AA21&lt;&gt;"",Z21&lt;&gt;""),(W21+X21)/2+(AA21-Z21)/(4*COS(0.5)*$AE$5),"")</f>
        <v/>
      </c>
      <c r="Z21" s="70" t="str">
        <f>IF(S21&lt;&gt;"",IF($S21&lt;&gt;"",((($S21*COS(0.5))*$AE$5)/100),-1),"")</f>
        <v/>
      </c>
      <c r="AA21" s="65" t="str">
        <f>IF(T21&lt;&gt;"",IF($T21&lt;&gt;"",((($T21*COS(0.5))*$AE$5)/100),-1),"")</f>
        <v/>
      </c>
      <c r="AB21" s="66" t="str">
        <f>IF(Y21&lt;&gt;"",2*COS(0.5)*$AE$5*(X21-W21)/2+(AA21+Z21)/2,"")</f>
        <v/>
      </c>
      <c r="AE21" s="51"/>
      <c r="AF21" s="97">
        <f>IF(AND($AE$6&gt;0, $AE$7&gt;0, AF18&lt;1), AF18+$AE$6, "")</f>
        <v>0.2</v>
      </c>
      <c r="AG21" s="58">
        <f>IF(AF21&lt;&gt;"", (AF21*0.5), AG18)</f>
        <v>0.1</v>
      </c>
      <c r="AH21" s="59">
        <f>IF(AF21&lt;&gt;"", (AF21*COS(0.5)*$AE$5), AH18)</f>
        <v>0.17551651237807456</v>
      </c>
      <c r="AI21" s="58">
        <f>IF(AF21&lt;&gt;"", 1-(AF21*0.5), AI18)</f>
        <v>0.9</v>
      </c>
      <c r="AJ21" s="59">
        <f>IF(AF21&lt;&gt;"", (AF21*COS(0.5)*$AE$5), AJ18)</f>
        <v>0.17551651237807456</v>
      </c>
      <c r="AK21" s="58">
        <f>IF($AE$8=1, AI21, AK18)</f>
        <v>0.9</v>
      </c>
      <c r="AL21" s="59">
        <f>IF($AE$8=1, AJ21, AL18)</f>
        <v>0.17551651237807456</v>
      </c>
      <c r="AM21" s="58">
        <f>IF(AND($AE$8=1, AF21&lt;&gt;""), AI21, AM18)</f>
        <v>0.9</v>
      </c>
      <c r="AN21" s="59">
        <f>IF(AND($AE$8=1, AF21&lt;&gt;""), AJ21, AN18)</f>
        <v>0.17551651237807456</v>
      </c>
      <c r="AO21" s="58">
        <f>IF($AE$8=1,AQ21,AO18)</f>
        <v>0.2</v>
      </c>
      <c r="AP21" s="59">
        <v>0</v>
      </c>
      <c r="AQ21" s="58">
        <f>IF(AF21&lt;&gt;"", AF21, 0)</f>
        <v>0.2</v>
      </c>
      <c r="AR21" s="55">
        <v>0</v>
      </c>
      <c r="AS21" s="55">
        <f>AQ21</f>
        <v>0.2</v>
      </c>
      <c r="AT21" s="59">
        <f>AR21</f>
        <v>0</v>
      </c>
      <c r="AU21" s="58">
        <f>IF(AF21&lt;&gt;"",AG21+1+$AE$9, $AL$7)</f>
        <v>1.3</v>
      </c>
      <c r="AV21" s="59">
        <f>AJ21</f>
        <v>0.17551651237807456</v>
      </c>
      <c r="AW21" s="58">
        <f>AI21+1+$AE$9</f>
        <v>2.1</v>
      </c>
      <c r="AX21" s="59">
        <f>AH21</f>
        <v>0.17551651237807456</v>
      </c>
      <c r="AY21" s="58">
        <f>AK21+1+$AE$9</f>
        <v>2.1</v>
      </c>
      <c r="AZ21" s="59">
        <f>AL21</f>
        <v>0.17551651237807456</v>
      </c>
      <c r="BA21" s="58">
        <f>AM21+1+$AE$9</f>
        <v>2.1</v>
      </c>
      <c r="BB21" s="59">
        <f>AN21</f>
        <v>0.17551651237807456</v>
      </c>
      <c r="BC21" s="58">
        <f>AO21+1+$AE$9</f>
        <v>1.4</v>
      </c>
      <c r="BD21" s="59">
        <f>AP21</f>
        <v>0</v>
      </c>
      <c r="BE21" s="58">
        <f>AQ21+1+$AE$9</f>
        <v>1.4</v>
      </c>
      <c r="BF21" s="55">
        <f>AR21</f>
        <v>0</v>
      </c>
      <c r="BG21" s="55">
        <f>IF(AF21&lt;&gt;"",AS21+1+$AE$9,BC21)</f>
        <v>1.4</v>
      </c>
      <c r="BH21" s="59">
        <f>IF(AF21&lt;&gt;"",AT21,0)</f>
        <v>0</v>
      </c>
      <c r="BI21" s="58">
        <f>AU21-$AL$8+$AO$8</f>
        <v>0.70000000000000018</v>
      </c>
      <c r="BJ21" s="59">
        <f>AV21+$AP$9-$AM$7</f>
        <v>1.228615586646522</v>
      </c>
      <c r="BK21" s="58">
        <f>AI21+$AO$10-$AI$9</f>
        <v>1.5</v>
      </c>
      <c r="BL21" s="59">
        <f>AJ21+$AP$9-$AJ$7</f>
        <v>1.228615586646522</v>
      </c>
      <c r="BM21" s="58">
        <f>IF(AND($AE$8=1,AF21&lt;&gt;""), BI21, $BI$15)</f>
        <v>0.70000000000000018</v>
      </c>
      <c r="BN21" s="59">
        <f>IF(AND($AE$8=1,AF21&lt;&gt;""), BJ21, $BJ$15)</f>
        <v>1.228615586646522</v>
      </c>
      <c r="BO21" s="58">
        <f>IF(AND($AE$8=1,AF21&lt;&gt;""), BK21, $BK$15)</f>
        <v>1.5</v>
      </c>
      <c r="BP21" s="59">
        <f>IF(AND($AE$8=1,AF21&lt;&gt;""), BL21, $BJ$15)</f>
        <v>1.228615586646522</v>
      </c>
    </row>
    <row r="22" spans="1:68" x14ac:dyDescent="0.25">
      <c r="A22" s="37"/>
      <c r="B22" s="52"/>
      <c r="C22" s="53"/>
      <c r="D22" s="4"/>
      <c r="E22" s="4"/>
      <c r="F22" s="52"/>
      <c r="G22" s="53"/>
      <c r="H22" s="4"/>
      <c r="I22" s="3"/>
      <c r="J22" s="90" t="str">
        <f>IF(C22&lt;&gt;"",$C22/'Elements and ions'!$B$12,"")</f>
        <v/>
      </c>
      <c r="K22" s="65" t="str">
        <f>IF(D22&lt;&gt;"",$D22/'Elements and ions'!$B$20,"")</f>
        <v/>
      </c>
      <c r="L22" s="65" t="str">
        <f>IF(E22&lt;&gt;"",$E22/'Elements and ions'!$B$21*2,"")</f>
        <v/>
      </c>
      <c r="M22" s="81" t="str">
        <f>IF(F22&lt;&gt;"",$F22/'Elements and ions'!$B$13*2,"")</f>
        <v/>
      </c>
      <c r="N22" s="80" t="str">
        <f>IF(G22&lt;&gt;"",-$G22/'Elements and ions'!$F$3,"")</f>
        <v/>
      </c>
      <c r="O22" s="65" t="str">
        <f>IF(H22&lt;&gt;"",-$H22/'Elements and ions'!$B$18,"")</f>
        <v/>
      </c>
      <c r="P22" s="81" t="str">
        <f>IF(I22&lt;&gt;"",-2*$I22/'Elements and ions'!$F$4,"")</f>
        <v/>
      </c>
      <c r="Q22" s="80" t="str">
        <f t="shared" si="0"/>
        <v/>
      </c>
      <c r="R22" s="65" t="str">
        <f t="shared" si="1"/>
        <v/>
      </c>
      <c r="S22" s="81" t="str">
        <f t="shared" si="2"/>
        <v/>
      </c>
      <c r="T22" s="80" t="str">
        <f t="shared" si="3"/>
        <v/>
      </c>
      <c r="U22" s="65" t="str">
        <f t="shared" si="4"/>
        <v/>
      </c>
      <c r="V22" s="91" t="str">
        <f t="shared" si="5"/>
        <v/>
      </c>
      <c r="W22" s="70" t="str">
        <f t="shared" si="6"/>
        <v/>
      </c>
      <c r="X22" s="65" t="str">
        <f>IF(V22&lt;&gt;"",IF($V22&lt;&gt;0,(($V22+(0.5*T22))/100+1+$AE$9),-1),"")</f>
        <v/>
      </c>
      <c r="Y22" s="81" t="str">
        <f>IF(AND(W22&lt;&gt;-1,X22&lt;&gt;-1,W22&lt;&gt;"",X22&lt;&gt;"",AA22&lt;&gt;-1,Z22&lt;&gt;-1,AA22&lt;&gt;"",Z22&lt;&gt;""),(W22+X22)/2+(AA22-Z22)/(4*COS(0.5)*$AE$5),"")</f>
        <v/>
      </c>
      <c r="Z22" s="70" t="str">
        <f>IF(S22&lt;&gt;"",IF($S22&lt;&gt;"",((($S22*COS(0.5))*$AE$5)/100),-1),"")</f>
        <v/>
      </c>
      <c r="AA22" s="65" t="str">
        <f>IF(T22&lt;&gt;"",IF($T22&lt;&gt;"",((($T22*COS(0.5))*$AE$5)/100),-1),"")</f>
        <v/>
      </c>
      <c r="AB22" s="66" t="str">
        <f>IF(Y22&lt;&gt;"",2*COS(0.5)*$AE$5*(X22-W22)/2+(AA22+Z22)/2,"")</f>
        <v/>
      </c>
      <c r="AE22" s="51"/>
      <c r="AF22" s="97">
        <f t="shared" si="7"/>
        <v>0.2</v>
      </c>
      <c r="AG22" s="58">
        <f>IF(AF22&lt;&gt;"", ((AF22*0.5)-$AE$7), AG18)</f>
        <v>7.0000000000000007E-2</v>
      </c>
      <c r="AH22" s="59">
        <f>IF(AF22&lt;&gt;"", (AF22*COS(0.5)*$AE$5), AH19)</f>
        <v>0.17551651237807456</v>
      </c>
      <c r="AI22" s="58">
        <f>IF(AF22&lt;&gt;"", AI21+($AE$7*0.5), AI18)</f>
        <v>0.91500000000000004</v>
      </c>
      <c r="AJ22" s="59">
        <f>IF(AF22&lt;&gt;"", AJ21+($AE$7*COS(0.5)*$AE$5), AJ18)</f>
        <v>0.20184398923478575</v>
      </c>
      <c r="AK22" s="58">
        <f>IF($AE$8=1, AG21, AK18)</f>
        <v>0.1</v>
      </c>
      <c r="AL22" s="59">
        <f>IF($AE$8=1, AJ21, AL18)</f>
        <v>0.17551651237807456</v>
      </c>
      <c r="AM22" s="58">
        <f>IF(AND($AE$8=1, AF21&lt;&gt;""), 1-AF21, AM21)</f>
        <v>0.8</v>
      </c>
      <c r="AN22" s="59">
        <f>IF(AND($AE$8=1, AF21&lt;&gt;""), 0, AN21)</f>
        <v>0</v>
      </c>
      <c r="AO22" s="58">
        <f>IF($AE$8=1,AG21,AO21)</f>
        <v>0.1</v>
      </c>
      <c r="AP22" s="59">
        <f>IF($AE$8=1,AH21,0)</f>
        <v>0.17551651237807456</v>
      </c>
      <c r="AQ22" s="58">
        <f>IF(AF21&lt;&gt;"",AQ21+(0.5*$AE$7),0)</f>
        <v>0.21500000000000002</v>
      </c>
      <c r="AR22" s="55">
        <f>IF(AF21&lt;&gt;"",-COS(0.5)*$AE$7*$AE$5,0)</f>
        <v>-2.632747685671118E-2</v>
      </c>
      <c r="AS22" s="55">
        <f>AQ22</f>
        <v>0.21500000000000002</v>
      </c>
      <c r="AT22" s="59">
        <f>AR22</f>
        <v>-2.632747685671118E-2</v>
      </c>
      <c r="AU22" s="58">
        <f>IF(AF22&lt;&gt;"",AG22+1+$AE$9+($AE$7*0.5), $AL$7)</f>
        <v>1.2849999999999999</v>
      </c>
      <c r="AV22" s="59">
        <f>AJ22</f>
        <v>0.20184398923478575</v>
      </c>
      <c r="AW22" s="58">
        <f>AI22+1+$AE$9+0.5*$AE$7</f>
        <v>2.1300000000000003</v>
      </c>
      <c r="AX22" s="59">
        <f>AH22</f>
        <v>0.17551651237807456</v>
      </c>
      <c r="AY22" s="58">
        <f>AK22+1+$AE$9</f>
        <v>1.3</v>
      </c>
      <c r="AZ22" s="59">
        <f>AL22</f>
        <v>0.17551651237807456</v>
      </c>
      <c r="BA22" s="58">
        <f>AM22+1+$AE$9</f>
        <v>2</v>
      </c>
      <c r="BB22" s="59">
        <f>AN22</f>
        <v>0</v>
      </c>
      <c r="BC22" s="58">
        <f>AO22+1+$AE$9</f>
        <v>1.3</v>
      </c>
      <c r="BD22" s="59">
        <f>AP22</f>
        <v>0.17551651237807456</v>
      </c>
      <c r="BE22" s="58">
        <f>AQ22+1+$AE$9</f>
        <v>1.415</v>
      </c>
      <c r="BF22" s="55">
        <f>AR22</f>
        <v>-2.632747685671118E-2</v>
      </c>
      <c r="BG22" s="55">
        <f>IF(AF22&lt;&gt;"",AS22+1+$AE$9-$AE$7,BC21)</f>
        <v>1.385</v>
      </c>
      <c r="BH22" s="59">
        <f>IF(AF22&lt;&gt;"",AT22,0)</f>
        <v>-2.632747685671118E-2</v>
      </c>
      <c r="BI22" s="58">
        <f>AU22-$AL$8+$AO$8</f>
        <v>0.68500000000000005</v>
      </c>
      <c r="BJ22" s="59">
        <f>AV22+$AP$9-$AM$7</f>
        <v>1.2549430635032333</v>
      </c>
      <c r="BK22" s="58">
        <f>AI22+$AO$10-$AI$9</f>
        <v>1.5150000000000001</v>
      </c>
      <c r="BL22" s="59">
        <f>AJ22+$AP$9-$AJ$7</f>
        <v>1.2549430635032333</v>
      </c>
      <c r="BM22" s="58">
        <f>IF(AND($AE$8=1,AF22&lt;&gt;""), BM21+0.5, $BI$15)</f>
        <v>1.2000000000000002</v>
      </c>
      <c r="BN22" s="59">
        <f>IF(AND($AE$8=1,AF22&lt;&gt;""), BN21-$AM$7, $BJ$15)</f>
        <v>0.35103302475614928</v>
      </c>
      <c r="BO22" s="58">
        <f>IF(AND($AE$8=1,AF22&lt;&gt;""), BO21-0.5, $BK$15)</f>
        <v>1</v>
      </c>
      <c r="BP22" s="59">
        <f>IF(AND($AE$8=1,AF22&lt;&gt;""), BP21-$AM$7, $BL$15)</f>
        <v>0.35103302475614928</v>
      </c>
    </row>
    <row r="23" spans="1:68" x14ac:dyDescent="0.25">
      <c r="A23" s="37"/>
      <c r="B23" s="52"/>
      <c r="C23" s="53"/>
      <c r="D23" s="4"/>
      <c r="E23" s="4"/>
      <c r="F23" s="52"/>
      <c r="G23" s="53"/>
      <c r="H23" s="4"/>
      <c r="I23" s="3"/>
      <c r="J23" s="90" t="str">
        <f>IF(C23&lt;&gt;"",$C23/'Elements and ions'!$B$12,"")</f>
        <v/>
      </c>
      <c r="K23" s="65" t="str">
        <f>IF(D23&lt;&gt;"",$D23/'Elements and ions'!$B$20,"")</f>
        <v/>
      </c>
      <c r="L23" s="65" t="str">
        <f>IF(E23&lt;&gt;"",$E23/'Elements and ions'!$B$21*2,"")</f>
        <v/>
      </c>
      <c r="M23" s="81" t="str">
        <f>IF(F23&lt;&gt;"",$F23/'Elements and ions'!$B$13*2,"")</f>
        <v/>
      </c>
      <c r="N23" s="80" t="str">
        <f>IF(G23&lt;&gt;"",-$G23/'Elements and ions'!$F$3,"")</f>
        <v/>
      </c>
      <c r="O23" s="65" t="str">
        <f>IF(H23&lt;&gt;"",-$H23/'Elements and ions'!$B$18,"")</f>
        <v/>
      </c>
      <c r="P23" s="81" t="str">
        <f>IF(I23&lt;&gt;"",-2*$I23/'Elements and ions'!$F$4,"")</f>
        <v/>
      </c>
      <c r="Q23" s="80" t="str">
        <f t="shared" si="0"/>
        <v/>
      </c>
      <c r="R23" s="65" t="str">
        <f t="shared" si="1"/>
        <v/>
      </c>
      <c r="S23" s="81" t="str">
        <f t="shared" si="2"/>
        <v/>
      </c>
      <c r="T23" s="80" t="str">
        <f t="shared" si="3"/>
        <v/>
      </c>
      <c r="U23" s="65" t="str">
        <f t="shared" si="4"/>
        <v/>
      </c>
      <c r="V23" s="91" t="str">
        <f t="shared" si="5"/>
        <v/>
      </c>
      <c r="W23" s="70" t="str">
        <f t="shared" si="6"/>
        <v/>
      </c>
      <c r="X23" s="65" t="str">
        <f>IF(V23&lt;&gt;"",IF($V23&lt;&gt;0,(($V23+(0.5*T23))/100+1+$AE$9),-1),"")</f>
        <v/>
      </c>
      <c r="Y23" s="81" t="str">
        <f>IF(AND(W23&lt;&gt;-1,X23&lt;&gt;-1,W23&lt;&gt;"",X23&lt;&gt;"",AA23&lt;&gt;-1,Z23&lt;&gt;-1,AA23&lt;&gt;"",Z23&lt;&gt;""),(W23+X23)/2+(AA23-Z23)/(4*COS(0.5)*$AE$5),"")</f>
        <v/>
      </c>
      <c r="Z23" s="70" t="str">
        <f>IF(S23&lt;&gt;"",IF($S23&lt;&gt;"",((($S23*COS(0.5))*$AE$5)/100),-1),"")</f>
        <v/>
      </c>
      <c r="AA23" s="65" t="str">
        <f>IF(T23&lt;&gt;"",IF($T23&lt;&gt;"",((($T23*COS(0.5))*$AE$5)/100),-1),"")</f>
        <v/>
      </c>
      <c r="AB23" s="66" t="str">
        <f>IF(Y23&lt;&gt;"",2*COS(0.5)*$AE$5*(X23-W23)/2+(AA23+Z23)/2,"")</f>
        <v/>
      </c>
      <c r="AE23" s="51"/>
      <c r="AF23" s="97">
        <f t="shared" si="7"/>
        <v>0.2</v>
      </c>
      <c r="AG23" s="58">
        <f>IF(AF23&lt;&gt;"", (AF23*0.5), AG18)</f>
        <v>0.1</v>
      </c>
      <c r="AH23" s="59">
        <f>IF(AF23&lt;&gt;"", (AF23*COS(0.5)*$AE$5), AH20)</f>
        <v>0.17551651237807456</v>
      </c>
      <c r="AI23" s="58">
        <f>IF(AF23&lt;&gt;"", 1-(AF23*0.5), AI18)</f>
        <v>0.9</v>
      </c>
      <c r="AJ23" s="59">
        <f>IF(AF23&lt;&gt;"", (AF23*COS(0.5)*$AE$5), AJ20)</f>
        <v>0.17551651237807456</v>
      </c>
      <c r="AK23" s="58"/>
      <c r="AL23" s="59"/>
      <c r="AM23" s="58"/>
      <c r="AN23" s="59"/>
      <c r="AO23" s="58"/>
      <c r="AP23" s="59"/>
      <c r="AQ23" s="58">
        <f>IF(AF21&lt;&gt;"", AF21, 0)</f>
        <v>0.2</v>
      </c>
      <c r="AR23" s="55">
        <v>0</v>
      </c>
      <c r="AS23" s="55">
        <f>AQ23</f>
        <v>0.2</v>
      </c>
      <c r="AT23" s="59">
        <f>AR23</f>
        <v>0</v>
      </c>
      <c r="AU23" s="58">
        <f>IF(AF23&lt;&gt;"",AG23+1+$AE$9, $AL$7)</f>
        <v>1.3</v>
      </c>
      <c r="AV23" s="59">
        <f>AJ23</f>
        <v>0.17551651237807456</v>
      </c>
      <c r="AW23" s="58">
        <f>AI23+1+$AE$9</f>
        <v>2.1</v>
      </c>
      <c r="AX23" s="59">
        <f>AH23</f>
        <v>0.17551651237807456</v>
      </c>
      <c r="AY23" s="58"/>
      <c r="AZ23" s="59"/>
      <c r="BA23" s="58"/>
      <c r="BB23" s="59"/>
      <c r="BC23" s="58"/>
      <c r="BD23" s="59"/>
      <c r="BE23" s="58">
        <f>AQ23+1+$AE$9</f>
        <v>1.4</v>
      </c>
      <c r="BF23" s="55">
        <f>AR23</f>
        <v>0</v>
      </c>
      <c r="BG23" s="55">
        <f t="shared" ref="BG23" si="9">BG21</f>
        <v>1.4</v>
      </c>
      <c r="BH23" s="59">
        <f>IF(AF23&lt;&gt;"",AT23,0)</f>
        <v>0</v>
      </c>
      <c r="BI23" s="58">
        <f>AU23-$AL$8+$AO$8</f>
        <v>0.70000000000000018</v>
      </c>
      <c r="BJ23" s="59">
        <f>AV23+$AP$9-$AM$7</f>
        <v>1.228615586646522</v>
      </c>
      <c r="BK23" s="58">
        <f>AI23+$AO$10-$AI$9</f>
        <v>1.5</v>
      </c>
      <c r="BL23" s="59">
        <f>AJ23+$AP$9-$AJ$7</f>
        <v>1.228615586646522</v>
      </c>
      <c r="BM23" s="58"/>
      <c r="BN23" s="59"/>
      <c r="BO23" s="58"/>
      <c r="BP23" s="59"/>
    </row>
    <row r="24" spans="1:68" x14ac:dyDescent="0.25">
      <c r="A24" s="37"/>
      <c r="B24" s="38"/>
      <c r="C24" s="37"/>
      <c r="D24" s="2"/>
      <c r="E24" s="2"/>
      <c r="F24" s="38"/>
      <c r="G24" s="37"/>
      <c r="H24" s="2"/>
      <c r="I24" s="3"/>
      <c r="J24" s="90" t="str">
        <f>IF(C24&lt;&gt;"",$C24/'Elements and ions'!$B$12,"")</f>
        <v/>
      </c>
      <c r="K24" s="65" t="str">
        <f>IF(D24&lt;&gt;"",$D24/'Elements and ions'!$B$20,"")</f>
        <v/>
      </c>
      <c r="L24" s="65" t="str">
        <f>IF(E24&lt;&gt;"",$E24/'Elements and ions'!$B$21*2,"")</f>
        <v/>
      </c>
      <c r="M24" s="81" t="str">
        <f>IF(F24&lt;&gt;"",$F24/'Elements and ions'!$B$13*2,"")</f>
        <v/>
      </c>
      <c r="N24" s="80" t="str">
        <f>IF(G24&lt;&gt;"",-$G24/'Elements and ions'!$F$3,"")</f>
        <v/>
      </c>
      <c r="O24" s="65" t="str">
        <f>IF(H24&lt;&gt;"",-$H24/'Elements and ions'!$B$18,"")</f>
        <v/>
      </c>
      <c r="P24" s="81" t="str">
        <f>IF(I24&lt;&gt;"",-2*$I24/'Elements and ions'!$F$4,"")</f>
        <v/>
      </c>
      <c r="Q24" s="80" t="str">
        <f t="shared" si="0"/>
        <v/>
      </c>
      <c r="R24" s="65" t="str">
        <f t="shared" si="1"/>
        <v/>
      </c>
      <c r="S24" s="81" t="str">
        <f t="shared" si="2"/>
        <v/>
      </c>
      <c r="T24" s="80" t="str">
        <f t="shared" si="3"/>
        <v/>
      </c>
      <c r="U24" s="65" t="str">
        <f t="shared" si="4"/>
        <v/>
      </c>
      <c r="V24" s="91" t="str">
        <f t="shared" si="5"/>
        <v/>
      </c>
      <c r="W24" s="70" t="str">
        <f t="shared" si="6"/>
        <v/>
      </c>
      <c r="X24" s="65" t="str">
        <f>IF(V24&lt;&gt;"",IF($V24&lt;&gt;0,(($V24+(0.5*T24))/100+1+$AE$9),-1),"")</f>
        <v/>
      </c>
      <c r="Y24" s="81" t="str">
        <f>IF(AND(W24&lt;&gt;-1,X24&lt;&gt;-1,W24&lt;&gt;"",X24&lt;&gt;"",AA24&lt;&gt;-1,Z24&lt;&gt;-1,AA24&lt;&gt;"",Z24&lt;&gt;""),(W24+X24)/2+(AA24-Z24)/(4*COS(0.5)*$AE$5),"")</f>
        <v/>
      </c>
      <c r="Z24" s="70" t="str">
        <f>IF(S24&lt;&gt;"",IF($S24&lt;&gt;"",((($S24*COS(0.5))*$AE$5)/100),-1),"")</f>
        <v/>
      </c>
      <c r="AA24" s="65" t="str">
        <f>IF(T24&lt;&gt;"",IF($T24&lt;&gt;"",((($T24*COS(0.5))*$AE$5)/100),-1),"")</f>
        <v/>
      </c>
      <c r="AB24" s="66" t="str">
        <f>IF(Y24&lt;&gt;"",2*COS(0.5)*$AE$5*(X24-W24)/2+(AA24+Z24)/2,"")</f>
        <v/>
      </c>
      <c r="AC24" s="5"/>
      <c r="AE24" s="51"/>
      <c r="AF24" s="97">
        <f>IF(AND($AE$6&gt;0, $AE$7&gt;0, AF21&lt;1), AF21+$AE$6, "")</f>
        <v>0.30000000000000004</v>
      </c>
      <c r="AG24" s="58">
        <f>IF(AF24&lt;&gt;"", (AF24*0.5), AG21)</f>
        <v>0.15000000000000002</v>
      </c>
      <c r="AH24" s="59">
        <f>IF(AF24&lt;&gt;"", (AF24*COS(0.5)*$AE$5), AH21)</f>
        <v>0.26327476856711185</v>
      </c>
      <c r="AI24" s="58">
        <f>IF(AF24&lt;&gt;"", 1-(AF24*0.5), AI21)</f>
        <v>0.85</v>
      </c>
      <c r="AJ24" s="59">
        <f>IF(AF24&lt;&gt;"", (AF24*COS(0.5)*$AE$5), AJ21)</f>
        <v>0.26327476856711185</v>
      </c>
      <c r="AK24" s="58">
        <f>IF($AE$8=1, AI24, AK21)</f>
        <v>0.85</v>
      </c>
      <c r="AL24" s="59">
        <f>IF($AE$8=1, AJ24, AL21)</f>
        <v>0.26327476856711185</v>
      </c>
      <c r="AM24" s="58">
        <f>IF(AND($AE$8=1, AF24&lt;&gt;""), AI24, AM21)</f>
        <v>0.85</v>
      </c>
      <c r="AN24" s="59">
        <f>IF(AND($AE$8=1, AF24&lt;&gt;""), AJ24, AN21)</f>
        <v>0.26327476856711185</v>
      </c>
      <c r="AO24" s="58">
        <f>IF($AE$8=1,AQ24,AO21)</f>
        <v>0.30000000000000004</v>
      </c>
      <c r="AP24" s="59">
        <v>0</v>
      </c>
      <c r="AQ24" s="58">
        <f>IF(AF24&lt;&gt;"", AF24, 0)</f>
        <v>0.30000000000000004</v>
      </c>
      <c r="AR24" s="55">
        <v>0</v>
      </c>
      <c r="AS24" s="55">
        <f>AQ24</f>
        <v>0.30000000000000004</v>
      </c>
      <c r="AT24" s="59">
        <f>AR24</f>
        <v>0</v>
      </c>
      <c r="AU24" s="58">
        <f>IF(AF24&lt;&gt;"",AG24+1+$AE$9, $AL$7)</f>
        <v>1.3499999999999999</v>
      </c>
      <c r="AV24" s="59">
        <f>AJ24</f>
        <v>0.26327476856711185</v>
      </c>
      <c r="AW24" s="58">
        <f>AI24+1+$AE$9</f>
        <v>2.0500000000000003</v>
      </c>
      <c r="AX24" s="59">
        <f>AH24</f>
        <v>0.26327476856711185</v>
      </c>
      <c r="AY24" s="58">
        <f>AK24+1+$AE$9</f>
        <v>2.0500000000000003</v>
      </c>
      <c r="AZ24" s="59">
        <f>AL24</f>
        <v>0.26327476856711185</v>
      </c>
      <c r="BA24" s="58">
        <f>AM24+1+$AE$9</f>
        <v>2.0500000000000003</v>
      </c>
      <c r="BB24" s="59">
        <f>AN24</f>
        <v>0.26327476856711185</v>
      </c>
      <c r="BC24" s="58">
        <f>AO24+1+$AE$9</f>
        <v>1.5</v>
      </c>
      <c r="BD24" s="59">
        <f>AP24</f>
        <v>0</v>
      </c>
      <c r="BE24" s="58">
        <f>AQ24+1+$AE$9</f>
        <v>1.5</v>
      </c>
      <c r="BF24" s="55">
        <f>AR24</f>
        <v>0</v>
      </c>
      <c r="BG24" s="55">
        <f>IF(AF24&lt;&gt;"",AS24+1+$AE$9,BC24)</f>
        <v>1.5</v>
      </c>
      <c r="BH24" s="59">
        <f>IF(AF24&lt;&gt;"",AT24,0)</f>
        <v>0</v>
      </c>
      <c r="BI24" s="58">
        <f>AU24-$AL$8+$AO$8</f>
        <v>0.75</v>
      </c>
      <c r="BJ24" s="59">
        <f>AV24+$AP$9-$AM$7</f>
        <v>1.3163738428355591</v>
      </c>
      <c r="BK24" s="58">
        <f>AI24+$AO$10-$AI$9</f>
        <v>1.4500000000000002</v>
      </c>
      <c r="BL24" s="59">
        <f>AJ24+$AP$9-$AJ$7</f>
        <v>1.3163738428355591</v>
      </c>
      <c r="BM24" s="58">
        <f>IF(AND($AE$8=1,AF24&lt;&gt;""), BI24, $BI$15)</f>
        <v>0.75</v>
      </c>
      <c r="BN24" s="59">
        <f>IF(AND($AE$8=1,AF24&lt;&gt;""), BJ24, $BJ$15)</f>
        <v>1.3163738428355591</v>
      </c>
      <c r="BO24" s="58">
        <f>IF(AND($AE$8=1,AF24&lt;&gt;""), BK24, $BK$15)</f>
        <v>1.4500000000000002</v>
      </c>
      <c r="BP24" s="59">
        <f>IF(AND($AE$8=1,AF24&lt;&gt;""), BL24, $BJ$15)</f>
        <v>1.3163738428355591</v>
      </c>
    </row>
    <row r="25" spans="1:68" x14ac:dyDescent="0.25">
      <c r="A25" s="37"/>
      <c r="B25" s="38"/>
      <c r="C25" s="37"/>
      <c r="D25" s="2"/>
      <c r="E25" s="2"/>
      <c r="F25" s="38"/>
      <c r="G25" s="37"/>
      <c r="H25" s="2"/>
      <c r="I25" s="3"/>
      <c r="J25" s="90" t="str">
        <f>IF(C25&lt;&gt;"",$C25/'Elements and ions'!$B$12,"")</f>
        <v/>
      </c>
      <c r="K25" s="65" t="str">
        <f>IF(D25&lt;&gt;"",$D25/'Elements and ions'!$B$20,"")</f>
        <v/>
      </c>
      <c r="L25" s="65" t="str">
        <f>IF(E25&lt;&gt;"",$E25/'Elements and ions'!$B$21*2,"")</f>
        <v/>
      </c>
      <c r="M25" s="81" t="str">
        <f>IF(F25&lt;&gt;"",$F25/'Elements and ions'!$B$13*2,"")</f>
        <v/>
      </c>
      <c r="N25" s="80" t="str">
        <f>IF(G25&lt;&gt;"",-$G25/'Elements and ions'!$F$3,"")</f>
        <v/>
      </c>
      <c r="O25" s="65" t="str">
        <f>IF(H25&lt;&gt;"",-$H25/'Elements and ions'!$B$18,"")</f>
        <v/>
      </c>
      <c r="P25" s="81" t="str">
        <f>IF(I25&lt;&gt;"",-2*$I25/'Elements and ions'!$F$4,"")</f>
        <v/>
      </c>
      <c r="Q25" s="80" t="str">
        <f t="shared" si="0"/>
        <v/>
      </c>
      <c r="R25" s="65" t="str">
        <f t="shared" si="1"/>
        <v/>
      </c>
      <c r="S25" s="81" t="str">
        <f t="shared" si="2"/>
        <v/>
      </c>
      <c r="T25" s="80" t="str">
        <f t="shared" si="3"/>
        <v/>
      </c>
      <c r="U25" s="65" t="str">
        <f t="shared" si="4"/>
        <v/>
      </c>
      <c r="V25" s="91" t="str">
        <f t="shared" si="5"/>
        <v/>
      </c>
      <c r="W25" s="70" t="str">
        <f t="shared" si="6"/>
        <v/>
      </c>
      <c r="X25" s="65" t="str">
        <f>IF(V25&lt;&gt;"",IF($V25&lt;&gt;0,(($V25+(0.5*T25))/100+1+$AE$9),-1),"")</f>
        <v/>
      </c>
      <c r="Y25" s="81" t="str">
        <f>IF(AND(W25&lt;&gt;-1,X25&lt;&gt;-1,W25&lt;&gt;"",X25&lt;&gt;"",AA25&lt;&gt;-1,Z25&lt;&gt;-1,AA25&lt;&gt;"",Z25&lt;&gt;""),(W25+X25)/2+(AA25-Z25)/(4*COS(0.5)*$AE$5),"")</f>
        <v/>
      </c>
      <c r="Z25" s="70" t="str">
        <f>IF(S25&lt;&gt;"",IF($S25&lt;&gt;"",((($S25*COS(0.5))*$AE$5)/100),-1),"")</f>
        <v/>
      </c>
      <c r="AA25" s="65" t="str">
        <f>IF(T25&lt;&gt;"",IF($T25&lt;&gt;"",((($T25*COS(0.5))*$AE$5)/100),-1),"")</f>
        <v/>
      </c>
      <c r="AB25" s="66" t="str">
        <f>IF(Y25&lt;&gt;"",2*COS(0.5)*$AE$5*(X25-W25)/2+(AA25+Z25)/2,"")</f>
        <v/>
      </c>
      <c r="AC25" s="5"/>
      <c r="AE25" s="51"/>
      <c r="AF25" s="97">
        <f t="shared" si="7"/>
        <v>0.30000000000000004</v>
      </c>
      <c r="AG25" s="58">
        <f>IF(AF25&lt;&gt;"", ((AF25*0.5)-$AE$7), AG21)</f>
        <v>0.12000000000000002</v>
      </c>
      <c r="AH25" s="59">
        <f>IF(AF25&lt;&gt;"", (AF25*COS(0.5)*$AE$5), AH22)</f>
        <v>0.26327476856711185</v>
      </c>
      <c r="AI25" s="58">
        <f>IF(AF25&lt;&gt;"", AI24+($AE$7*0.5), AI21)</f>
        <v>0.86499999999999999</v>
      </c>
      <c r="AJ25" s="59">
        <f>IF(AF25&lt;&gt;"", AJ24+($AE$7*COS(0.5)*$AE$5), AJ21)</f>
        <v>0.28960224542382301</v>
      </c>
      <c r="AK25" s="58">
        <f>IF($AE$8=1, AG24, AK21)</f>
        <v>0.15000000000000002</v>
      </c>
      <c r="AL25" s="59">
        <f>IF($AE$8=1, AJ24, AL21)</f>
        <v>0.26327476856711185</v>
      </c>
      <c r="AM25" s="58">
        <f>IF(AND($AE$8=1, AF24&lt;&gt;""), 1-AF24, AM24)</f>
        <v>0.7</v>
      </c>
      <c r="AN25" s="59">
        <f>IF(AND($AE$8=1, AF24&lt;&gt;""), 0, AN24)</f>
        <v>0</v>
      </c>
      <c r="AO25" s="58">
        <f>IF($AE$8=1,AG24,AO24)</f>
        <v>0.15000000000000002</v>
      </c>
      <c r="AP25" s="59">
        <f>IF($AE$8=1,AH24,0)</f>
        <v>0.26327476856711185</v>
      </c>
      <c r="AQ25" s="58">
        <f>IF(AF24&lt;&gt;"",AQ24+(0.5*$AE$7),0)</f>
        <v>0.31500000000000006</v>
      </c>
      <c r="AR25" s="55">
        <f>IF(AF24&lt;&gt;"",-COS(0.5)*$AE$7*$AE$5,0)</f>
        <v>-2.632747685671118E-2</v>
      </c>
      <c r="AS25" s="55">
        <f>AQ25</f>
        <v>0.31500000000000006</v>
      </c>
      <c r="AT25" s="59">
        <f>AR25</f>
        <v>-2.632747685671118E-2</v>
      </c>
      <c r="AU25" s="58">
        <f>IF(AF25&lt;&gt;"",AG25+1+$AE$9+($AE$7*0.5), $AL$7)</f>
        <v>1.335</v>
      </c>
      <c r="AV25" s="59">
        <f>AJ25</f>
        <v>0.28960224542382301</v>
      </c>
      <c r="AW25" s="58">
        <f>AI25+1+$AE$9+0.5*$AE$7</f>
        <v>2.08</v>
      </c>
      <c r="AX25" s="59">
        <f>AH25</f>
        <v>0.26327476856711185</v>
      </c>
      <c r="AY25" s="58">
        <f>AK25+1+$AE$9</f>
        <v>1.3499999999999999</v>
      </c>
      <c r="AZ25" s="59">
        <f>AL25</f>
        <v>0.26327476856711185</v>
      </c>
      <c r="BA25" s="58">
        <f>AM25+1+$AE$9</f>
        <v>1.9</v>
      </c>
      <c r="BB25" s="59">
        <f>AN25</f>
        <v>0</v>
      </c>
      <c r="BC25" s="58">
        <f>AO25+1+$AE$9</f>
        <v>1.3499999999999999</v>
      </c>
      <c r="BD25" s="59">
        <f>AP25</f>
        <v>0.26327476856711185</v>
      </c>
      <c r="BE25" s="58">
        <f>AQ25+1+$AE$9</f>
        <v>1.5149999999999999</v>
      </c>
      <c r="BF25" s="55">
        <f>AR25</f>
        <v>-2.632747685671118E-2</v>
      </c>
      <c r="BG25" s="55">
        <f>IF(AF25&lt;&gt;"",AS25+1+$AE$9-$AE$7,BC24)</f>
        <v>1.4849999999999999</v>
      </c>
      <c r="BH25" s="59">
        <f>IF(AF25&lt;&gt;"",AT25,0)</f>
        <v>-2.632747685671118E-2</v>
      </c>
      <c r="BI25" s="58">
        <f>AU25-$AL$8+$AO$8</f>
        <v>0.7350000000000001</v>
      </c>
      <c r="BJ25" s="59">
        <f>AV25+$AP$9-$AM$7</f>
        <v>1.3427013196922704</v>
      </c>
      <c r="BK25" s="58">
        <f>AI25+$AO$10-$AI$9</f>
        <v>1.4649999999999999</v>
      </c>
      <c r="BL25" s="59">
        <f>AJ25+$AP$9-$AJ$7</f>
        <v>1.3427013196922704</v>
      </c>
      <c r="BM25" s="58">
        <f>IF(AND($AE$8=1,AF25&lt;&gt;""), BM24+0.5, $BI$15)</f>
        <v>1.25</v>
      </c>
      <c r="BN25" s="59">
        <f>IF(AND($AE$8=1,AF25&lt;&gt;""), BN24-$AM$7, $BJ$15)</f>
        <v>0.43879128094518638</v>
      </c>
      <c r="BO25" s="58">
        <f>IF(AND($AE$8=1,AF25&lt;&gt;""), BO24-0.5, $BK$15)</f>
        <v>0.95000000000000018</v>
      </c>
      <c r="BP25" s="59">
        <f>IF(AND($AE$8=1,AF25&lt;&gt;""), BP24-$AM$7, $BL$15)</f>
        <v>0.43879128094518638</v>
      </c>
    </row>
    <row r="26" spans="1:68" x14ac:dyDescent="0.25">
      <c r="A26" s="37"/>
      <c r="B26" s="38"/>
      <c r="C26" s="37"/>
      <c r="D26" s="2"/>
      <c r="E26" s="2"/>
      <c r="F26" s="38"/>
      <c r="G26" s="37"/>
      <c r="H26" s="2"/>
      <c r="I26" s="3"/>
      <c r="J26" s="90" t="str">
        <f>IF(C26&lt;&gt;"",$C26/'Elements and ions'!$B$12,"")</f>
        <v/>
      </c>
      <c r="K26" s="65" t="str">
        <f>IF(D26&lt;&gt;"",$D26/'Elements and ions'!$B$20,"")</f>
        <v/>
      </c>
      <c r="L26" s="65" t="str">
        <f>IF(E26&lt;&gt;"",$E26/'Elements and ions'!$B$21*2,"")</f>
        <v/>
      </c>
      <c r="M26" s="81" t="str">
        <f>IF(F26&lt;&gt;"",$F26/'Elements and ions'!$B$13*2,"")</f>
        <v/>
      </c>
      <c r="N26" s="80" t="str">
        <f>IF(G26&lt;&gt;"",-$G26/'Elements and ions'!$F$3,"")</f>
        <v/>
      </c>
      <c r="O26" s="65" t="str">
        <f>IF(H26&lt;&gt;"",-$H26/'Elements and ions'!$B$18,"")</f>
        <v/>
      </c>
      <c r="P26" s="81" t="str">
        <f>IF(I26&lt;&gt;"",-2*$I26/'Elements and ions'!$F$4,"")</f>
        <v/>
      </c>
      <c r="Q26" s="80" t="str">
        <f t="shared" si="0"/>
        <v/>
      </c>
      <c r="R26" s="65" t="str">
        <f t="shared" si="1"/>
        <v/>
      </c>
      <c r="S26" s="81" t="str">
        <f t="shared" si="2"/>
        <v/>
      </c>
      <c r="T26" s="80" t="str">
        <f t="shared" si="3"/>
        <v/>
      </c>
      <c r="U26" s="65" t="str">
        <f t="shared" si="4"/>
        <v/>
      </c>
      <c r="V26" s="91" t="str">
        <f t="shared" si="5"/>
        <v/>
      </c>
      <c r="W26" s="70" t="str">
        <f t="shared" si="6"/>
        <v/>
      </c>
      <c r="X26" s="65" t="str">
        <f>IF(V26&lt;&gt;"",IF($V26&lt;&gt;0,(($V26+(0.5*T26))/100+1+$AE$9),-1),"")</f>
        <v/>
      </c>
      <c r="Y26" s="81" t="str">
        <f>IF(AND(W26&lt;&gt;-1,X26&lt;&gt;-1,W26&lt;&gt;"",X26&lt;&gt;"",AA26&lt;&gt;-1,Z26&lt;&gt;-1,AA26&lt;&gt;"",Z26&lt;&gt;""),(W26+X26)/2+(AA26-Z26)/(4*COS(0.5)*$AE$5),"")</f>
        <v/>
      </c>
      <c r="Z26" s="70" t="str">
        <f>IF(S26&lt;&gt;"",IF($S26&lt;&gt;"",((($S26*COS(0.5))*$AE$5)/100),-1),"")</f>
        <v/>
      </c>
      <c r="AA26" s="65" t="str">
        <f>IF(T26&lt;&gt;"",IF($T26&lt;&gt;"",((($T26*COS(0.5))*$AE$5)/100),-1),"")</f>
        <v/>
      </c>
      <c r="AB26" s="66" t="str">
        <f>IF(Y26&lt;&gt;"",2*COS(0.5)*$AE$5*(X26-W26)/2+(AA26+Z26)/2,"")</f>
        <v/>
      </c>
      <c r="AC26" s="5"/>
      <c r="AE26" s="51"/>
      <c r="AF26" s="97">
        <f t="shared" si="7"/>
        <v>0.30000000000000004</v>
      </c>
      <c r="AG26" s="58">
        <f>IF(AF26&lt;&gt;"", (AF26*0.5), AG21)</f>
        <v>0.15000000000000002</v>
      </c>
      <c r="AH26" s="59">
        <f>IF(AF26&lt;&gt;"", (AF26*COS(0.5)*$AE$5), AH23)</f>
        <v>0.26327476856711185</v>
      </c>
      <c r="AI26" s="58">
        <f>IF(AF26&lt;&gt;"", 1-(AF26*0.5), AI21)</f>
        <v>0.85</v>
      </c>
      <c r="AJ26" s="59">
        <f>IF(AF26&lt;&gt;"", (AF26*COS(0.5)*$AE$5), AJ23)</f>
        <v>0.26327476856711185</v>
      </c>
      <c r="AK26" s="58"/>
      <c r="AL26" s="59"/>
      <c r="AM26" s="58"/>
      <c r="AN26" s="59"/>
      <c r="AO26" s="58"/>
      <c r="AP26" s="59"/>
      <c r="AQ26" s="58">
        <f>IF(AF24&lt;&gt;"", AF24, 0)</f>
        <v>0.30000000000000004</v>
      </c>
      <c r="AR26" s="55">
        <v>0</v>
      </c>
      <c r="AS26" s="55">
        <f>AQ26</f>
        <v>0.30000000000000004</v>
      </c>
      <c r="AT26" s="59">
        <f>AR26</f>
        <v>0</v>
      </c>
      <c r="AU26" s="58">
        <f>IF(AF26&lt;&gt;"",AG26+1+$AE$9, $AL$7)</f>
        <v>1.3499999999999999</v>
      </c>
      <c r="AV26" s="59">
        <f>AJ26</f>
        <v>0.26327476856711185</v>
      </c>
      <c r="AW26" s="58">
        <f>AI26+1+$AE$9</f>
        <v>2.0500000000000003</v>
      </c>
      <c r="AX26" s="59">
        <f>AH26</f>
        <v>0.26327476856711185</v>
      </c>
      <c r="AY26" s="58"/>
      <c r="AZ26" s="59"/>
      <c r="BA26" s="58"/>
      <c r="BB26" s="59"/>
      <c r="BC26" s="58"/>
      <c r="BD26" s="59"/>
      <c r="BE26" s="58">
        <f>AQ26+1+$AE$9</f>
        <v>1.5</v>
      </c>
      <c r="BF26" s="55">
        <f>AR26</f>
        <v>0</v>
      </c>
      <c r="BG26" s="55">
        <f t="shared" ref="BG26" si="10">BG24</f>
        <v>1.5</v>
      </c>
      <c r="BH26" s="59">
        <f>IF(AF26&lt;&gt;"",AT26,0)</f>
        <v>0</v>
      </c>
      <c r="BI26" s="58">
        <f>AU26-$AL$8+$AO$8</f>
        <v>0.75</v>
      </c>
      <c r="BJ26" s="59">
        <f>AV26+$AP$9-$AM$7</f>
        <v>1.3163738428355591</v>
      </c>
      <c r="BK26" s="58">
        <f>AI26+$AO$10-$AI$9</f>
        <v>1.4500000000000002</v>
      </c>
      <c r="BL26" s="59">
        <f>AJ26+$AP$9-$AJ$7</f>
        <v>1.3163738428355591</v>
      </c>
      <c r="BM26" s="58"/>
      <c r="BN26" s="59"/>
      <c r="BO26" s="58"/>
      <c r="BP26" s="59"/>
    </row>
    <row r="27" spans="1:68" x14ac:dyDescent="0.25">
      <c r="A27" s="37"/>
      <c r="B27" s="38"/>
      <c r="C27" s="37"/>
      <c r="D27" s="2"/>
      <c r="E27" s="2"/>
      <c r="F27" s="38"/>
      <c r="G27" s="37"/>
      <c r="H27" s="2"/>
      <c r="I27" s="3"/>
      <c r="J27" s="90" t="str">
        <f>IF(C27&lt;&gt;"",$C27/'Elements and ions'!$B$12,"")</f>
        <v/>
      </c>
      <c r="K27" s="65" t="str">
        <f>IF(D27&lt;&gt;"",$D27/'Elements and ions'!$B$20,"")</f>
        <v/>
      </c>
      <c r="L27" s="65" t="str">
        <f>IF(E27&lt;&gt;"",$E27/'Elements and ions'!$B$21*2,"")</f>
        <v/>
      </c>
      <c r="M27" s="81" t="str">
        <f>IF(F27&lt;&gt;"",$F27/'Elements and ions'!$B$13*2,"")</f>
        <v/>
      </c>
      <c r="N27" s="80" t="str">
        <f>IF(G27&lt;&gt;"",-$G27/'Elements and ions'!$F$3,"")</f>
        <v/>
      </c>
      <c r="O27" s="65" t="str">
        <f>IF(H27&lt;&gt;"",-$H27/'Elements and ions'!$B$18,"")</f>
        <v/>
      </c>
      <c r="P27" s="81" t="str">
        <f>IF(I27&lt;&gt;"",-2*$I27/'Elements and ions'!$F$4,"")</f>
        <v/>
      </c>
      <c r="Q27" s="80" t="str">
        <f t="shared" si="0"/>
        <v/>
      </c>
      <c r="R27" s="65" t="str">
        <f t="shared" si="1"/>
        <v/>
      </c>
      <c r="S27" s="81" t="str">
        <f t="shared" si="2"/>
        <v/>
      </c>
      <c r="T27" s="80" t="str">
        <f t="shared" si="3"/>
        <v/>
      </c>
      <c r="U27" s="65" t="str">
        <f t="shared" si="4"/>
        <v/>
      </c>
      <c r="V27" s="91" t="str">
        <f t="shared" si="5"/>
        <v/>
      </c>
      <c r="W27" s="70" t="str">
        <f t="shared" si="6"/>
        <v/>
      </c>
      <c r="X27" s="65" t="str">
        <f>IF(V27&lt;&gt;"",IF($V27&lt;&gt;0,(($V27+(0.5*T27))/100+1+$AE$9),-1),"")</f>
        <v/>
      </c>
      <c r="Y27" s="81" t="str">
        <f>IF(AND(W27&lt;&gt;-1,X27&lt;&gt;-1,W27&lt;&gt;"",X27&lt;&gt;"",AA27&lt;&gt;-1,Z27&lt;&gt;-1,AA27&lt;&gt;"",Z27&lt;&gt;""),(W27+X27)/2+(AA27-Z27)/(4*COS(0.5)*$AE$5),"")</f>
        <v/>
      </c>
      <c r="Z27" s="70" t="str">
        <f>IF(S27&lt;&gt;"",IF($S27&lt;&gt;"",((($S27*COS(0.5))*$AE$5)/100),-1),"")</f>
        <v/>
      </c>
      <c r="AA27" s="65" t="str">
        <f>IF(T27&lt;&gt;"",IF($T27&lt;&gt;"",((($T27*COS(0.5))*$AE$5)/100),-1),"")</f>
        <v/>
      </c>
      <c r="AB27" s="66" t="str">
        <f>IF(Y27&lt;&gt;"",2*COS(0.5)*$AE$5*(X27-W27)/2+(AA27+Z27)/2,"")</f>
        <v/>
      </c>
      <c r="AC27" s="5"/>
      <c r="AE27" s="51" t="s">
        <v>138</v>
      </c>
      <c r="AF27" s="97">
        <f>IF(AND($AE$6&gt;0, $AE$7&gt;0, AF24&lt;1), AF24+$AE$6, "")</f>
        <v>0.4</v>
      </c>
      <c r="AG27" s="58">
        <f>IF(AF27&lt;&gt;"", (AF27*0.5), AG24)</f>
        <v>0.2</v>
      </c>
      <c r="AH27" s="59">
        <f>IF(AF27&lt;&gt;"", (AF27*COS(0.5)*$AE$5), AH24)</f>
        <v>0.35103302475614911</v>
      </c>
      <c r="AI27" s="58">
        <f>IF(AF27&lt;&gt;"", 1-(AF27*0.5), AI24)</f>
        <v>0.8</v>
      </c>
      <c r="AJ27" s="59">
        <f>IF(AF27&lt;&gt;"", (AF27*COS(0.5)*$AE$5), AJ24)</f>
        <v>0.35103302475614911</v>
      </c>
      <c r="AK27" s="58">
        <f>IF($AE$8=1, AI27, AK24)</f>
        <v>0.8</v>
      </c>
      <c r="AL27" s="59">
        <f>IF($AE$8=1, AJ27, AL24)</f>
        <v>0.35103302475614911</v>
      </c>
      <c r="AM27" s="58">
        <f>IF(AND($AE$8=1, AF27&lt;&gt;""), AI27, AM24)</f>
        <v>0.8</v>
      </c>
      <c r="AN27" s="59">
        <f>IF(AND($AE$8=1, AF27&lt;&gt;""), AJ27, AN24)</f>
        <v>0.35103302475614911</v>
      </c>
      <c r="AO27" s="58">
        <f>IF($AE$8=1,AQ27,AO24)</f>
        <v>0.4</v>
      </c>
      <c r="AP27" s="59">
        <v>0</v>
      </c>
      <c r="AQ27" s="58">
        <f>IF(AF27&lt;&gt;"", AF27, 0)</f>
        <v>0.4</v>
      </c>
      <c r="AR27" s="55">
        <v>0</v>
      </c>
      <c r="AS27" s="55">
        <f>AQ27</f>
        <v>0.4</v>
      </c>
      <c r="AT27" s="59">
        <f>AR27</f>
        <v>0</v>
      </c>
      <c r="AU27" s="58">
        <f>IF(AF27&lt;&gt;"",AG27+1+$AE$9, $AL$7)</f>
        <v>1.4</v>
      </c>
      <c r="AV27" s="59">
        <f>AJ27</f>
        <v>0.35103302475614911</v>
      </c>
      <c r="AW27" s="58">
        <f>AI27+1+$AE$9</f>
        <v>2</v>
      </c>
      <c r="AX27" s="59">
        <f>AH27</f>
        <v>0.35103302475614911</v>
      </c>
      <c r="AY27" s="58">
        <f>AK27+1+$AE$9</f>
        <v>2</v>
      </c>
      <c r="AZ27" s="59">
        <f>AL27</f>
        <v>0.35103302475614911</v>
      </c>
      <c r="BA27" s="58">
        <f>AM27+1+$AE$9</f>
        <v>2</v>
      </c>
      <c r="BB27" s="59">
        <f>AN27</f>
        <v>0.35103302475614911</v>
      </c>
      <c r="BC27" s="58">
        <f>AO27+1+$AE$9</f>
        <v>1.5999999999999999</v>
      </c>
      <c r="BD27" s="59">
        <f>AP27</f>
        <v>0</v>
      </c>
      <c r="BE27" s="58">
        <f>AQ27+1+$AE$9</f>
        <v>1.5999999999999999</v>
      </c>
      <c r="BF27" s="55">
        <f>AR27</f>
        <v>0</v>
      </c>
      <c r="BG27" s="55">
        <f>IF(AF27&lt;&gt;"",AS27+1+$AE$9,BC27)</f>
        <v>1.5999999999999999</v>
      </c>
      <c r="BH27" s="59">
        <f>IF(AF27&lt;&gt;"",AT27,0)</f>
        <v>0</v>
      </c>
      <c r="BI27" s="58">
        <f>AU27-$AL$8+$AO$8</f>
        <v>0.8</v>
      </c>
      <c r="BJ27" s="59">
        <f>AV27+$AP$9-$AM$7</f>
        <v>1.4041320990245967</v>
      </c>
      <c r="BK27" s="58">
        <f>AI27+$AO$10-$AI$9</f>
        <v>1.4000000000000004</v>
      </c>
      <c r="BL27" s="59">
        <f>AJ27+$AP$9-$AJ$7</f>
        <v>1.4041320990245967</v>
      </c>
      <c r="BM27" s="58">
        <f>IF(AND($AE$8=1,AF27&lt;&gt;""), BI27, $BI$15)</f>
        <v>0.8</v>
      </c>
      <c r="BN27" s="59">
        <f>IF(AND($AE$8=1,AF27&lt;&gt;""), BJ27, $BJ$15)</f>
        <v>1.4041320990245967</v>
      </c>
      <c r="BO27" s="58">
        <f>IF(AND($AE$8=1,AF27&lt;&gt;""), BK27, $BK$15)</f>
        <v>1.4000000000000004</v>
      </c>
      <c r="BP27" s="59">
        <f>IF(AND($AE$8=1,AF27&lt;&gt;""), BL27, $BJ$15)</f>
        <v>1.4041320990245967</v>
      </c>
    </row>
    <row r="28" spans="1:68" x14ac:dyDescent="0.25">
      <c r="A28" s="37"/>
      <c r="B28" s="38"/>
      <c r="C28" s="53"/>
      <c r="D28" s="4"/>
      <c r="E28" s="4"/>
      <c r="F28" s="52"/>
      <c r="G28" s="53"/>
      <c r="H28" s="4"/>
      <c r="I28" s="109"/>
      <c r="J28" s="90" t="str">
        <f>IF(C28&lt;&gt;"",$C28/'Elements and ions'!$B$12,"")</f>
        <v/>
      </c>
      <c r="K28" s="65" t="str">
        <f>IF(D28&lt;&gt;"",$D28/'Elements and ions'!$B$20,"")</f>
        <v/>
      </c>
      <c r="L28" s="65" t="str">
        <f>IF(E28&lt;&gt;"",$E28/'Elements and ions'!$B$21*2,"")</f>
        <v/>
      </c>
      <c r="M28" s="81" t="str">
        <f>IF(F28&lt;&gt;"",$F28/'Elements and ions'!$B$13*2,"")</f>
        <v/>
      </c>
      <c r="N28" s="80" t="str">
        <f>IF(G28&lt;&gt;"",-$G28/'Elements and ions'!$F$3,"")</f>
        <v/>
      </c>
      <c r="O28" s="65" t="str">
        <f>IF(H28&lt;&gt;"",-$H28/'Elements and ions'!$B$18,"")</f>
        <v/>
      </c>
      <c r="P28" s="81" t="str">
        <f>IF(I28&lt;&gt;"",-2*$I28/'Elements and ions'!$F$4,"")</f>
        <v/>
      </c>
      <c r="Q28" s="80" t="str">
        <f t="shared" si="0"/>
        <v/>
      </c>
      <c r="R28" s="65" t="str">
        <f t="shared" si="1"/>
        <v/>
      </c>
      <c r="S28" s="81" t="str">
        <f t="shared" si="2"/>
        <v/>
      </c>
      <c r="T28" s="80" t="str">
        <f t="shared" si="3"/>
        <v/>
      </c>
      <c r="U28" s="65" t="str">
        <f t="shared" si="4"/>
        <v/>
      </c>
      <c r="V28" s="91" t="str">
        <f t="shared" si="5"/>
        <v/>
      </c>
      <c r="W28" s="70" t="str">
        <f t="shared" si="6"/>
        <v/>
      </c>
      <c r="X28" s="65" t="str">
        <f>IF(V28&lt;&gt;"",IF($V28&lt;&gt;0,(($V28+(0.5*T28))/100+1+$AE$9),-1),"")</f>
        <v/>
      </c>
      <c r="Y28" s="81" t="str">
        <f>IF(AND(W28&lt;&gt;-1,X28&lt;&gt;-1,W28&lt;&gt;"",X28&lt;&gt;"",AA28&lt;&gt;-1,Z28&lt;&gt;-1,AA28&lt;&gt;"",Z28&lt;&gt;""),(W28+X28)/2+(AA28-Z28)/(4*COS(0.5)*$AE$5),"")</f>
        <v/>
      </c>
      <c r="Z28" s="70" t="str">
        <f>IF(S28&lt;&gt;"",IF($S28&lt;&gt;"",((($S28*COS(0.5))*$AE$5)/100),-1),"")</f>
        <v/>
      </c>
      <c r="AA28" s="65" t="str">
        <f>IF(T28&lt;&gt;"",IF($T28&lt;&gt;"",((($T28*COS(0.5))*$AE$5)/100),-1),"")</f>
        <v/>
      </c>
      <c r="AB28" s="66" t="str">
        <f>IF(Y28&lt;&gt;"",2*COS(0.5)*$AE$5*(X28-W28)/2+(AA28+Z28)/2,"")</f>
        <v/>
      </c>
      <c r="AC28" s="5"/>
      <c r="AE28" s="51"/>
      <c r="AF28" s="97">
        <f t="shared" si="7"/>
        <v>0.4</v>
      </c>
      <c r="AG28" s="58">
        <f>IF(AF28&lt;&gt;"", ((AF28*0.5)-$AE$7), AG24)</f>
        <v>0.17</v>
      </c>
      <c r="AH28" s="59">
        <f>IF(AF28&lt;&gt;"", (AF28*COS(0.5)*$AE$5), AH25)</f>
        <v>0.35103302475614911</v>
      </c>
      <c r="AI28" s="58">
        <f>IF(AF28&lt;&gt;"", AI27+($AE$7*0.5), AI24)</f>
        <v>0.81500000000000006</v>
      </c>
      <c r="AJ28" s="59">
        <f>IF(AF28&lt;&gt;"", AJ27+($AE$7*COS(0.5)*$AE$5), AJ24)</f>
        <v>0.37736050161286028</v>
      </c>
      <c r="AK28" s="58">
        <f>IF($AE$8=1, AG27, AK24)</f>
        <v>0.2</v>
      </c>
      <c r="AL28" s="59">
        <f>IF($AE$8=1, AJ27, AL24)</f>
        <v>0.35103302475614911</v>
      </c>
      <c r="AM28" s="58">
        <f>IF(AND($AE$8=1, AF27&lt;&gt;""), 1-AF27, AM27)</f>
        <v>0.6</v>
      </c>
      <c r="AN28" s="59">
        <f>IF(AND($AE$8=1, AF27&lt;&gt;""), 0, AN27)</f>
        <v>0</v>
      </c>
      <c r="AO28" s="58">
        <f>IF($AE$8=1,AG27,AO27)</f>
        <v>0.2</v>
      </c>
      <c r="AP28" s="59">
        <f>IF($AE$8=1,AH27,0)</f>
        <v>0.35103302475614911</v>
      </c>
      <c r="AQ28" s="58">
        <f>IF(AF27&lt;&gt;"",AQ27+(0.5*$AE$7),0)</f>
        <v>0.41500000000000004</v>
      </c>
      <c r="AR28" s="55">
        <f>IF(AF27&lt;&gt;"",-COS(0.5)*$AE$7*$AE$5,0)</f>
        <v>-2.632747685671118E-2</v>
      </c>
      <c r="AS28" s="55">
        <f>AQ28</f>
        <v>0.41500000000000004</v>
      </c>
      <c r="AT28" s="59">
        <f>AR28</f>
        <v>-2.632747685671118E-2</v>
      </c>
      <c r="AU28" s="58">
        <f>IF(AF28&lt;&gt;"",AG28+1+$AE$9+($AE$7*0.5), $AL$7)</f>
        <v>1.3849999999999998</v>
      </c>
      <c r="AV28" s="59">
        <f>AJ28</f>
        <v>0.37736050161286028</v>
      </c>
      <c r="AW28" s="58">
        <f>AI28+1+$AE$9+0.5*$AE$7</f>
        <v>2.0300000000000002</v>
      </c>
      <c r="AX28" s="59">
        <f>AH28</f>
        <v>0.35103302475614911</v>
      </c>
      <c r="AY28" s="58">
        <f>AK28+1+$AE$9</f>
        <v>1.4</v>
      </c>
      <c r="AZ28" s="59">
        <f>AL28</f>
        <v>0.35103302475614911</v>
      </c>
      <c r="BA28" s="58">
        <f>AM28+1+$AE$9</f>
        <v>1.8</v>
      </c>
      <c r="BB28" s="59">
        <f>AN28</f>
        <v>0</v>
      </c>
      <c r="BC28" s="58">
        <f>AO28+1+$AE$9</f>
        <v>1.4</v>
      </c>
      <c r="BD28" s="59">
        <f>AP28</f>
        <v>0.35103302475614911</v>
      </c>
      <c r="BE28" s="58">
        <f>AQ28+1+$AE$9</f>
        <v>1.615</v>
      </c>
      <c r="BF28" s="55">
        <f>AR28</f>
        <v>-2.632747685671118E-2</v>
      </c>
      <c r="BG28" s="55">
        <f>IF(AF28&lt;&gt;"",AS28+1+$AE$9-$AE$7,BC27)</f>
        <v>1.585</v>
      </c>
      <c r="BH28" s="59">
        <f>IF(AF28&lt;&gt;"",AT28,0)</f>
        <v>-2.632747685671118E-2</v>
      </c>
      <c r="BI28" s="58">
        <f>AU28-$AL$8+$AO$8</f>
        <v>0.78499999999999992</v>
      </c>
      <c r="BJ28" s="59">
        <f>AV28+$AP$9-$AM$7</f>
        <v>1.4304595758813079</v>
      </c>
      <c r="BK28" s="58">
        <f>AI28+$AO$10-$AI$9</f>
        <v>1.415</v>
      </c>
      <c r="BL28" s="59">
        <f>AJ28+$AP$9-$AJ$7</f>
        <v>1.4304595758813079</v>
      </c>
      <c r="BM28" s="58">
        <f>IF(AND($AE$8=1,AF28&lt;&gt;""), BM27+0.5, $BI$15)</f>
        <v>1.3</v>
      </c>
      <c r="BN28" s="59">
        <f>IF(AND($AE$8=1,AF28&lt;&gt;""), BN27-$AM$7, $BJ$15)</f>
        <v>0.52654953713422392</v>
      </c>
      <c r="BO28" s="58">
        <f>IF(AND($AE$8=1,AF28&lt;&gt;""), BO27-0.5, $BK$15)</f>
        <v>0.90000000000000036</v>
      </c>
      <c r="BP28" s="59">
        <f>IF(AND($AE$8=1,AF28&lt;&gt;""), BP27-$AM$7, $BL$15)</f>
        <v>0.52654953713422392</v>
      </c>
    </row>
    <row r="29" spans="1:68" x14ac:dyDescent="0.25">
      <c r="A29" s="37"/>
      <c r="B29" s="38"/>
      <c r="C29" s="53"/>
      <c r="D29" s="4"/>
      <c r="E29" s="4"/>
      <c r="F29" s="52"/>
      <c r="G29" s="53"/>
      <c r="H29" s="4"/>
      <c r="I29" s="109"/>
      <c r="J29" s="90" t="str">
        <f>IF(C29&lt;&gt;"",$C29/'Elements and ions'!$B$12,"")</f>
        <v/>
      </c>
      <c r="K29" s="65" t="str">
        <f>IF(D29&lt;&gt;"",$D29/'Elements and ions'!$B$20,"")</f>
        <v/>
      </c>
      <c r="L29" s="65" t="str">
        <f>IF(E29&lt;&gt;"",$E29/'Elements and ions'!$B$21*2,"")</f>
        <v/>
      </c>
      <c r="M29" s="81" t="str">
        <f>IF(F29&lt;&gt;"",$F29/'Elements and ions'!$B$13*2,"")</f>
        <v/>
      </c>
      <c r="N29" s="80" t="str">
        <f>IF(G29&lt;&gt;"",-$G29/'Elements and ions'!$F$3,"")</f>
        <v/>
      </c>
      <c r="O29" s="65" t="str">
        <f>IF(H29&lt;&gt;"",-$H29/'Elements and ions'!$B$18,"")</f>
        <v/>
      </c>
      <c r="P29" s="81" t="str">
        <f>IF(I29&lt;&gt;"",-2*$I29/'Elements and ions'!$F$4,"")</f>
        <v/>
      </c>
      <c r="Q29" s="80" t="str">
        <f t="shared" si="0"/>
        <v/>
      </c>
      <c r="R29" s="65" t="str">
        <f t="shared" si="1"/>
        <v/>
      </c>
      <c r="S29" s="81" t="str">
        <f t="shared" si="2"/>
        <v/>
      </c>
      <c r="T29" s="80" t="str">
        <f t="shared" si="3"/>
        <v/>
      </c>
      <c r="U29" s="65" t="str">
        <f t="shared" si="4"/>
        <v/>
      </c>
      <c r="V29" s="91" t="str">
        <f t="shared" si="5"/>
        <v/>
      </c>
      <c r="W29" s="70" t="str">
        <f t="shared" si="6"/>
        <v/>
      </c>
      <c r="X29" s="65" t="str">
        <f>IF(V29&lt;&gt;"",IF($V29&lt;&gt;0,(($V29+(0.5*T29))/100+1+$AE$9),-1),"")</f>
        <v/>
      </c>
      <c r="Y29" s="81" t="str">
        <f>IF(AND(W29&lt;&gt;-1,X29&lt;&gt;-1,W29&lt;&gt;"",X29&lt;&gt;"",AA29&lt;&gt;-1,Z29&lt;&gt;-1,AA29&lt;&gt;"",Z29&lt;&gt;""),(W29+X29)/2+(AA29-Z29)/(4*COS(0.5)*$AE$5),"")</f>
        <v/>
      </c>
      <c r="Z29" s="70" t="str">
        <f>IF(S29&lt;&gt;"",IF($S29&lt;&gt;"",((($S29*COS(0.5))*$AE$5)/100),-1),"")</f>
        <v/>
      </c>
      <c r="AA29" s="65" t="str">
        <f>IF(T29&lt;&gt;"",IF($T29&lt;&gt;"",((($T29*COS(0.5))*$AE$5)/100),-1),"")</f>
        <v/>
      </c>
      <c r="AB29" s="66" t="str">
        <f>IF(Y29&lt;&gt;"",2*COS(0.5)*$AE$5*(X29-W29)/2+(AA29+Z29)/2,"")</f>
        <v/>
      </c>
      <c r="AC29" s="5"/>
      <c r="AE29" s="51"/>
      <c r="AF29" s="97">
        <f t="shared" si="7"/>
        <v>0.4</v>
      </c>
      <c r="AG29" s="58">
        <f>IF(AF29&lt;&gt;"", (AF29*0.5), AG24)</f>
        <v>0.2</v>
      </c>
      <c r="AH29" s="59">
        <f>IF(AF29&lt;&gt;"", (AF29*COS(0.5)*$AE$5), AH26)</f>
        <v>0.35103302475614911</v>
      </c>
      <c r="AI29" s="58">
        <f>IF(AF29&lt;&gt;"", 1-(AF29*0.5), AI24)</f>
        <v>0.8</v>
      </c>
      <c r="AJ29" s="59">
        <f>IF(AF29&lt;&gt;"", (AF29*COS(0.5)*$AE$5), AJ26)</f>
        <v>0.35103302475614911</v>
      </c>
      <c r="AK29" s="58"/>
      <c r="AL29" s="59"/>
      <c r="AM29" s="58"/>
      <c r="AN29" s="59"/>
      <c r="AO29" s="58"/>
      <c r="AP29" s="59"/>
      <c r="AQ29" s="58">
        <f>IF(AF27&lt;&gt;"", AF27, 0)</f>
        <v>0.4</v>
      </c>
      <c r="AR29" s="55">
        <v>0</v>
      </c>
      <c r="AS29" s="55">
        <f>AQ29</f>
        <v>0.4</v>
      </c>
      <c r="AT29" s="59">
        <f>AR29</f>
        <v>0</v>
      </c>
      <c r="AU29" s="58">
        <f>IF(AF29&lt;&gt;"",AG29+1+$AE$9, $AL$7)</f>
        <v>1.4</v>
      </c>
      <c r="AV29" s="59">
        <f>AJ29</f>
        <v>0.35103302475614911</v>
      </c>
      <c r="AW29" s="58">
        <f>AI29+1+$AE$9</f>
        <v>2</v>
      </c>
      <c r="AX29" s="59">
        <f>AH29</f>
        <v>0.35103302475614911</v>
      </c>
      <c r="AY29" s="58"/>
      <c r="AZ29" s="59"/>
      <c r="BA29" s="58"/>
      <c r="BB29" s="59"/>
      <c r="BC29" s="58"/>
      <c r="BD29" s="59"/>
      <c r="BE29" s="58">
        <f>AQ29+1+$AE$9</f>
        <v>1.5999999999999999</v>
      </c>
      <c r="BF29" s="55">
        <f>AR29</f>
        <v>0</v>
      </c>
      <c r="BG29" s="55">
        <f t="shared" ref="BG29" si="11">BG27</f>
        <v>1.5999999999999999</v>
      </c>
      <c r="BH29" s="59">
        <f>IF(AF29&lt;&gt;"",AT29,0)</f>
        <v>0</v>
      </c>
      <c r="BI29" s="58">
        <f>AU29-$AL$8+$AO$8</f>
        <v>0.8</v>
      </c>
      <c r="BJ29" s="59">
        <f>AV29+$AP$9-$AM$7</f>
        <v>1.4041320990245967</v>
      </c>
      <c r="BK29" s="58">
        <f>AI29+$AO$10-$AI$9</f>
        <v>1.4000000000000004</v>
      </c>
      <c r="BL29" s="59">
        <f>AJ29+$AP$9-$AJ$7</f>
        <v>1.4041320990245967</v>
      </c>
      <c r="BM29" s="58"/>
      <c r="BN29" s="59"/>
      <c r="BO29" s="58"/>
      <c r="BP29" s="59"/>
    </row>
    <row r="30" spans="1:68" x14ac:dyDescent="0.25">
      <c r="A30" s="37"/>
      <c r="B30" s="38"/>
      <c r="C30" s="37"/>
      <c r="D30" s="2"/>
      <c r="E30" s="2"/>
      <c r="F30" s="38"/>
      <c r="G30" s="37"/>
      <c r="H30" s="2"/>
      <c r="I30" s="3"/>
      <c r="J30" s="90" t="str">
        <f>IF(C30&lt;&gt;"",$C30/'Elements and ions'!$B$12,"")</f>
        <v/>
      </c>
      <c r="K30" s="65" t="str">
        <f>IF(D30&lt;&gt;"",$D30/'Elements and ions'!$B$20,"")</f>
        <v/>
      </c>
      <c r="L30" s="65" t="str">
        <f>IF(E30&lt;&gt;"",$E30/'Elements and ions'!$B$21*2,"")</f>
        <v/>
      </c>
      <c r="M30" s="81" t="str">
        <f>IF(F30&lt;&gt;"",$F30/'Elements and ions'!$B$13*2,"")</f>
        <v/>
      </c>
      <c r="N30" s="80" t="str">
        <f>IF(G30&lt;&gt;"",-$G30/'Elements and ions'!$F$3,"")</f>
        <v/>
      </c>
      <c r="O30" s="65" t="str">
        <f>IF(H30&lt;&gt;"",-$H30/'Elements and ions'!$B$18,"")</f>
        <v/>
      </c>
      <c r="P30" s="81" t="str">
        <f>IF(I30&lt;&gt;"",-2*$I30/'Elements and ions'!$F$4,"")</f>
        <v/>
      </c>
      <c r="Q30" s="80" t="str">
        <f t="shared" si="0"/>
        <v/>
      </c>
      <c r="R30" s="65" t="str">
        <f t="shared" si="1"/>
        <v/>
      </c>
      <c r="S30" s="81" t="str">
        <f t="shared" si="2"/>
        <v/>
      </c>
      <c r="T30" s="80" t="str">
        <f t="shared" si="3"/>
        <v/>
      </c>
      <c r="U30" s="65" t="str">
        <f t="shared" si="4"/>
        <v/>
      </c>
      <c r="V30" s="91" t="str">
        <f t="shared" si="5"/>
        <v/>
      </c>
      <c r="W30" s="70" t="str">
        <f t="shared" si="6"/>
        <v/>
      </c>
      <c r="X30" s="65" t="str">
        <f>IF(V30&lt;&gt;"",IF($V30&lt;&gt;0,(($V30+(0.5*T30))/100+1+$AE$9),-1),"")</f>
        <v/>
      </c>
      <c r="Y30" s="81" t="str">
        <f>IF(AND(W30&lt;&gt;-1,X30&lt;&gt;-1,W30&lt;&gt;"",X30&lt;&gt;"",AA30&lt;&gt;-1,Z30&lt;&gt;-1,AA30&lt;&gt;"",Z30&lt;&gt;""),(W30+X30)/2+(AA30-Z30)/(4*COS(0.5)*$AE$5),"")</f>
        <v/>
      </c>
      <c r="Z30" s="70" t="str">
        <f>IF(S30&lt;&gt;"",IF($S30&lt;&gt;"",((($S30*COS(0.5))*$AE$5)/100),-1),"")</f>
        <v/>
      </c>
      <c r="AA30" s="65" t="str">
        <f>IF(T30&lt;&gt;"",IF($T30&lt;&gt;"",((($T30*COS(0.5))*$AE$5)/100),-1),"")</f>
        <v/>
      </c>
      <c r="AB30" s="66" t="str">
        <f>IF(Y30&lt;&gt;"",2*COS(0.5)*$AE$5*(X30-W30)/2+(AA30+Z30)/2,"")</f>
        <v/>
      </c>
      <c r="AC30" s="5"/>
      <c r="AE30" s="51"/>
      <c r="AF30" s="97">
        <f>IF(AND($AE$6&gt;0, $AE$7&gt;0, AF27&lt;1), AF27+$AE$6, "")</f>
        <v>0.5</v>
      </c>
      <c r="AG30" s="58">
        <f>IF(AF30&lt;&gt;"", (AF30*0.5), AG27)</f>
        <v>0.25</v>
      </c>
      <c r="AH30" s="59">
        <f>IF(AF30&lt;&gt;"", (AF30*COS(0.5)*$AE$5), AH27)</f>
        <v>0.43879128094518638</v>
      </c>
      <c r="AI30" s="58">
        <f>IF(AF30&lt;&gt;"", 1-(AF30*0.5), AI27)</f>
        <v>0.75</v>
      </c>
      <c r="AJ30" s="59">
        <f>IF(AF30&lt;&gt;"", (AF30*COS(0.5)*$AE$5), AJ27)</f>
        <v>0.43879128094518638</v>
      </c>
      <c r="AK30" s="58">
        <f>IF($AE$8=1, AI30, AK27)</f>
        <v>0.75</v>
      </c>
      <c r="AL30" s="59">
        <f>IF($AE$8=1, AJ30, AL27)</f>
        <v>0.43879128094518638</v>
      </c>
      <c r="AM30" s="58">
        <f>IF(AND($AE$8=1, AF30&lt;&gt;""), AI30, AM27)</f>
        <v>0.75</v>
      </c>
      <c r="AN30" s="59">
        <f>IF(AND($AE$8=1, AF30&lt;&gt;""), AJ30, AN27)</f>
        <v>0.43879128094518638</v>
      </c>
      <c r="AO30" s="58">
        <f>IF($AE$8=1,AQ30,AO27)</f>
        <v>0.5</v>
      </c>
      <c r="AP30" s="59">
        <v>0</v>
      </c>
      <c r="AQ30" s="58">
        <f>IF(AF30&lt;&gt;"", AF30, 0)</f>
        <v>0.5</v>
      </c>
      <c r="AR30" s="55">
        <v>0</v>
      </c>
      <c r="AS30" s="55">
        <f>AQ30</f>
        <v>0.5</v>
      </c>
      <c r="AT30" s="59">
        <f>AR30</f>
        <v>0</v>
      </c>
      <c r="AU30" s="58">
        <f>IF(AF30&lt;&gt;"",AG30+1+$AE$9, $AL$7)</f>
        <v>1.45</v>
      </c>
      <c r="AV30" s="59">
        <f>AJ30</f>
        <v>0.43879128094518638</v>
      </c>
      <c r="AW30" s="58">
        <f>AI30+1+$AE$9</f>
        <v>1.95</v>
      </c>
      <c r="AX30" s="59">
        <f>AH30</f>
        <v>0.43879128094518638</v>
      </c>
      <c r="AY30" s="58">
        <f>AK30+1+$AE$9</f>
        <v>1.95</v>
      </c>
      <c r="AZ30" s="59">
        <f>AL30</f>
        <v>0.43879128094518638</v>
      </c>
      <c r="BA30" s="58">
        <f>AM30+1+$AE$9</f>
        <v>1.95</v>
      </c>
      <c r="BB30" s="59">
        <f>AN30</f>
        <v>0.43879128094518638</v>
      </c>
      <c r="BC30" s="58">
        <f>AO30+1+$AE$9</f>
        <v>1.7</v>
      </c>
      <c r="BD30" s="59">
        <f>AP30</f>
        <v>0</v>
      </c>
      <c r="BE30" s="58">
        <f>AQ30+1+$AE$9</f>
        <v>1.7</v>
      </c>
      <c r="BF30" s="55">
        <f>AR30</f>
        <v>0</v>
      </c>
      <c r="BG30" s="55">
        <f>IF(AF30&lt;&gt;"",AS30+1+$AE$9,BC30)</f>
        <v>1.7</v>
      </c>
      <c r="BH30" s="59">
        <f>IF(AF30&lt;&gt;"",AT30,0)</f>
        <v>0</v>
      </c>
      <c r="BI30" s="58">
        <f>AU30-$AL$8+$AO$8</f>
        <v>0.85000000000000009</v>
      </c>
      <c r="BJ30" s="59">
        <f>AV30+$AP$9-$AM$7</f>
        <v>1.4918903552136338</v>
      </c>
      <c r="BK30" s="58">
        <f>AI30+$AO$10-$AI$9</f>
        <v>1.35</v>
      </c>
      <c r="BL30" s="59">
        <f>AJ30+$AP$9-$AJ$7</f>
        <v>1.4918903552136338</v>
      </c>
      <c r="BM30" s="58">
        <f>IF(AND($AE$8=1,AF30&lt;&gt;""), BI30, $BI$15)</f>
        <v>0.85000000000000009</v>
      </c>
      <c r="BN30" s="59">
        <f>IF(AND($AE$8=1,AF30&lt;&gt;""), BJ30, $BJ$15)</f>
        <v>1.4918903552136338</v>
      </c>
      <c r="BO30" s="58">
        <f>IF(AND($AE$8=1,AF30&lt;&gt;""), BK30, $BK$15)</f>
        <v>1.35</v>
      </c>
      <c r="BP30" s="59">
        <f>IF(AND($AE$8=1,AF30&lt;&gt;""), BL30, $BJ$15)</f>
        <v>1.4918903552136338</v>
      </c>
    </row>
    <row r="31" spans="1:68" x14ac:dyDescent="0.25">
      <c r="A31" s="37"/>
      <c r="B31" s="38"/>
      <c r="C31" s="37"/>
      <c r="D31" s="2"/>
      <c r="E31" s="2"/>
      <c r="F31" s="38"/>
      <c r="G31" s="37"/>
      <c r="H31" s="2"/>
      <c r="I31" s="3"/>
      <c r="J31" s="90" t="str">
        <f>IF(C31&lt;&gt;"",$C31/'Elements and ions'!$B$12,"")</f>
        <v/>
      </c>
      <c r="K31" s="65" t="str">
        <f>IF(D31&lt;&gt;"",$D31/'Elements and ions'!$B$20,"")</f>
        <v/>
      </c>
      <c r="L31" s="65" t="str">
        <f>IF(E31&lt;&gt;"",$E31/'Elements and ions'!$B$21*2,"")</f>
        <v/>
      </c>
      <c r="M31" s="81" t="str">
        <f>IF(F31&lt;&gt;"",$F31/'Elements and ions'!$B$13*2,"")</f>
        <v/>
      </c>
      <c r="N31" s="80" t="str">
        <f>IF(G31&lt;&gt;"",-$G31/'Elements and ions'!$F$3,"")</f>
        <v/>
      </c>
      <c r="O31" s="65" t="str">
        <f>IF(H31&lt;&gt;"",-$H31/'Elements and ions'!$B$18,"")</f>
        <v/>
      </c>
      <c r="P31" s="81" t="str">
        <f>IF(I31&lt;&gt;"",-2*$I31/'Elements and ions'!$F$4,"")</f>
        <v/>
      </c>
      <c r="Q31" s="80" t="str">
        <f t="shared" si="0"/>
        <v/>
      </c>
      <c r="R31" s="65" t="str">
        <f t="shared" si="1"/>
        <v/>
      </c>
      <c r="S31" s="81" t="str">
        <f t="shared" si="2"/>
        <v/>
      </c>
      <c r="T31" s="80" t="str">
        <f t="shared" si="3"/>
        <v/>
      </c>
      <c r="U31" s="65" t="str">
        <f t="shared" si="4"/>
        <v/>
      </c>
      <c r="V31" s="91" t="str">
        <f t="shared" si="5"/>
        <v/>
      </c>
      <c r="W31" s="70" t="str">
        <f t="shared" si="6"/>
        <v/>
      </c>
      <c r="X31" s="65" t="str">
        <f>IF(V31&lt;&gt;"",IF($V31&lt;&gt;0,(($V31+(0.5*T31))/100+1+$AE$9),-1),"")</f>
        <v/>
      </c>
      <c r="Y31" s="81" t="str">
        <f>IF(AND(W31&lt;&gt;-1,X31&lt;&gt;-1,W31&lt;&gt;"",X31&lt;&gt;"",AA31&lt;&gt;-1,Z31&lt;&gt;-1,AA31&lt;&gt;"",Z31&lt;&gt;""),(W31+X31)/2+(AA31-Z31)/(4*COS(0.5)*$AE$5),"")</f>
        <v/>
      </c>
      <c r="Z31" s="70" t="str">
        <f>IF(S31&lt;&gt;"",IF($S31&lt;&gt;"",((($S31*COS(0.5))*$AE$5)/100),-1),"")</f>
        <v/>
      </c>
      <c r="AA31" s="65" t="str">
        <f>IF(T31&lt;&gt;"",IF($T31&lt;&gt;"",((($T31*COS(0.5))*$AE$5)/100),-1),"")</f>
        <v/>
      </c>
      <c r="AB31" s="66" t="str">
        <f>IF(Y31&lt;&gt;"",2*COS(0.5)*$AE$5*(X31-W31)/2+(AA31+Z31)/2,"")</f>
        <v/>
      </c>
      <c r="AC31" s="5"/>
      <c r="AE31" s="51"/>
      <c r="AF31" s="97">
        <f t="shared" si="7"/>
        <v>0.5</v>
      </c>
      <c r="AG31" s="58">
        <f>IF(AF31&lt;&gt;"", ((AF31*0.5)-$AE$7), AG27)</f>
        <v>0.22</v>
      </c>
      <c r="AH31" s="59">
        <f>IF(AF31&lt;&gt;"", (AF31*COS(0.5)*$AE$5), AH28)</f>
        <v>0.43879128094518638</v>
      </c>
      <c r="AI31" s="58">
        <f>IF(AF31&lt;&gt;"", AI30+($AE$7*0.5), AI27)</f>
        <v>0.76500000000000001</v>
      </c>
      <c r="AJ31" s="59">
        <f>IF(AF31&lt;&gt;"", AJ30+($AE$7*COS(0.5)*$AE$5), AJ27)</f>
        <v>0.46511875780189754</v>
      </c>
      <c r="AK31" s="58">
        <f>IF($AE$8=1, AG30, AK27)</f>
        <v>0.25</v>
      </c>
      <c r="AL31" s="59">
        <f>IF($AE$8=1, AJ30, AL27)</f>
        <v>0.43879128094518638</v>
      </c>
      <c r="AM31" s="58">
        <f>IF(AND($AE$8=1, AF30&lt;&gt;""), 1-AF30, AM30)</f>
        <v>0.5</v>
      </c>
      <c r="AN31" s="59">
        <f>IF(AND($AE$8=1, AF30&lt;&gt;""), 0, AN30)</f>
        <v>0</v>
      </c>
      <c r="AO31" s="58">
        <f>IF($AE$8=1,AG30,AO30)</f>
        <v>0.25</v>
      </c>
      <c r="AP31" s="59">
        <f>IF($AE$8=1,AH30,0)</f>
        <v>0.43879128094518638</v>
      </c>
      <c r="AQ31" s="58">
        <f>IF(AF30&lt;&gt;"",AQ30+(0.5*$AE$7),0)</f>
        <v>0.51500000000000001</v>
      </c>
      <c r="AR31" s="55">
        <f>IF(AF30&lt;&gt;"",-COS(0.5)*$AE$7*$AE$5,0)</f>
        <v>-2.632747685671118E-2</v>
      </c>
      <c r="AS31" s="55">
        <f>AQ31</f>
        <v>0.51500000000000001</v>
      </c>
      <c r="AT31" s="59">
        <f>AR31</f>
        <v>-2.632747685671118E-2</v>
      </c>
      <c r="AU31" s="58">
        <f>IF(AF31&lt;&gt;"",AG31+1+$AE$9+($AE$7*0.5), $AL$7)</f>
        <v>1.4349999999999998</v>
      </c>
      <c r="AV31" s="59">
        <f>AJ31</f>
        <v>0.46511875780189754</v>
      </c>
      <c r="AW31" s="58">
        <f>AI31+1+$AE$9+0.5*$AE$7</f>
        <v>1.98</v>
      </c>
      <c r="AX31" s="59">
        <f>AH31</f>
        <v>0.43879128094518638</v>
      </c>
      <c r="AY31" s="58">
        <f>AK31+1+$AE$9</f>
        <v>1.45</v>
      </c>
      <c r="AZ31" s="59">
        <f>AL31</f>
        <v>0.43879128094518638</v>
      </c>
      <c r="BA31" s="58">
        <f>AM31+1+$AE$9</f>
        <v>1.7</v>
      </c>
      <c r="BB31" s="59">
        <f>AN31</f>
        <v>0</v>
      </c>
      <c r="BC31" s="58">
        <f>AO31+1+$AE$9</f>
        <v>1.45</v>
      </c>
      <c r="BD31" s="59">
        <f>AP31</f>
        <v>0.43879128094518638</v>
      </c>
      <c r="BE31" s="58">
        <f>AQ31+1+$AE$9</f>
        <v>1.7150000000000001</v>
      </c>
      <c r="BF31" s="55">
        <f>AR31</f>
        <v>-2.632747685671118E-2</v>
      </c>
      <c r="BG31" s="55">
        <f>IF(AF31&lt;&gt;"",AS31+1+$AE$9-$AE$7,BC30)</f>
        <v>1.6850000000000001</v>
      </c>
      <c r="BH31" s="59">
        <f>IF(AF31&lt;&gt;"",AT31,0)</f>
        <v>-2.632747685671118E-2</v>
      </c>
      <c r="BI31" s="58">
        <f>AU31-$AL$8+$AO$8</f>
        <v>0.83499999999999996</v>
      </c>
      <c r="BJ31" s="59">
        <f>AV31+$AP$9-$AM$7</f>
        <v>1.518217832070345</v>
      </c>
      <c r="BK31" s="58">
        <f>AI31+$AO$10-$AI$9</f>
        <v>1.3650000000000002</v>
      </c>
      <c r="BL31" s="59">
        <f>AJ31+$AP$9-$AJ$7</f>
        <v>1.518217832070345</v>
      </c>
      <c r="BM31" s="58">
        <f>IF(AND($AE$8=1,AF31&lt;&gt;""), BM30+0.5, $BI$15)</f>
        <v>1.35</v>
      </c>
      <c r="BN31" s="59">
        <f>IF(AND($AE$8=1,AF31&lt;&gt;""), BN30-$AM$7, $BJ$15)</f>
        <v>0.61430779332326102</v>
      </c>
      <c r="BO31" s="58">
        <f>IF(AND($AE$8=1,AF31&lt;&gt;""), BO30-0.5, $BK$15)</f>
        <v>0.85000000000000009</v>
      </c>
      <c r="BP31" s="59">
        <f>IF(AND($AE$8=1,AF31&lt;&gt;""), BP30-$AM$7, $BL$15)</f>
        <v>0.61430779332326102</v>
      </c>
    </row>
    <row r="32" spans="1:68" x14ac:dyDescent="0.25">
      <c r="A32" s="37"/>
      <c r="B32" s="38"/>
      <c r="C32" s="37"/>
      <c r="D32" s="2"/>
      <c r="E32" s="2"/>
      <c r="F32" s="38"/>
      <c r="G32" s="37"/>
      <c r="H32" s="2"/>
      <c r="I32" s="3"/>
      <c r="J32" s="90" t="str">
        <f>IF(C32&lt;&gt;"",$C32/'Elements and ions'!$B$12,"")</f>
        <v/>
      </c>
      <c r="K32" s="65" t="str">
        <f>IF(D32&lt;&gt;"",$D32/'Elements and ions'!$B$20,"")</f>
        <v/>
      </c>
      <c r="L32" s="65" t="str">
        <f>IF(E32&lt;&gt;"",$E32/'Elements and ions'!$B$21*2,"")</f>
        <v/>
      </c>
      <c r="M32" s="81" t="str">
        <f>IF(F32&lt;&gt;"",$F32/'Elements and ions'!$B$13*2,"")</f>
        <v/>
      </c>
      <c r="N32" s="80" t="str">
        <f>IF(G32&lt;&gt;"",-$G32/'Elements and ions'!$F$3,"")</f>
        <v/>
      </c>
      <c r="O32" s="65" t="str">
        <f>IF(H32&lt;&gt;"",-$H32/'Elements and ions'!$B$18,"")</f>
        <v/>
      </c>
      <c r="P32" s="81" t="str">
        <f>IF(I32&lt;&gt;"",-2*$I32/'Elements and ions'!$F$4,"")</f>
        <v/>
      </c>
      <c r="Q32" s="80" t="str">
        <f t="shared" si="0"/>
        <v/>
      </c>
      <c r="R32" s="65" t="str">
        <f t="shared" si="1"/>
        <v/>
      </c>
      <c r="S32" s="81" t="str">
        <f t="shared" si="2"/>
        <v/>
      </c>
      <c r="T32" s="80" t="str">
        <f t="shared" si="3"/>
        <v/>
      </c>
      <c r="U32" s="65" t="str">
        <f t="shared" si="4"/>
        <v/>
      </c>
      <c r="V32" s="91" t="str">
        <f t="shared" si="5"/>
        <v/>
      </c>
      <c r="W32" s="70" t="str">
        <f t="shared" si="6"/>
        <v/>
      </c>
      <c r="X32" s="65" t="str">
        <f>IF(V32&lt;&gt;"",IF($V32&lt;&gt;0,(($V32+(0.5*T32))/100+1+$AE$9),-1),"")</f>
        <v/>
      </c>
      <c r="Y32" s="81" t="str">
        <f>IF(AND(W32&lt;&gt;-1,X32&lt;&gt;-1,W32&lt;&gt;"",X32&lt;&gt;"",AA32&lt;&gt;-1,Z32&lt;&gt;-1,AA32&lt;&gt;"",Z32&lt;&gt;""),(W32+X32)/2+(AA32-Z32)/(4*COS(0.5)*$AE$5),"")</f>
        <v/>
      </c>
      <c r="Z32" s="70" t="str">
        <f>IF(S32&lt;&gt;"",IF($S32&lt;&gt;"",((($S32*COS(0.5))*$AE$5)/100),-1),"")</f>
        <v/>
      </c>
      <c r="AA32" s="65" t="str">
        <f>IF(T32&lt;&gt;"",IF($T32&lt;&gt;"",((($T32*COS(0.5))*$AE$5)/100),-1),"")</f>
        <v/>
      </c>
      <c r="AB32" s="66" t="str">
        <f>IF(Y32&lt;&gt;"",2*COS(0.5)*$AE$5*(X32-W32)/2+(AA32+Z32)/2,"")</f>
        <v/>
      </c>
      <c r="AC32" s="5"/>
      <c r="AE32" s="51"/>
      <c r="AF32" s="97">
        <f t="shared" si="7"/>
        <v>0.5</v>
      </c>
      <c r="AG32" s="58">
        <f>IF(AF32&lt;&gt;"", (AF32*0.5), AG27)</f>
        <v>0.25</v>
      </c>
      <c r="AH32" s="59">
        <f>IF(AF32&lt;&gt;"", (AF32*COS(0.5)*$AE$5), AH29)</f>
        <v>0.43879128094518638</v>
      </c>
      <c r="AI32" s="58">
        <f>IF(AF32&lt;&gt;"", 1-(AF32*0.5), AI27)</f>
        <v>0.75</v>
      </c>
      <c r="AJ32" s="59">
        <f>IF(AF32&lt;&gt;"", (AF32*COS(0.5)*$AE$5), AJ29)</f>
        <v>0.43879128094518638</v>
      </c>
      <c r="AK32" s="58"/>
      <c r="AL32" s="59"/>
      <c r="AM32" s="58"/>
      <c r="AN32" s="59"/>
      <c r="AO32" s="58"/>
      <c r="AP32" s="59"/>
      <c r="AQ32" s="58">
        <f>IF(AF30&lt;&gt;"", AF30, 0)</f>
        <v>0.5</v>
      </c>
      <c r="AR32" s="55">
        <v>0</v>
      </c>
      <c r="AS32" s="55">
        <f>AQ32</f>
        <v>0.5</v>
      </c>
      <c r="AT32" s="59">
        <f>AR32</f>
        <v>0</v>
      </c>
      <c r="AU32" s="58">
        <f>IF(AF32&lt;&gt;"",AG32+1+$AE$9, $AL$7)</f>
        <v>1.45</v>
      </c>
      <c r="AV32" s="59">
        <f>AJ32</f>
        <v>0.43879128094518638</v>
      </c>
      <c r="AW32" s="58">
        <f>AI32+1+$AE$9</f>
        <v>1.95</v>
      </c>
      <c r="AX32" s="59">
        <f>AH32</f>
        <v>0.43879128094518638</v>
      </c>
      <c r="AY32" s="58"/>
      <c r="AZ32" s="59"/>
      <c r="BA32" s="58"/>
      <c r="BB32" s="59"/>
      <c r="BC32" s="58"/>
      <c r="BD32" s="59"/>
      <c r="BE32" s="58">
        <f>AQ32+1+$AE$9</f>
        <v>1.7</v>
      </c>
      <c r="BF32" s="55">
        <f>AR32</f>
        <v>0</v>
      </c>
      <c r="BG32" s="55">
        <f t="shared" ref="BG32" si="12">BG30</f>
        <v>1.7</v>
      </c>
      <c r="BH32" s="59">
        <f>IF(AF32&lt;&gt;"",AT32,0)</f>
        <v>0</v>
      </c>
      <c r="BI32" s="58">
        <f>AU32-$AL$8+$AO$8</f>
        <v>0.85000000000000009</v>
      </c>
      <c r="BJ32" s="59">
        <f>AV32+$AP$9-$AM$7</f>
        <v>1.4918903552136338</v>
      </c>
      <c r="BK32" s="58">
        <f>AI32+$AO$10-$AI$9</f>
        <v>1.35</v>
      </c>
      <c r="BL32" s="59">
        <f>AJ32+$AP$9-$AJ$7</f>
        <v>1.4918903552136338</v>
      </c>
      <c r="BM32" s="58"/>
      <c r="BN32" s="59"/>
      <c r="BO32" s="58"/>
      <c r="BP32" s="59"/>
    </row>
    <row r="33" spans="1:68" x14ac:dyDescent="0.25">
      <c r="A33" s="37"/>
      <c r="B33" s="38"/>
      <c r="C33" s="37"/>
      <c r="D33" s="2"/>
      <c r="E33" s="2"/>
      <c r="F33" s="38"/>
      <c r="G33" s="37"/>
      <c r="H33" s="2"/>
      <c r="I33" s="3"/>
      <c r="J33" s="90" t="str">
        <f>IF(C33&lt;&gt;"",$C33/'Elements and ions'!$B$12,"")</f>
        <v/>
      </c>
      <c r="K33" s="65" t="str">
        <f>IF(D33&lt;&gt;"",$D33/'Elements and ions'!$B$20,"")</f>
        <v/>
      </c>
      <c r="L33" s="65" t="str">
        <f>IF(E33&lt;&gt;"",$E33/'Elements and ions'!$B$21*2,"")</f>
        <v/>
      </c>
      <c r="M33" s="81" t="str">
        <f>IF(F33&lt;&gt;"",$F33/'Elements and ions'!$B$13*2,"")</f>
        <v/>
      </c>
      <c r="N33" s="80" t="str">
        <f>IF(G33&lt;&gt;"",-$G33/'Elements and ions'!$F$3,"")</f>
        <v/>
      </c>
      <c r="O33" s="65" t="str">
        <f>IF(H33&lt;&gt;"",-$H33/'Elements and ions'!$B$18,"")</f>
        <v/>
      </c>
      <c r="P33" s="81" t="str">
        <f>IF(I33&lt;&gt;"",-2*$I33/'Elements and ions'!$F$4,"")</f>
        <v/>
      </c>
      <c r="Q33" s="80" t="str">
        <f t="shared" si="0"/>
        <v/>
      </c>
      <c r="R33" s="65" t="str">
        <f t="shared" si="1"/>
        <v/>
      </c>
      <c r="S33" s="81" t="str">
        <f t="shared" si="2"/>
        <v/>
      </c>
      <c r="T33" s="80" t="str">
        <f t="shared" si="3"/>
        <v/>
      </c>
      <c r="U33" s="65" t="str">
        <f t="shared" si="4"/>
        <v/>
      </c>
      <c r="V33" s="91" t="str">
        <f t="shared" si="5"/>
        <v/>
      </c>
      <c r="W33" s="70" t="str">
        <f t="shared" si="6"/>
        <v/>
      </c>
      <c r="X33" s="65" t="str">
        <f>IF(V33&lt;&gt;"",IF($V33&lt;&gt;0,(($V33+(0.5*T33))/100+1+$AE$9),-1),"")</f>
        <v/>
      </c>
      <c r="Y33" s="81" t="str">
        <f>IF(AND(W33&lt;&gt;-1,X33&lt;&gt;-1,W33&lt;&gt;"",X33&lt;&gt;"",AA33&lt;&gt;-1,Z33&lt;&gt;-1,AA33&lt;&gt;"",Z33&lt;&gt;""),(W33+X33)/2+(AA33-Z33)/(4*COS(0.5)*$AE$5),"")</f>
        <v/>
      </c>
      <c r="Z33" s="70" t="str">
        <f>IF(S33&lt;&gt;"",IF($S33&lt;&gt;"",((($S33*COS(0.5))*$AE$5)/100),-1),"")</f>
        <v/>
      </c>
      <c r="AA33" s="65" t="str">
        <f>IF(T33&lt;&gt;"",IF($T33&lt;&gt;"",((($T33*COS(0.5))*$AE$5)/100),-1),"")</f>
        <v/>
      </c>
      <c r="AB33" s="66" t="str">
        <f>IF(Y33&lt;&gt;"",2*COS(0.5)*$AE$5*(X33-W33)/2+(AA33+Z33)/2,"")</f>
        <v/>
      </c>
      <c r="AC33" s="5"/>
      <c r="AE33" s="51"/>
      <c r="AF33" s="97">
        <f>IF(AND($AE$6&gt;0, $AE$7&gt;0, AF30&lt;1), AF30+$AE$6, "")</f>
        <v>0.6</v>
      </c>
      <c r="AG33" s="58">
        <f>IF(AF33&lt;&gt;"", (AF33*0.5), AG30)</f>
        <v>0.3</v>
      </c>
      <c r="AH33" s="59">
        <f>IF(AF33&lt;&gt;"", (AF33*COS(0.5)*$AE$5), AH30)</f>
        <v>0.52654953713422359</v>
      </c>
      <c r="AI33" s="58">
        <f>IF(AF33&lt;&gt;"", 1-(AF33*0.5), AI30)</f>
        <v>0.7</v>
      </c>
      <c r="AJ33" s="59">
        <f>IF(AF33&lt;&gt;"", (AF33*COS(0.5)*$AE$5), AJ30)</f>
        <v>0.52654953713422359</v>
      </c>
      <c r="AK33" s="58">
        <f>IF($AE$8=1, AI33, AK30)</f>
        <v>0.7</v>
      </c>
      <c r="AL33" s="59">
        <f>IF($AE$8=1, AJ33, AL30)</f>
        <v>0.52654953713422359</v>
      </c>
      <c r="AM33" s="58">
        <f>IF(AND($AE$8=1, AF33&lt;&gt;""), AI33, AM30)</f>
        <v>0.7</v>
      </c>
      <c r="AN33" s="59">
        <f>IF(AND($AE$8=1, AF33&lt;&gt;""), AJ33, AN30)</f>
        <v>0.52654953713422359</v>
      </c>
      <c r="AO33" s="58">
        <f>IF($AE$8=1,AQ33,AO30)</f>
        <v>0.6</v>
      </c>
      <c r="AP33" s="59">
        <v>0</v>
      </c>
      <c r="AQ33" s="58">
        <f>IF(AF33&lt;&gt;"", AF33, 0)</f>
        <v>0.6</v>
      </c>
      <c r="AR33" s="55">
        <v>0</v>
      </c>
      <c r="AS33" s="55">
        <f>AQ33</f>
        <v>0.6</v>
      </c>
      <c r="AT33" s="59">
        <f>AR33</f>
        <v>0</v>
      </c>
      <c r="AU33" s="58">
        <f>IF(AF33&lt;&gt;"",AG33+1+$AE$9, $AL$7)</f>
        <v>1.5</v>
      </c>
      <c r="AV33" s="59">
        <f>AJ33</f>
        <v>0.52654953713422359</v>
      </c>
      <c r="AW33" s="58">
        <f>AI33+1+$AE$9</f>
        <v>1.9</v>
      </c>
      <c r="AX33" s="59">
        <f>AH33</f>
        <v>0.52654953713422359</v>
      </c>
      <c r="AY33" s="58">
        <f>AK33+1+$AE$9</f>
        <v>1.9</v>
      </c>
      <c r="AZ33" s="59">
        <f>AL33</f>
        <v>0.52654953713422359</v>
      </c>
      <c r="BA33" s="58">
        <f>AM33+1+$AE$9</f>
        <v>1.9</v>
      </c>
      <c r="BB33" s="59">
        <f>AN33</f>
        <v>0.52654953713422359</v>
      </c>
      <c r="BC33" s="58">
        <f>AO33+1+$AE$9</f>
        <v>1.8</v>
      </c>
      <c r="BD33" s="59">
        <f>AP33</f>
        <v>0</v>
      </c>
      <c r="BE33" s="58">
        <f>AQ33+1+$AE$9</f>
        <v>1.8</v>
      </c>
      <c r="BF33" s="55">
        <f>AR33</f>
        <v>0</v>
      </c>
      <c r="BG33" s="55">
        <f>IF(AF33&lt;&gt;"",AS33+1+$AE$9,BC33)</f>
        <v>1.8</v>
      </c>
      <c r="BH33" s="59">
        <f>IF(AF33&lt;&gt;"",AT33,0)</f>
        <v>0</v>
      </c>
      <c r="BI33" s="58">
        <f>AU33-$AL$8+$AO$8</f>
        <v>0.90000000000000013</v>
      </c>
      <c r="BJ33" s="59">
        <f>AV33+$AP$9-$AM$7</f>
        <v>1.5796486114026709</v>
      </c>
      <c r="BK33" s="58">
        <f>AI33+$AO$10-$AI$9</f>
        <v>1.2999999999999998</v>
      </c>
      <c r="BL33" s="59">
        <f>AJ33+$AP$9-$AJ$7</f>
        <v>1.5796486114026709</v>
      </c>
      <c r="BM33" s="58">
        <f>IF(AND($AE$8=1,AF33&lt;&gt;""), BI33, $BI$15)</f>
        <v>0.90000000000000013</v>
      </c>
      <c r="BN33" s="59">
        <f>IF(AND($AE$8=1,AF33&lt;&gt;""), BJ33, $BJ$15)</f>
        <v>1.5796486114026709</v>
      </c>
      <c r="BO33" s="58">
        <f>IF(AND($AE$8=1,AF33&lt;&gt;""), BK33, $BK$15)</f>
        <v>1.2999999999999998</v>
      </c>
      <c r="BP33" s="59">
        <f>IF(AND($AE$8=1,AF33&lt;&gt;""), BL33, $BJ$15)</f>
        <v>1.5796486114026709</v>
      </c>
    </row>
    <row r="34" spans="1:68" x14ac:dyDescent="0.25">
      <c r="A34" s="37"/>
      <c r="B34" s="38"/>
      <c r="C34" s="37"/>
      <c r="D34" s="2"/>
      <c r="E34" s="2"/>
      <c r="F34" s="38"/>
      <c r="G34" s="37"/>
      <c r="H34" s="2"/>
      <c r="I34" s="3"/>
      <c r="J34" s="90" t="str">
        <f>IF(C34&lt;&gt;"",$C34/'Elements and ions'!$B$12,"")</f>
        <v/>
      </c>
      <c r="K34" s="65" t="str">
        <f>IF(D34&lt;&gt;"",$D34/'Elements and ions'!$B$20,"")</f>
        <v/>
      </c>
      <c r="L34" s="65" t="str">
        <f>IF(E34&lt;&gt;"",$E34/'Elements and ions'!$B$21*2,"")</f>
        <v/>
      </c>
      <c r="M34" s="81" t="str">
        <f>IF(F34&lt;&gt;"",$F34/'Elements and ions'!$B$13*2,"")</f>
        <v/>
      </c>
      <c r="N34" s="80" t="str">
        <f>IF(G34&lt;&gt;"",-$G34/'Elements and ions'!$F$3,"")</f>
        <v/>
      </c>
      <c r="O34" s="65" t="str">
        <f>IF(H34&lt;&gt;"",-$H34/'Elements and ions'!$B$18,"")</f>
        <v/>
      </c>
      <c r="P34" s="81" t="str">
        <f>IF(I34&lt;&gt;"",-2*$I34/'Elements and ions'!$F$4,"")</f>
        <v/>
      </c>
      <c r="Q34" s="80" t="str">
        <f t="shared" si="0"/>
        <v/>
      </c>
      <c r="R34" s="65" t="str">
        <f t="shared" si="1"/>
        <v/>
      </c>
      <c r="S34" s="81" t="str">
        <f t="shared" si="2"/>
        <v/>
      </c>
      <c r="T34" s="80" t="str">
        <f t="shared" si="3"/>
        <v/>
      </c>
      <c r="U34" s="65" t="str">
        <f t="shared" si="4"/>
        <v/>
      </c>
      <c r="V34" s="91" t="str">
        <f t="shared" si="5"/>
        <v/>
      </c>
      <c r="W34" s="70" t="str">
        <f t="shared" si="6"/>
        <v/>
      </c>
      <c r="X34" s="65" t="str">
        <f>IF(V34&lt;&gt;"",IF($V34&lt;&gt;0,(($V34+(0.5*T34))/100+1+$AE$9),-1),"")</f>
        <v/>
      </c>
      <c r="Y34" s="81" t="str">
        <f>IF(AND(W34&lt;&gt;-1,X34&lt;&gt;-1,W34&lt;&gt;"",X34&lt;&gt;"",AA34&lt;&gt;-1,Z34&lt;&gt;-1,AA34&lt;&gt;"",Z34&lt;&gt;""),(W34+X34)/2+(AA34-Z34)/(4*COS(0.5)*$AE$5),"")</f>
        <v/>
      </c>
      <c r="Z34" s="70" t="str">
        <f>IF(S34&lt;&gt;"",IF($S34&lt;&gt;"",((($S34*COS(0.5))*$AE$5)/100),-1),"")</f>
        <v/>
      </c>
      <c r="AA34" s="65" t="str">
        <f>IF(T34&lt;&gt;"",IF($T34&lt;&gt;"",((($T34*COS(0.5))*$AE$5)/100),-1),"")</f>
        <v/>
      </c>
      <c r="AB34" s="66" t="str">
        <f>IF(Y34&lt;&gt;"",2*COS(0.5)*$AE$5*(X34-W34)/2+(AA34+Z34)/2,"")</f>
        <v/>
      </c>
      <c r="AC34" s="5"/>
      <c r="AE34" s="51"/>
      <c r="AF34" s="97">
        <f t="shared" si="7"/>
        <v>0.6</v>
      </c>
      <c r="AG34" s="58">
        <f>IF(AF34&lt;&gt;"", ((AF34*0.5)-$AE$7), AG30)</f>
        <v>0.27</v>
      </c>
      <c r="AH34" s="59">
        <f>IF(AF34&lt;&gt;"", (AF34*COS(0.5)*$AE$5), AH31)</f>
        <v>0.52654953713422359</v>
      </c>
      <c r="AI34" s="58">
        <f>IF(AF34&lt;&gt;"", AI33+($AE$7*0.5), AI30)</f>
        <v>0.71499999999999997</v>
      </c>
      <c r="AJ34" s="59">
        <f>IF(AF34&lt;&gt;"", AJ33+($AE$7*COS(0.5)*$AE$5), AJ30)</f>
        <v>0.55287701399093481</v>
      </c>
      <c r="AK34" s="58">
        <f>IF($AE$8=1, AG33, AK30)</f>
        <v>0.3</v>
      </c>
      <c r="AL34" s="59">
        <f>IF($AE$8=1, AJ33, AL30)</f>
        <v>0.52654953713422359</v>
      </c>
      <c r="AM34" s="58">
        <f>IF(AND($AE$8=1, AF33&lt;&gt;""), 1-AF33, AM33)</f>
        <v>0.4</v>
      </c>
      <c r="AN34" s="59">
        <f>IF(AND($AE$8=1, AF33&lt;&gt;""), 0, AN33)</f>
        <v>0</v>
      </c>
      <c r="AO34" s="58">
        <f>IF($AE$8=1,AG33,AO33)</f>
        <v>0.3</v>
      </c>
      <c r="AP34" s="59">
        <f>IF($AE$8=1,AH33,0)</f>
        <v>0.52654953713422359</v>
      </c>
      <c r="AQ34" s="58">
        <f>IF(AF33&lt;&gt;"",AQ33+(0.5*$AE$7),0)</f>
        <v>0.61499999999999999</v>
      </c>
      <c r="AR34" s="55">
        <f>IF(AF33&lt;&gt;"",-COS(0.5)*$AE$7*$AE$5,0)</f>
        <v>-2.632747685671118E-2</v>
      </c>
      <c r="AS34" s="55">
        <f>AQ34</f>
        <v>0.61499999999999999</v>
      </c>
      <c r="AT34" s="59">
        <f>AR34</f>
        <v>-2.632747685671118E-2</v>
      </c>
      <c r="AU34" s="58">
        <f>IF(AF34&lt;&gt;"",AG34+1+$AE$9+($AE$7*0.5), $AL$7)</f>
        <v>1.4849999999999999</v>
      </c>
      <c r="AV34" s="59">
        <f>AJ34</f>
        <v>0.55287701399093481</v>
      </c>
      <c r="AW34" s="58">
        <f>AI34+1+$AE$9+0.5*$AE$7</f>
        <v>1.9299999999999997</v>
      </c>
      <c r="AX34" s="59">
        <f>AH34</f>
        <v>0.52654953713422359</v>
      </c>
      <c r="AY34" s="58">
        <f>AK34+1+$AE$9</f>
        <v>1.5</v>
      </c>
      <c r="AZ34" s="59">
        <f>AL34</f>
        <v>0.52654953713422359</v>
      </c>
      <c r="BA34" s="58">
        <f>AM34+1+$AE$9</f>
        <v>1.5999999999999999</v>
      </c>
      <c r="BB34" s="59">
        <f>AN34</f>
        <v>0</v>
      </c>
      <c r="BC34" s="58">
        <f>AO34+1+$AE$9</f>
        <v>1.5</v>
      </c>
      <c r="BD34" s="59">
        <f>AP34</f>
        <v>0.52654953713422359</v>
      </c>
      <c r="BE34" s="58">
        <f>AQ34+1+$AE$9</f>
        <v>1.8149999999999999</v>
      </c>
      <c r="BF34" s="55">
        <f>AR34</f>
        <v>-2.632747685671118E-2</v>
      </c>
      <c r="BG34" s="55">
        <f>IF(AF34&lt;&gt;"",AS34+1+$AE$9-$AE$7,BC33)</f>
        <v>1.7849999999999999</v>
      </c>
      <c r="BH34" s="59">
        <f>IF(AF34&lt;&gt;"",AT34,0)</f>
        <v>-2.632747685671118E-2</v>
      </c>
      <c r="BI34" s="58">
        <f>AU34-$AL$8+$AO$8</f>
        <v>0.88500000000000001</v>
      </c>
      <c r="BJ34" s="59">
        <f>AV34+$AP$9-$AM$7</f>
        <v>1.6059760882593821</v>
      </c>
      <c r="BK34" s="58">
        <f>AI34+$AO$10-$AI$9</f>
        <v>1.3149999999999999</v>
      </c>
      <c r="BL34" s="59">
        <f>AJ34+$AP$9-$AJ$7</f>
        <v>1.6059760882593821</v>
      </c>
      <c r="BM34" s="58">
        <f>IF(AND($AE$8=1,AF34&lt;&gt;""), BM33+0.5, $BI$15)</f>
        <v>1.4000000000000001</v>
      </c>
      <c r="BN34" s="59">
        <f>IF(AND($AE$8=1,AF34&lt;&gt;""), BN33-$AM$7, $BJ$15)</f>
        <v>0.70206604951229812</v>
      </c>
      <c r="BO34" s="58">
        <f>IF(AND($AE$8=1,AF34&lt;&gt;""), BO33-0.5, $BK$15)</f>
        <v>0.79999999999999982</v>
      </c>
      <c r="BP34" s="59">
        <f>IF(AND($AE$8=1,AF34&lt;&gt;""), BP33-$AM$7, $BL$15)</f>
        <v>0.70206604951229812</v>
      </c>
    </row>
    <row r="35" spans="1:68" x14ac:dyDescent="0.25">
      <c r="A35" s="37"/>
      <c r="B35" s="38"/>
      <c r="C35" s="37"/>
      <c r="D35" s="2"/>
      <c r="E35" s="2"/>
      <c r="F35" s="38"/>
      <c r="G35" s="37"/>
      <c r="H35" s="2"/>
      <c r="I35" s="3"/>
      <c r="J35" s="90" t="str">
        <f>IF(C35&lt;&gt;"",$C35/'Elements and ions'!$B$12,"")</f>
        <v/>
      </c>
      <c r="K35" s="65" t="str">
        <f>IF(D35&lt;&gt;"",$D35/'Elements and ions'!$B$20,"")</f>
        <v/>
      </c>
      <c r="L35" s="65" t="str">
        <f>IF(E35&lt;&gt;"",$E35/'Elements and ions'!$B$21*2,"")</f>
        <v/>
      </c>
      <c r="M35" s="81" t="str">
        <f>IF(F35&lt;&gt;"",$F35/'Elements and ions'!$B$13*2,"")</f>
        <v/>
      </c>
      <c r="N35" s="80" t="str">
        <f>IF(G35&lt;&gt;"",-$G35/'Elements and ions'!$F$3,"")</f>
        <v/>
      </c>
      <c r="O35" s="65" t="str">
        <f>IF(H35&lt;&gt;"",-$H35/'Elements and ions'!$B$18,"")</f>
        <v/>
      </c>
      <c r="P35" s="81" t="str">
        <f>IF(I35&lt;&gt;"",-2*$I35/'Elements and ions'!$F$4,"")</f>
        <v/>
      </c>
      <c r="Q35" s="80" t="str">
        <f t="shared" si="0"/>
        <v/>
      </c>
      <c r="R35" s="65" t="str">
        <f t="shared" si="1"/>
        <v/>
      </c>
      <c r="S35" s="81" t="str">
        <f t="shared" si="2"/>
        <v/>
      </c>
      <c r="T35" s="80" t="str">
        <f t="shared" si="3"/>
        <v/>
      </c>
      <c r="U35" s="65" t="str">
        <f t="shared" si="4"/>
        <v/>
      </c>
      <c r="V35" s="91" t="str">
        <f t="shared" si="5"/>
        <v/>
      </c>
      <c r="W35" s="70" t="str">
        <f t="shared" si="6"/>
        <v/>
      </c>
      <c r="X35" s="65" t="str">
        <f>IF(V35&lt;&gt;"",IF($V35&lt;&gt;0,(($V35+(0.5*T35))/100+1+$AE$9),-1),"")</f>
        <v/>
      </c>
      <c r="Y35" s="81" t="str">
        <f>IF(AND(W35&lt;&gt;-1,X35&lt;&gt;-1,W35&lt;&gt;"",X35&lt;&gt;"",AA35&lt;&gt;-1,Z35&lt;&gt;-1,AA35&lt;&gt;"",Z35&lt;&gt;""),(W35+X35)/2+(AA35-Z35)/(4*COS(0.5)*$AE$5),"")</f>
        <v/>
      </c>
      <c r="Z35" s="70" t="str">
        <f>IF(S35&lt;&gt;"",IF($S35&lt;&gt;"",((($S35*COS(0.5))*$AE$5)/100),-1),"")</f>
        <v/>
      </c>
      <c r="AA35" s="65" t="str">
        <f>IF(T35&lt;&gt;"",IF($T35&lt;&gt;"",((($T35*COS(0.5))*$AE$5)/100),-1),"")</f>
        <v/>
      </c>
      <c r="AB35" s="66" t="str">
        <f>IF(Y35&lt;&gt;"",2*COS(0.5)*$AE$5*(X35-W35)/2+(AA35+Z35)/2,"")</f>
        <v/>
      </c>
      <c r="AC35" s="5"/>
      <c r="AE35" s="51"/>
      <c r="AF35" s="97">
        <f t="shared" si="7"/>
        <v>0.6</v>
      </c>
      <c r="AG35" s="58">
        <f>IF(AF35&lt;&gt;"", (AF35*0.5), AG30)</f>
        <v>0.3</v>
      </c>
      <c r="AH35" s="59">
        <f>IF(AF35&lt;&gt;"", (AF35*COS(0.5)*$AE$5), AH32)</f>
        <v>0.52654953713422359</v>
      </c>
      <c r="AI35" s="58">
        <f>IF(AF35&lt;&gt;"", 1-(AF35*0.5), AI30)</f>
        <v>0.7</v>
      </c>
      <c r="AJ35" s="59">
        <f>IF(AF35&lt;&gt;"", (AF35*COS(0.5)*$AE$5), AJ32)</f>
        <v>0.52654953713422359</v>
      </c>
      <c r="AK35" s="58"/>
      <c r="AL35" s="59"/>
      <c r="AM35" s="58"/>
      <c r="AN35" s="59"/>
      <c r="AO35" s="58"/>
      <c r="AP35" s="59"/>
      <c r="AQ35" s="58">
        <f>IF(AF33&lt;&gt;"", AF33, 0)</f>
        <v>0.6</v>
      </c>
      <c r="AR35" s="55">
        <v>0</v>
      </c>
      <c r="AS35" s="55">
        <f>AQ35</f>
        <v>0.6</v>
      </c>
      <c r="AT35" s="59">
        <f>AR35</f>
        <v>0</v>
      </c>
      <c r="AU35" s="58">
        <f>IF(AF35&lt;&gt;"",AG35+1+$AE$9, $AL$7)</f>
        <v>1.5</v>
      </c>
      <c r="AV35" s="59">
        <f>AJ35</f>
        <v>0.52654953713422359</v>
      </c>
      <c r="AW35" s="58">
        <f>AI35+1+$AE$9</f>
        <v>1.9</v>
      </c>
      <c r="AX35" s="59">
        <f>AH35</f>
        <v>0.52654953713422359</v>
      </c>
      <c r="AY35" s="58"/>
      <c r="AZ35" s="59"/>
      <c r="BA35" s="58"/>
      <c r="BB35" s="59"/>
      <c r="BC35" s="58"/>
      <c r="BD35" s="59"/>
      <c r="BE35" s="58">
        <f>AQ35+1+$AE$9</f>
        <v>1.8</v>
      </c>
      <c r="BF35" s="55">
        <f>AR35</f>
        <v>0</v>
      </c>
      <c r="BG35" s="55">
        <f t="shared" ref="BG35" si="13">BG33</f>
        <v>1.8</v>
      </c>
      <c r="BH35" s="59">
        <f>IF(AF35&lt;&gt;"",AT35,0)</f>
        <v>0</v>
      </c>
      <c r="BI35" s="58">
        <f>AU35-$AL$8+$AO$8</f>
        <v>0.90000000000000013</v>
      </c>
      <c r="BJ35" s="59">
        <f>AV35+$AP$9-$AM$7</f>
        <v>1.5796486114026709</v>
      </c>
      <c r="BK35" s="58">
        <f>AI35+$AO$10-$AI$9</f>
        <v>1.2999999999999998</v>
      </c>
      <c r="BL35" s="59">
        <f>AJ35+$AP$9-$AJ$7</f>
        <v>1.5796486114026709</v>
      </c>
      <c r="BM35" s="58"/>
      <c r="BN35" s="59"/>
      <c r="BO35" s="58"/>
      <c r="BP35" s="59"/>
    </row>
    <row r="36" spans="1:68" x14ac:dyDescent="0.25">
      <c r="A36" s="37"/>
      <c r="B36" s="38"/>
      <c r="C36" s="37"/>
      <c r="D36" s="2"/>
      <c r="E36" s="2"/>
      <c r="F36" s="38"/>
      <c r="G36" s="37"/>
      <c r="H36" s="2"/>
      <c r="I36" s="3"/>
      <c r="J36" s="90" t="str">
        <f>IF(C36&lt;&gt;"",$C36/'Elements and ions'!$B$12,"")</f>
        <v/>
      </c>
      <c r="K36" s="65" t="str">
        <f>IF(D36&lt;&gt;"",$D36/'Elements and ions'!$B$20,"")</f>
        <v/>
      </c>
      <c r="L36" s="65" t="str">
        <f>IF(E36&lt;&gt;"",$E36/'Elements and ions'!$B$21*2,"")</f>
        <v/>
      </c>
      <c r="M36" s="81" t="str">
        <f>IF(F36&lt;&gt;"",$F36/'Elements and ions'!$B$13*2,"")</f>
        <v/>
      </c>
      <c r="N36" s="80" t="str">
        <f>IF(G36&lt;&gt;"",-$G36/'Elements and ions'!$F$3,"")</f>
        <v/>
      </c>
      <c r="O36" s="65" t="str">
        <f>IF(H36&lt;&gt;"",-$H36/'Elements and ions'!$B$18,"")</f>
        <v/>
      </c>
      <c r="P36" s="81" t="str">
        <f>IF(I36&lt;&gt;"",-2*$I36/'Elements and ions'!$F$4,"")</f>
        <v/>
      </c>
      <c r="Q36" s="80" t="str">
        <f t="shared" si="0"/>
        <v/>
      </c>
      <c r="R36" s="65" t="str">
        <f t="shared" si="1"/>
        <v/>
      </c>
      <c r="S36" s="81" t="str">
        <f t="shared" si="2"/>
        <v/>
      </c>
      <c r="T36" s="80" t="str">
        <f t="shared" si="3"/>
        <v/>
      </c>
      <c r="U36" s="65" t="str">
        <f t="shared" si="4"/>
        <v/>
      </c>
      <c r="V36" s="91" t="str">
        <f t="shared" si="5"/>
        <v/>
      </c>
      <c r="W36" s="70" t="str">
        <f t="shared" si="6"/>
        <v/>
      </c>
      <c r="X36" s="65" t="str">
        <f>IF(V36&lt;&gt;"",IF($V36&lt;&gt;0,(($V36+(0.5*T36))/100+1+$AE$9),-1),"")</f>
        <v/>
      </c>
      <c r="Y36" s="81" t="str">
        <f>IF(AND(W36&lt;&gt;-1,X36&lt;&gt;-1,W36&lt;&gt;"",X36&lt;&gt;"",AA36&lt;&gt;-1,Z36&lt;&gt;-1,AA36&lt;&gt;"",Z36&lt;&gt;""),(W36+X36)/2+(AA36-Z36)/(4*COS(0.5)*$AE$5),"")</f>
        <v/>
      </c>
      <c r="Z36" s="70" t="str">
        <f>IF(S36&lt;&gt;"",IF($S36&lt;&gt;"",((($S36*COS(0.5))*$AE$5)/100),-1),"")</f>
        <v/>
      </c>
      <c r="AA36" s="65" t="str">
        <f>IF(T36&lt;&gt;"",IF($T36&lt;&gt;"",((($T36*COS(0.5))*$AE$5)/100),-1),"")</f>
        <v/>
      </c>
      <c r="AB36" s="66" t="str">
        <f>IF(Y36&lt;&gt;"",2*COS(0.5)*$AE$5*(X36-W36)/2+(AA36+Z36)/2,"")</f>
        <v/>
      </c>
      <c r="AC36" s="5"/>
      <c r="AE36" s="51"/>
      <c r="AF36" s="97">
        <f>IF(AND($AE$6&gt;0, $AE$7&gt;0, AF33&lt;1), AF33+$AE$6, "")</f>
        <v>0.7</v>
      </c>
      <c r="AG36" s="58">
        <f>IF(AF36&lt;&gt;"", (AF36*0.5), AG33)</f>
        <v>0.35</v>
      </c>
      <c r="AH36" s="59">
        <f>IF(AF36&lt;&gt;"", (AF36*COS(0.5)*$AE$5), AH33)</f>
        <v>0.61430779332326091</v>
      </c>
      <c r="AI36" s="58">
        <f>IF(AF36&lt;&gt;"", 1-(AF36*0.5), AI33)</f>
        <v>0.65</v>
      </c>
      <c r="AJ36" s="59">
        <f>IF(AF36&lt;&gt;"", (AF36*COS(0.5)*$AE$5), AJ33)</f>
        <v>0.61430779332326091</v>
      </c>
      <c r="AK36" s="58">
        <f>IF($AE$8=1, AI36, AK33)</f>
        <v>0.65</v>
      </c>
      <c r="AL36" s="59">
        <f>IF($AE$8=1, AJ36, AL33)</f>
        <v>0.61430779332326091</v>
      </c>
      <c r="AM36" s="58">
        <f>IF(AND($AE$8=1, AF36&lt;&gt;""), AI36, AM33)</f>
        <v>0.65</v>
      </c>
      <c r="AN36" s="59">
        <f>IF(AND($AE$8=1, AF36&lt;&gt;""), AJ36, AN33)</f>
        <v>0.61430779332326091</v>
      </c>
      <c r="AO36" s="58">
        <f>IF($AE$8=1,AQ36,AO33)</f>
        <v>0.7</v>
      </c>
      <c r="AP36" s="59">
        <v>0</v>
      </c>
      <c r="AQ36" s="58">
        <f>IF(AF36&lt;&gt;"", AF36, 0)</f>
        <v>0.7</v>
      </c>
      <c r="AR36" s="55">
        <v>0</v>
      </c>
      <c r="AS36" s="55">
        <f>AQ36</f>
        <v>0.7</v>
      </c>
      <c r="AT36" s="59">
        <f>AR36</f>
        <v>0</v>
      </c>
      <c r="AU36" s="58">
        <f>IF(AF36&lt;&gt;"",AG36+1+$AE$9, $AL$7)</f>
        <v>1.55</v>
      </c>
      <c r="AV36" s="59">
        <f>AJ36</f>
        <v>0.61430779332326091</v>
      </c>
      <c r="AW36" s="58">
        <f>AI36+1+$AE$9</f>
        <v>1.8499999999999999</v>
      </c>
      <c r="AX36" s="59">
        <f>AH36</f>
        <v>0.61430779332326091</v>
      </c>
      <c r="AY36" s="58">
        <f>AK36+1+$AE$9</f>
        <v>1.8499999999999999</v>
      </c>
      <c r="AZ36" s="59">
        <f>AL36</f>
        <v>0.61430779332326091</v>
      </c>
      <c r="BA36" s="58">
        <f>AM36+1+$AE$9</f>
        <v>1.8499999999999999</v>
      </c>
      <c r="BB36" s="59">
        <f>AN36</f>
        <v>0.61430779332326091</v>
      </c>
      <c r="BC36" s="58">
        <f>AO36+1+$AE$9</f>
        <v>1.9</v>
      </c>
      <c r="BD36" s="59">
        <f>AP36</f>
        <v>0</v>
      </c>
      <c r="BE36" s="58">
        <f>AQ36+1+$AE$9</f>
        <v>1.9</v>
      </c>
      <c r="BF36" s="55">
        <f>AR36</f>
        <v>0</v>
      </c>
      <c r="BG36" s="55">
        <f>IF(AF36&lt;&gt;"",AS36+1+$AE$9,BC36)</f>
        <v>1.9</v>
      </c>
      <c r="BH36" s="59">
        <f>IF(AF36&lt;&gt;"",AT36,0)</f>
        <v>0</v>
      </c>
      <c r="BI36" s="58">
        <f>AU36-$AL$8+$AO$8</f>
        <v>0.95000000000000018</v>
      </c>
      <c r="BJ36" s="59">
        <f>AV36+$AP$9-$AM$7</f>
        <v>1.6674068675917084</v>
      </c>
      <c r="BK36" s="58">
        <f>AI36+$AO$10-$AI$9</f>
        <v>1.25</v>
      </c>
      <c r="BL36" s="59">
        <f>AJ36+$AP$9-$AJ$7</f>
        <v>1.6674068675917084</v>
      </c>
      <c r="BM36" s="58">
        <f>IF(AND($AE$8=1,AF36&lt;&gt;""), BI36, $BI$15)</f>
        <v>0.95000000000000018</v>
      </c>
      <c r="BN36" s="59">
        <f>IF(AND($AE$8=1,AF36&lt;&gt;""), BJ36, $BJ$15)</f>
        <v>1.6674068675917084</v>
      </c>
      <c r="BO36" s="58">
        <f>IF(AND($AE$8=1,AF36&lt;&gt;""), BK36, $BK$15)</f>
        <v>1.25</v>
      </c>
      <c r="BP36" s="59">
        <f>IF(AND($AE$8=1,AF36&lt;&gt;""), BL36, $BJ$15)</f>
        <v>1.6674068675917084</v>
      </c>
    </row>
    <row r="37" spans="1:68" x14ac:dyDescent="0.25">
      <c r="A37" s="37"/>
      <c r="B37" s="38"/>
      <c r="C37" s="37"/>
      <c r="D37" s="2"/>
      <c r="E37" s="2"/>
      <c r="F37" s="38"/>
      <c r="G37" s="37"/>
      <c r="H37" s="2"/>
      <c r="I37" s="3"/>
      <c r="J37" s="90" t="str">
        <f>IF(C37&lt;&gt;"",$C37/'Elements and ions'!$B$12,"")</f>
        <v/>
      </c>
      <c r="K37" s="65" t="str">
        <f>IF(D37&lt;&gt;"",$D37/'Elements and ions'!$B$20,"")</f>
        <v/>
      </c>
      <c r="L37" s="65" t="str">
        <f>IF(E37&lt;&gt;"",$E37/'Elements and ions'!$B$21*2,"")</f>
        <v/>
      </c>
      <c r="M37" s="81" t="str">
        <f>IF(F37&lt;&gt;"",$F37/'Elements and ions'!$B$13*2,"")</f>
        <v/>
      </c>
      <c r="N37" s="80" t="str">
        <f>IF(G37&lt;&gt;"",-$G37/'Elements and ions'!$F$3,"")</f>
        <v/>
      </c>
      <c r="O37" s="65" t="str">
        <f>IF(H37&lt;&gt;"",-$H37/'Elements and ions'!$B$18,"")</f>
        <v/>
      </c>
      <c r="P37" s="81" t="str">
        <f>IF(I37&lt;&gt;"",-2*$I37/'Elements and ions'!$F$4,"")</f>
        <v/>
      </c>
      <c r="Q37" s="80" t="str">
        <f t="shared" si="0"/>
        <v/>
      </c>
      <c r="R37" s="65" t="str">
        <f t="shared" si="1"/>
        <v/>
      </c>
      <c r="S37" s="81" t="str">
        <f t="shared" si="2"/>
        <v/>
      </c>
      <c r="T37" s="80" t="str">
        <f t="shared" si="3"/>
        <v/>
      </c>
      <c r="U37" s="65" t="str">
        <f t="shared" si="4"/>
        <v/>
      </c>
      <c r="V37" s="91" t="str">
        <f t="shared" si="5"/>
        <v/>
      </c>
      <c r="W37" s="70" t="str">
        <f t="shared" si="6"/>
        <v/>
      </c>
      <c r="X37" s="65" t="str">
        <f>IF(V37&lt;&gt;"",IF($V37&lt;&gt;0,(($V37+(0.5*T37))/100+1+$AE$9),-1),"")</f>
        <v/>
      </c>
      <c r="Y37" s="81" t="str">
        <f>IF(AND(W37&lt;&gt;-1,X37&lt;&gt;-1,W37&lt;&gt;"",X37&lt;&gt;"",AA37&lt;&gt;-1,Z37&lt;&gt;-1,AA37&lt;&gt;"",Z37&lt;&gt;""),(W37+X37)/2+(AA37-Z37)/(4*COS(0.5)*$AE$5),"")</f>
        <v/>
      </c>
      <c r="Z37" s="70" t="str">
        <f>IF(S37&lt;&gt;"",IF($S37&lt;&gt;"",((($S37*COS(0.5))*$AE$5)/100),-1),"")</f>
        <v/>
      </c>
      <c r="AA37" s="65" t="str">
        <f>IF(T37&lt;&gt;"",IF($T37&lt;&gt;"",((($T37*COS(0.5))*$AE$5)/100),-1),"")</f>
        <v/>
      </c>
      <c r="AB37" s="66" t="str">
        <f>IF(Y37&lt;&gt;"",2*COS(0.5)*$AE$5*(X37-W37)/2+(AA37+Z37)/2,"")</f>
        <v/>
      </c>
      <c r="AC37" s="5"/>
      <c r="AE37" s="51"/>
      <c r="AF37" s="97">
        <f t="shared" si="7"/>
        <v>0.7</v>
      </c>
      <c r="AG37" s="58">
        <f>IF(AF37&lt;&gt;"", ((AF37*0.5)-$AE$7), AG33)</f>
        <v>0.31999999999999995</v>
      </c>
      <c r="AH37" s="59">
        <f>IF(AF37&lt;&gt;"", (AF37*COS(0.5)*$AE$5), AH34)</f>
        <v>0.61430779332326091</v>
      </c>
      <c r="AI37" s="58">
        <f>IF(AF37&lt;&gt;"", AI36+($AE$7*0.5), AI33)</f>
        <v>0.66500000000000004</v>
      </c>
      <c r="AJ37" s="59">
        <f>IF(AF37&lt;&gt;"", AJ36+($AE$7*COS(0.5)*$AE$5), AJ33)</f>
        <v>0.64063527017997213</v>
      </c>
      <c r="AK37" s="58">
        <f>IF($AE$8=1, AG36, AK33)</f>
        <v>0.35</v>
      </c>
      <c r="AL37" s="59">
        <f>IF($AE$8=1, AJ36, AL33)</f>
        <v>0.61430779332326091</v>
      </c>
      <c r="AM37" s="58">
        <f>IF(AND($AE$8=1, AF36&lt;&gt;""), 1-AF36, AM36)</f>
        <v>0.30000000000000004</v>
      </c>
      <c r="AN37" s="59">
        <f>IF(AND($AE$8=1, AF36&lt;&gt;""), 0, AN36)</f>
        <v>0</v>
      </c>
      <c r="AO37" s="58">
        <f>IF($AE$8=1,AG36,AO36)</f>
        <v>0.35</v>
      </c>
      <c r="AP37" s="59">
        <f>IF($AE$8=1,AH36,0)</f>
        <v>0.61430779332326091</v>
      </c>
      <c r="AQ37" s="58">
        <f>IF(AF36&lt;&gt;"",AQ36+(0.5*$AE$7),0)</f>
        <v>0.71499999999999997</v>
      </c>
      <c r="AR37" s="55">
        <f>IF(AF36&lt;&gt;"",-COS(0.5)*$AE$7*$AE$5,0)</f>
        <v>-2.632747685671118E-2</v>
      </c>
      <c r="AS37" s="55">
        <f>AQ37</f>
        <v>0.71499999999999997</v>
      </c>
      <c r="AT37" s="59">
        <f>AR37</f>
        <v>-2.632747685671118E-2</v>
      </c>
      <c r="AU37" s="58">
        <f>IF(AF37&lt;&gt;"",AG37+1+$AE$9+($AE$7*0.5), $AL$7)</f>
        <v>1.5349999999999997</v>
      </c>
      <c r="AV37" s="59">
        <f>AJ37</f>
        <v>0.64063527017997213</v>
      </c>
      <c r="AW37" s="58">
        <f>AI37+1+$AE$9+0.5*$AE$7</f>
        <v>1.88</v>
      </c>
      <c r="AX37" s="59">
        <f>AH37</f>
        <v>0.61430779332326091</v>
      </c>
      <c r="AY37" s="58">
        <f>AK37+1+$AE$9</f>
        <v>1.55</v>
      </c>
      <c r="AZ37" s="59">
        <f>AL37</f>
        <v>0.61430779332326091</v>
      </c>
      <c r="BA37" s="58">
        <f>AM37+1+$AE$9</f>
        <v>1.5</v>
      </c>
      <c r="BB37" s="59">
        <f>AN37</f>
        <v>0</v>
      </c>
      <c r="BC37" s="58">
        <f>AO37+1+$AE$9</f>
        <v>1.55</v>
      </c>
      <c r="BD37" s="59">
        <f>AP37</f>
        <v>0.61430779332326091</v>
      </c>
      <c r="BE37" s="58">
        <f>AQ37+1+$AE$9</f>
        <v>1.9149999999999998</v>
      </c>
      <c r="BF37" s="55">
        <f>AR37</f>
        <v>-2.632747685671118E-2</v>
      </c>
      <c r="BG37" s="55">
        <f>IF(AF37&lt;&gt;"",AS37+1+$AE$9-$AE$7,BC36)</f>
        <v>1.8849999999999998</v>
      </c>
      <c r="BH37" s="59">
        <f>IF(AF37&lt;&gt;"",AT37,0)</f>
        <v>-2.632747685671118E-2</v>
      </c>
      <c r="BI37" s="58">
        <f>AU37-$AL$8+$AO$8</f>
        <v>0.93499999999999983</v>
      </c>
      <c r="BJ37" s="59">
        <f>AV37+$AP$9-$AM$7</f>
        <v>1.6937343444484196</v>
      </c>
      <c r="BK37" s="58">
        <f>AI37+$AO$10-$AI$9</f>
        <v>1.2650000000000001</v>
      </c>
      <c r="BL37" s="59">
        <f>AJ37+$AP$9-$AJ$7</f>
        <v>1.6937343444484196</v>
      </c>
      <c r="BM37" s="58">
        <f>IF(AND($AE$8=1,AF37&lt;&gt;""), BM36+0.5, $BI$15)</f>
        <v>1.4500000000000002</v>
      </c>
      <c r="BN37" s="59">
        <f>IF(AND($AE$8=1,AF37&lt;&gt;""), BN36-$AM$7, $BJ$15)</f>
        <v>0.78982430570133566</v>
      </c>
      <c r="BO37" s="58">
        <f>IF(AND($AE$8=1,AF37&lt;&gt;""), BO36-0.5, $BK$15)</f>
        <v>0.75</v>
      </c>
      <c r="BP37" s="59">
        <f>IF(AND($AE$8=1,AF37&lt;&gt;""), BP36-$AM$7, $BL$15)</f>
        <v>0.78982430570133566</v>
      </c>
    </row>
    <row r="38" spans="1:68" x14ac:dyDescent="0.25">
      <c r="A38" s="37"/>
      <c r="B38" s="38"/>
      <c r="C38" s="37"/>
      <c r="D38" s="2"/>
      <c r="E38" s="2"/>
      <c r="F38" s="38"/>
      <c r="G38" s="37"/>
      <c r="H38" s="2"/>
      <c r="I38" s="3"/>
      <c r="J38" s="90" t="str">
        <f>IF(C38&lt;&gt;"",$C38/'Elements and ions'!$B$12,"")</f>
        <v/>
      </c>
      <c r="K38" s="65" t="str">
        <f>IF(D38&lt;&gt;"",$D38/'Elements and ions'!$B$20,"")</f>
        <v/>
      </c>
      <c r="L38" s="65" t="str">
        <f>IF(E38&lt;&gt;"",$E38/'Elements and ions'!$B$21*2,"")</f>
        <v/>
      </c>
      <c r="M38" s="81" t="str">
        <f>IF(F38&lt;&gt;"",$F38/'Elements and ions'!$B$13*2,"")</f>
        <v/>
      </c>
      <c r="N38" s="80" t="str">
        <f>IF(G38&lt;&gt;"",-$G38/'Elements and ions'!$F$3,"")</f>
        <v/>
      </c>
      <c r="O38" s="65" t="str">
        <f>IF(H38&lt;&gt;"",-$H38/'Elements and ions'!$B$18,"")</f>
        <v/>
      </c>
      <c r="P38" s="81" t="str">
        <f>IF(I38&lt;&gt;"",-2*$I38/'Elements and ions'!$F$4,"")</f>
        <v/>
      </c>
      <c r="Q38" s="80" t="str">
        <f t="shared" si="0"/>
        <v/>
      </c>
      <c r="R38" s="65" t="str">
        <f t="shared" si="1"/>
        <v/>
      </c>
      <c r="S38" s="81" t="str">
        <f t="shared" si="2"/>
        <v/>
      </c>
      <c r="T38" s="80" t="str">
        <f t="shared" si="3"/>
        <v/>
      </c>
      <c r="U38" s="65" t="str">
        <f t="shared" si="4"/>
        <v/>
      </c>
      <c r="V38" s="91" t="str">
        <f t="shared" si="5"/>
        <v/>
      </c>
      <c r="W38" s="70" t="str">
        <f t="shared" si="6"/>
        <v/>
      </c>
      <c r="X38" s="65" t="str">
        <f>IF(V38&lt;&gt;"",IF($V38&lt;&gt;0,(($V38+(0.5*T38))/100+1+$AE$9),-1),"")</f>
        <v/>
      </c>
      <c r="Y38" s="81" t="str">
        <f>IF(AND(W38&lt;&gt;-1,X38&lt;&gt;-1,W38&lt;&gt;"",X38&lt;&gt;"",AA38&lt;&gt;-1,Z38&lt;&gt;-1,AA38&lt;&gt;"",Z38&lt;&gt;""),(W38+X38)/2+(AA38-Z38)/(4*COS(0.5)*$AE$5),"")</f>
        <v/>
      </c>
      <c r="Z38" s="70" t="str">
        <f>IF(S38&lt;&gt;"",IF($S38&lt;&gt;"",((($S38*COS(0.5))*$AE$5)/100),-1),"")</f>
        <v/>
      </c>
      <c r="AA38" s="65" t="str">
        <f>IF(T38&lt;&gt;"",IF($T38&lt;&gt;"",((($T38*COS(0.5))*$AE$5)/100),-1),"")</f>
        <v/>
      </c>
      <c r="AB38" s="66" t="str">
        <f>IF(Y38&lt;&gt;"",2*COS(0.5)*$AE$5*(X38-W38)/2+(AA38+Z38)/2,"")</f>
        <v/>
      </c>
      <c r="AC38" s="5"/>
      <c r="AE38" s="51"/>
      <c r="AF38" s="97">
        <f t="shared" si="7"/>
        <v>0.7</v>
      </c>
      <c r="AG38" s="58">
        <f>IF(AF38&lt;&gt;"", (AF38*0.5), AG33)</f>
        <v>0.35</v>
      </c>
      <c r="AH38" s="59">
        <f>IF(AF38&lt;&gt;"", (AF38*COS(0.5)*$AE$5), AH35)</f>
        <v>0.61430779332326091</v>
      </c>
      <c r="AI38" s="58">
        <f>IF(AF38&lt;&gt;"", 1-(AF38*0.5), AI33)</f>
        <v>0.65</v>
      </c>
      <c r="AJ38" s="59">
        <f>IF(AF38&lt;&gt;"", (AF38*COS(0.5)*$AE$5), AJ35)</f>
        <v>0.61430779332326091</v>
      </c>
      <c r="AK38" s="58"/>
      <c r="AL38" s="59"/>
      <c r="AM38" s="58"/>
      <c r="AN38" s="59"/>
      <c r="AO38" s="58"/>
      <c r="AP38" s="59"/>
      <c r="AQ38" s="58">
        <f>IF(AF36&lt;&gt;"", AF36, 0)</f>
        <v>0.7</v>
      </c>
      <c r="AR38" s="55">
        <v>0</v>
      </c>
      <c r="AS38" s="55">
        <f>AQ38</f>
        <v>0.7</v>
      </c>
      <c r="AT38" s="59">
        <f>AR38</f>
        <v>0</v>
      </c>
      <c r="AU38" s="58">
        <f>IF(AF38&lt;&gt;"",AG38+1+$AE$9, $AL$7)</f>
        <v>1.55</v>
      </c>
      <c r="AV38" s="59">
        <f>AJ38</f>
        <v>0.61430779332326091</v>
      </c>
      <c r="AW38" s="58">
        <f>AI38+1+$AE$9</f>
        <v>1.8499999999999999</v>
      </c>
      <c r="AX38" s="59">
        <f>AH38</f>
        <v>0.61430779332326091</v>
      </c>
      <c r="AY38" s="58"/>
      <c r="AZ38" s="59"/>
      <c r="BA38" s="58"/>
      <c r="BB38" s="59"/>
      <c r="BC38" s="58"/>
      <c r="BD38" s="59"/>
      <c r="BE38" s="58">
        <f>AQ38+1+$AE$9</f>
        <v>1.9</v>
      </c>
      <c r="BF38" s="55">
        <f>AR38</f>
        <v>0</v>
      </c>
      <c r="BG38" s="55">
        <f t="shared" ref="BG38" si="14">BG36</f>
        <v>1.9</v>
      </c>
      <c r="BH38" s="59">
        <f>IF(AF38&lt;&gt;"",AT38,0)</f>
        <v>0</v>
      </c>
      <c r="BI38" s="58">
        <f>AU38-$AL$8+$AO$8</f>
        <v>0.95000000000000018</v>
      </c>
      <c r="BJ38" s="59">
        <f>AV38+$AP$9-$AM$7</f>
        <v>1.6674068675917084</v>
      </c>
      <c r="BK38" s="58">
        <f>AI38+$AO$10-$AI$9</f>
        <v>1.25</v>
      </c>
      <c r="BL38" s="59">
        <f>AJ38+$AP$9-$AJ$7</f>
        <v>1.6674068675917084</v>
      </c>
      <c r="BM38" s="58"/>
      <c r="BN38" s="59"/>
      <c r="BO38" s="58"/>
      <c r="BP38" s="59"/>
    </row>
    <row r="39" spans="1:68" x14ac:dyDescent="0.25">
      <c r="A39" s="37"/>
      <c r="B39" s="38"/>
      <c r="C39" s="37"/>
      <c r="D39" s="2"/>
      <c r="E39" s="2"/>
      <c r="F39" s="38"/>
      <c r="G39" s="37"/>
      <c r="H39" s="2"/>
      <c r="I39" s="3"/>
      <c r="J39" s="90" t="str">
        <f>IF(C39&lt;&gt;"",$C39/'Elements and ions'!$B$12,"")</f>
        <v/>
      </c>
      <c r="K39" s="65" t="str">
        <f>IF(D39&lt;&gt;"",$D39/'Elements and ions'!$B$20,"")</f>
        <v/>
      </c>
      <c r="L39" s="65" t="str">
        <f>IF(E39&lt;&gt;"",$E39/'Elements and ions'!$B$21*2,"")</f>
        <v/>
      </c>
      <c r="M39" s="81" t="str">
        <f>IF(F39&lt;&gt;"",$F39/'Elements and ions'!$B$13*2,"")</f>
        <v/>
      </c>
      <c r="N39" s="80" t="str">
        <f>IF(G39&lt;&gt;"",-$G39/'Elements and ions'!$F$3,"")</f>
        <v/>
      </c>
      <c r="O39" s="65" t="str">
        <f>IF(H39&lt;&gt;"",-$H39/'Elements and ions'!$B$18,"")</f>
        <v/>
      </c>
      <c r="P39" s="81" t="str">
        <f>IF(I39&lt;&gt;"",-2*$I39/'Elements and ions'!$F$4,"")</f>
        <v/>
      </c>
      <c r="Q39" s="80" t="str">
        <f t="shared" si="0"/>
        <v/>
      </c>
      <c r="R39" s="65" t="str">
        <f t="shared" si="1"/>
        <v/>
      </c>
      <c r="S39" s="81" t="str">
        <f t="shared" si="2"/>
        <v/>
      </c>
      <c r="T39" s="80" t="str">
        <f t="shared" si="3"/>
        <v/>
      </c>
      <c r="U39" s="65" t="str">
        <f t="shared" si="4"/>
        <v/>
      </c>
      <c r="V39" s="91" t="str">
        <f t="shared" si="5"/>
        <v/>
      </c>
      <c r="W39" s="70" t="str">
        <f t="shared" si="6"/>
        <v/>
      </c>
      <c r="X39" s="65" t="str">
        <f>IF(V39&lt;&gt;"",IF($V39&lt;&gt;0,(($V39+(0.5*T39))/100+1+$AE$9),-1),"")</f>
        <v/>
      </c>
      <c r="Y39" s="81" t="str">
        <f>IF(AND(W39&lt;&gt;-1,X39&lt;&gt;-1,W39&lt;&gt;"",X39&lt;&gt;"",AA39&lt;&gt;-1,Z39&lt;&gt;-1,AA39&lt;&gt;"",Z39&lt;&gt;""),(W39+X39)/2+(AA39-Z39)/(4*COS(0.5)*$AE$5),"")</f>
        <v/>
      </c>
      <c r="Z39" s="70" t="str">
        <f>IF(S39&lt;&gt;"",IF($S39&lt;&gt;"",((($S39*COS(0.5))*$AE$5)/100),-1),"")</f>
        <v/>
      </c>
      <c r="AA39" s="65" t="str">
        <f>IF(T39&lt;&gt;"",IF($T39&lt;&gt;"",((($T39*COS(0.5))*$AE$5)/100),-1),"")</f>
        <v/>
      </c>
      <c r="AB39" s="66" t="str">
        <f>IF(Y39&lt;&gt;"",2*COS(0.5)*$AE$5*(X39-W39)/2+(AA39+Z39)/2,"")</f>
        <v/>
      </c>
      <c r="AC39" s="5"/>
      <c r="AE39" s="51"/>
      <c r="AF39" s="97">
        <f>IF(AND($AE$6&gt;0, $AE$7&gt;0, AF36&lt;1), AF36+$AE$6, "")</f>
        <v>0.79999999999999993</v>
      </c>
      <c r="AG39" s="58">
        <f>IF(AF39&lt;&gt;"", (AF39*0.5), AG36)</f>
        <v>0.39999999999999997</v>
      </c>
      <c r="AH39" s="59">
        <f>IF(AF39&lt;&gt;"", (AF39*COS(0.5)*$AE$5), AH36)</f>
        <v>0.70206604951229812</v>
      </c>
      <c r="AI39" s="58">
        <f>IF(AF39&lt;&gt;"", 1-(AF39*0.5), AI36)</f>
        <v>0.60000000000000009</v>
      </c>
      <c r="AJ39" s="59">
        <f>IF(AF39&lt;&gt;"", (AF39*COS(0.5)*$AE$5), AJ36)</f>
        <v>0.70206604951229812</v>
      </c>
      <c r="AK39" s="58">
        <f>IF($AE$8=1, AI39, AK36)</f>
        <v>0.60000000000000009</v>
      </c>
      <c r="AL39" s="59">
        <f>IF($AE$8=1, AJ39, AL36)</f>
        <v>0.70206604951229812</v>
      </c>
      <c r="AM39" s="58">
        <f>IF(AND($AE$8=1, AF39&lt;&gt;""), AI39, AM36)</f>
        <v>0.60000000000000009</v>
      </c>
      <c r="AN39" s="59">
        <f>IF(AND($AE$8=1, AF39&lt;&gt;""), AJ39, AN36)</f>
        <v>0.70206604951229812</v>
      </c>
      <c r="AO39" s="58">
        <f>IF($AE$8=1,AQ39,AO36)</f>
        <v>0.79999999999999993</v>
      </c>
      <c r="AP39" s="59">
        <v>0</v>
      </c>
      <c r="AQ39" s="58">
        <f>IF(AF39&lt;&gt;"", AF39, 0)</f>
        <v>0.79999999999999993</v>
      </c>
      <c r="AR39" s="55">
        <v>0</v>
      </c>
      <c r="AS39" s="55">
        <f>AQ39</f>
        <v>0.79999999999999993</v>
      </c>
      <c r="AT39" s="59">
        <f>AR39</f>
        <v>0</v>
      </c>
      <c r="AU39" s="58">
        <f>IF(AF39&lt;&gt;"",AG39+1+$AE$9, $AL$7)</f>
        <v>1.5999999999999999</v>
      </c>
      <c r="AV39" s="59">
        <f>AJ39</f>
        <v>0.70206604951229812</v>
      </c>
      <c r="AW39" s="58">
        <f>AI39+1+$AE$9</f>
        <v>1.8</v>
      </c>
      <c r="AX39" s="59">
        <f>AH39</f>
        <v>0.70206604951229812</v>
      </c>
      <c r="AY39" s="58">
        <f>AK39+1+$AE$9</f>
        <v>1.8</v>
      </c>
      <c r="AZ39" s="59">
        <f>AL39</f>
        <v>0.70206604951229812</v>
      </c>
      <c r="BA39" s="58">
        <f>AM39+1+$AE$9</f>
        <v>1.8</v>
      </c>
      <c r="BB39" s="59">
        <f>AN39</f>
        <v>0.70206604951229812</v>
      </c>
      <c r="BC39" s="58">
        <f>AO39+1+$AE$9</f>
        <v>1.9999999999999998</v>
      </c>
      <c r="BD39" s="59">
        <f>AP39</f>
        <v>0</v>
      </c>
      <c r="BE39" s="58">
        <f>AQ39+1+$AE$9</f>
        <v>1.9999999999999998</v>
      </c>
      <c r="BF39" s="55">
        <f>AR39</f>
        <v>0</v>
      </c>
      <c r="BG39" s="55">
        <f>IF(AF39&lt;&gt;"",AS39+1+$AE$9,BC39)</f>
        <v>1.9999999999999998</v>
      </c>
      <c r="BH39" s="59">
        <f>IF(AF39&lt;&gt;"",AT39,0)</f>
        <v>0</v>
      </c>
      <c r="BI39" s="58">
        <f>AU39-$AL$8+$AO$8</f>
        <v>1</v>
      </c>
      <c r="BJ39" s="59">
        <f>AV39+$AP$9-$AM$7</f>
        <v>1.7551651237807455</v>
      </c>
      <c r="BK39" s="58">
        <f>AI39+$AO$10-$AI$9</f>
        <v>1.2000000000000002</v>
      </c>
      <c r="BL39" s="59">
        <f>AJ39+$AP$9-$AJ$7</f>
        <v>1.7551651237807455</v>
      </c>
      <c r="BM39" s="58">
        <f>IF(AND($AE$8=1,AF39&lt;&gt;""), BI39, $BI$15)</f>
        <v>1</v>
      </c>
      <c r="BN39" s="59">
        <f>IF(AND($AE$8=1,AF39&lt;&gt;""), BJ39, $BJ$15)</f>
        <v>1.7551651237807455</v>
      </c>
      <c r="BO39" s="58">
        <f>IF(AND($AE$8=1,AF39&lt;&gt;""), BK39, $BK$15)</f>
        <v>1.2000000000000002</v>
      </c>
      <c r="BP39" s="59">
        <f>IF(AND($AE$8=1,AF39&lt;&gt;""), BL39, $BJ$15)</f>
        <v>1.7551651237807455</v>
      </c>
    </row>
    <row r="40" spans="1:68" x14ac:dyDescent="0.25">
      <c r="A40" s="37"/>
      <c r="B40" s="38"/>
      <c r="C40" s="37"/>
      <c r="D40" s="2"/>
      <c r="E40" s="2"/>
      <c r="F40" s="38"/>
      <c r="G40" s="37"/>
      <c r="H40" s="2"/>
      <c r="I40" s="3"/>
      <c r="J40" s="90" t="str">
        <f>IF(C40&lt;&gt;"",$C40/'Elements and ions'!$B$12,"")</f>
        <v/>
      </c>
      <c r="K40" s="65" t="str">
        <f>IF(D40&lt;&gt;"",$D40/'Elements and ions'!$B$20,"")</f>
        <v/>
      </c>
      <c r="L40" s="65" t="str">
        <f>IF(E40&lt;&gt;"",$E40/'Elements and ions'!$B$21*2,"")</f>
        <v/>
      </c>
      <c r="M40" s="81" t="str">
        <f>IF(F40&lt;&gt;"",$F40/'Elements and ions'!$B$13*2,"")</f>
        <v/>
      </c>
      <c r="N40" s="80" t="str">
        <f>IF(G40&lt;&gt;"",-$G40/'Elements and ions'!$F$3,"")</f>
        <v/>
      </c>
      <c r="O40" s="65" t="str">
        <f>IF(H40&lt;&gt;"",-$H40/'Elements and ions'!$B$18,"")</f>
        <v/>
      </c>
      <c r="P40" s="81" t="str">
        <f>IF(I40&lt;&gt;"",-2*$I40/'Elements and ions'!$F$4,"")</f>
        <v/>
      </c>
      <c r="Q40" s="80" t="str">
        <f t="shared" si="0"/>
        <v/>
      </c>
      <c r="R40" s="65" t="str">
        <f t="shared" si="1"/>
        <v/>
      </c>
      <c r="S40" s="81" t="str">
        <f t="shared" si="2"/>
        <v/>
      </c>
      <c r="T40" s="80" t="str">
        <f t="shared" si="3"/>
        <v/>
      </c>
      <c r="U40" s="65" t="str">
        <f t="shared" si="4"/>
        <v/>
      </c>
      <c r="V40" s="91" t="str">
        <f t="shared" si="5"/>
        <v/>
      </c>
      <c r="W40" s="70" t="str">
        <f t="shared" si="6"/>
        <v/>
      </c>
      <c r="X40" s="65" t="str">
        <f>IF(V40&lt;&gt;"",IF($V40&lt;&gt;0,(($V40+(0.5*T40))/100+1+$AE$9),-1),"")</f>
        <v/>
      </c>
      <c r="Y40" s="81" t="str">
        <f>IF(AND(W40&lt;&gt;-1,X40&lt;&gt;-1,W40&lt;&gt;"",X40&lt;&gt;"",AA40&lt;&gt;-1,Z40&lt;&gt;-1,AA40&lt;&gt;"",Z40&lt;&gt;""),(W40+X40)/2+(AA40-Z40)/(4*COS(0.5)*$AE$5),"")</f>
        <v/>
      </c>
      <c r="Z40" s="70" t="str">
        <f>IF(S40&lt;&gt;"",IF($S40&lt;&gt;"",((($S40*COS(0.5))*$AE$5)/100),-1),"")</f>
        <v/>
      </c>
      <c r="AA40" s="65" t="str">
        <f>IF(T40&lt;&gt;"",IF($T40&lt;&gt;"",((($T40*COS(0.5))*$AE$5)/100),-1),"")</f>
        <v/>
      </c>
      <c r="AB40" s="66" t="str">
        <f>IF(Y40&lt;&gt;"",2*COS(0.5)*$AE$5*(X40-W40)/2+(AA40+Z40)/2,"")</f>
        <v/>
      </c>
      <c r="AC40" s="5"/>
      <c r="AE40" s="51"/>
      <c r="AF40" s="97">
        <f t="shared" si="7"/>
        <v>0.79999999999999993</v>
      </c>
      <c r="AG40" s="58">
        <f>IF(AF40&lt;&gt;"", ((AF40*0.5)-$AE$7), AG36)</f>
        <v>0.37</v>
      </c>
      <c r="AH40" s="59">
        <f>IF(AF40&lt;&gt;"", (AF40*COS(0.5)*$AE$5), AH37)</f>
        <v>0.70206604951229812</v>
      </c>
      <c r="AI40" s="58">
        <f>IF(AF40&lt;&gt;"", AI39+($AE$7*0.5), AI36)</f>
        <v>0.6150000000000001</v>
      </c>
      <c r="AJ40" s="59">
        <f>IF(AF40&lt;&gt;"", AJ39+($AE$7*COS(0.5)*$AE$5), AJ36)</f>
        <v>0.72839352636900934</v>
      </c>
      <c r="AK40" s="58">
        <f>IF($AE$8=1, AG39, AK36)</f>
        <v>0.39999999999999997</v>
      </c>
      <c r="AL40" s="59">
        <f>IF($AE$8=1, AJ39, AL36)</f>
        <v>0.70206604951229812</v>
      </c>
      <c r="AM40" s="58">
        <f>IF(AND($AE$8=1, AF39&lt;&gt;""), 1-AF39, AM39)</f>
        <v>0.20000000000000007</v>
      </c>
      <c r="AN40" s="59">
        <f>IF(AND($AE$8=1, AF39&lt;&gt;""), 0, AN39)</f>
        <v>0</v>
      </c>
      <c r="AO40" s="58">
        <f>IF($AE$8=1,AG39,AO39)</f>
        <v>0.39999999999999997</v>
      </c>
      <c r="AP40" s="59">
        <f>IF($AE$8=1,AH39,0)</f>
        <v>0.70206604951229812</v>
      </c>
      <c r="AQ40" s="58">
        <f>IF(AF39&lt;&gt;"",AQ39+(0.5*$AE$7),0)</f>
        <v>0.81499999999999995</v>
      </c>
      <c r="AR40" s="55">
        <f>IF(AF39&lt;&gt;"",-COS(0.5)*$AE$7*$AE$5,0)</f>
        <v>-2.632747685671118E-2</v>
      </c>
      <c r="AS40" s="55">
        <f>AQ40</f>
        <v>0.81499999999999995</v>
      </c>
      <c r="AT40" s="59">
        <f>AR40</f>
        <v>-2.632747685671118E-2</v>
      </c>
      <c r="AU40" s="58">
        <f>IF(AF40&lt;&gt;"",AG40+1+$AE$9+($AE$7*0.5), $AL$7)</f>
        <v>1.585</v>
      </c>
      <c r="AV40" s="59">
        <f>AJ40</f>
        <v>0.72839352636900934</v>
      </c>
      <c r="AW40" s="58">
        <f>AI40+1+$AE$9+0.5*$AE$7</f>
        <v>1.83</v>
      </c>
      <c r="AX40" s="59">
        <f>AH40</f>
        <v>0.70206604951229812</v>
      </c>
      <c r="AY40" s="58">
        <f>AK40+1+$AE$9</f>
        <v>1.5999999999999999</v>
      </c>
      <c r="AZ40" s="59">
        <f>AL40</f>
        <v>0.70206604951229812</v>
      </c>
      <c r="BA40" s="58">
        <f>AM40+1+$AE$9</f>
        <v>1.4000000000000001</v>
      </c>
      <c r="BB40" s="59">
        <f>AN40</f>
        <v>0</v>
      </c>
      <c r="BC40" s="58">
        <f>AO40+1+$AE$9</f>
        <v>1.5999999999999999</v>
      </c>
      <c r="BD40" s="59">
        <f>AP40</f>
        <v>0.70206604951229812</v>
      </c>
      <c r="BE40" s="58">
        <f>AQ40+1+$AE$9</f>
        <v>2.0150000000000001</v>
      </c>
      <c r="BF40" s="55">
        <f>AR40</f>
        <v>-2.632747685671118E-2</v>
      </c>
      <c r="BG40" s="55">
        <f>IF(AF40&lt;&gt;"",AS40+1+$AE$9-$AE$7,BC39)</f>
        <v>1.9850000000000001</v>
      </c>
      <c r="BH40" s="59">
        <f>IF(AF40&lt;&gt;"",AT40,0)</f>
        <v>-2.632747685671118E-2</v>
      </c>
      <c r="BI40" s="58">
        <f>AU40-$AL$8+$AO$8</f>
        <v>0.9850000000000001</v>
      </c>
      <c r="BJ40" s="59">
        <f>AV40+$AP$9-$AM$7</f>
        <v>1.7814926006374567</v>
      </c>
      <c r="BK40" s="58">
        <f>AI40+$AO$10-$AI$9</f>
        <v>1.2150000000000003</v>
      </c>
      <c r="BL40" s="59">
        <f>AJ40+$AP$9-$AJ$7</f>
        <v>1.7814926006374567</v>
      </c>
      <c r="BM40" s="58">
        <f>IF(AND($AE$8=1,AF40&lt;&gt;""), BM39+0.5, $BI$15)</f>
        <v>1.5</v>
      </c>
      <c r="BN40" s="59">
        <f>IF(AND($AE$8=1,AF40&lt;&gt;""), BN39-$AM$7, $BJ$15)</f>
        <v>0.87758256189037276</v>
      </c>
      <c r="BO40" s="58">
        <f>IF(AND($AE$8=1,AF40&lt;&gt;""), BO39-0.5, $BK$15)</f>
        <v>0.70000000000000018</v>
      </c>
      <c r="BP40" s="59">
        <f>IF(AND($AE$8=1,AF40&lt;&gt;""), BP39-$AM$7, $BL$15)</f>
        <v>0.87758256189037276</v>
      </c>
    </row>
    <row r="41" spans="1:68" x14ac:dyDescent="0.25">
      <c r="A41" s="37"/>
      <c r="B41" s="38"/>
      <c r="C41" s="37"/>
      <c r="D41" s="2"/>
      <c r="E41" s="2"/>
      <c r="F41" s="38"/>
      <c r="G41" s="37"/>
      <c r="H41" s="2"/>
      <c r="I41" s="3"/>
      <c r="J41" s="90" t="str">
        <f>IF(C41&lt;&gt;"",$C41/'Elements and ions'!$B$12,"")</f>
        <v/>
      </c>
      <c r="K41" s="65" t="str">
        <f>IF(D41&lt;&gt;"",$D41/'Elements and ions'!$B$20,"")</f>
        <v/>
      </c>
      <c r="L41" s="65" t="str">
        <f>IF(E41&lt;&gt;"",$E41/'Elements and ions'!$B$21*2,"")</f>
        <v/>
      </c>
      <c r="M41" s="81" t="str">
        <f>IF(F41&lt;&gt;"",$F41/'Elements and ions'!$B$13*2,"")</f>
        <v/>
      </c>
      <c r="N41" s="80" t="str">
        <f>IF(G41&lt;&gt;"",-$G41/'Elements and ions'!$F$3,"")</f>
        <v/>
      </c>
      <c r="O41" s="65" t="str">
        <f>IF(H41&lt;&gt;"",-$H41/'Elements and ions'!$B$18,"")</f>
        <v/>
      </c>
      <c r="P41" s="81" t="str">
        <f>IF(I41&lt;&gt;"",-2*$I41/'Elements and ions'!$F$4,"")</f>
        <v/>
      </c>
      <c r="Q41" s="80" t="str">
        <f t="shared" si="0"/>
        <v/>
      </c>
      <c r="R41" s="65" t="str">
        <f t="shared" si="1"/>
        <v/>
      </c>
      <c r="S41" s="81" t="str">
        <f t="shared" si="2"/>
        <v/>
      </c>
      <c r="T41" s="80" t="str">
        <f t="shared" si="3"/>
        <v/>
      </c>
      <c r="U41" s="65" t="str">
        <f t="shared" si="4"/>
        <v/>
      </c>
      <c r="V41" s="91" t="str">
        <f t="shared" si="5"/>
        <v/>
      </c>
      <c r="W41" s="70" t="str">
        <f t="shared" si="6"/>
        <v/>
      </c>
      <c r="X41" s="65" t="str">
        <f>IF(V41&lt;&gt;"",IF($V41&lt;&gt;0,(($V41+(0.5*T41))/100+1+$AE$9),-1),"")</f>
        <v/>
      </c>
      <c r="Y41" s="81" t="str">
        <f>IF(AND(W41&lt;&gt;-1,X41&lt;&gt;-1,W41&lt;&gt;"",X41&lt;&gt;"",AA41&lt;&gt;-1,Z41&lt;&gt;-1,AA41&lt;&gt;"",Z41&lt;&gt;""),(W41+X41)/2+(AA41-Z41)/(4*COS(0.5)*$AE$5),"")</f>
        <v/>
      </c>
      <c r="Z41" s="70" t="str">
        <f>IF(S41&lt;&gt;"",IF($S41&lt;&gt;"",((($S41*COS(0.5))*$AE$5)/100),-1),"")</f>
        <v/>
      </c>
      <c r="AA41" s="65" t="str">
        <f>IF(T41&lt;&gt;"",IF($T41&lt;&gt;"",((($T41*COS(0.5))*$AE$5)/100),-1),"")</f>
        <v/>
      </c>
      <c r="AB41" s="66" t="str">
        <f>IF(Y41&lt;&gt;"",2*COS(0.5)*$AE$5*(X41-W41)/2+(AA41+Z41)/2,"")</f>
        <v/>
      </c>
      <c r="AC41" s="5"/>
      <c r="AE41" s="51" t="s">
        <v>138</v>
      </c>
      <c r="AF41" s="97">
        <f t="shared" si="7"/>
        <v>0.79999999999999993</v>
      </c>
      <c r="AG41" s="58">
        <f>IF(AF41&lt;&gt;"", (AF41*0.5), AG36)</f>
        <v>0.39999999999999997</v>
      </c>
      <c r="AH41" s="59">
        <f>IF(AF41&lt;&gt;"", (AF41*COS(0.5)*$AE$5), AH38)</f>
        <v>0.70206604951229812</v>
      </c>
      <c r="AI41" s="58">
        <f>IF(AF41&lt;&gt;"", 1-(AF41*0.5), AI36)</f>
        <v>0.60000000000000009</v>
      </c>
      <c r="AJ41" s="59">
        <f>IF(AF41&lt;&gt;"", (AF41*COS(0.5)*$AE$5), AJ38)</f>
        <v>0.70206604951229812</v>
      </c>
      <c r="AK41" s="58"/>
      <c r="AL41" s="59"/>
      <c r="AM41" s="58"/>
      <c r="AN41" s="59"/>
      <c r="AO41" s="58"/>
      <c r="AP41" s="59"/>
      <c r="AQ41" s="58">
        <f>IF(AF39&lt;&gt;"", AF39, 0)</f>
        <v>0.79999999999999993</v>
      </c>
      <c r="AR41" s="55">
        <v>0</v>
      </c>
      <c r="AS41" s="55">
        <f>AQ41</f>
        <v>0.79999999999999993</v>
      </c>
      <c r="AT41" s="59">
        <f>AR41</f>
        <v>0</v>
      </c>
      <c r="AU41" s="58">
        <f>IF(AF41&lt;&gt;"",AG41+1+$AE$9, $AL$7)</f>
        <v>1.5999999999999999</v>
      </c>
      <c r="AV41" s="59">
        <f>AJ41</f>
        <v>0.70206604951229812</v>
      </c>
      <c r="AW41" s="58">
        <f>AI41+1+$AE$9</f>
        <v>1.8</v>
      </c>
      <c r="AX41" s="59">
        <f>AH41</f>
        <v>0.70206604951229812</v>
      </c>
      <c r="AY41" s="58"/>
      <c r="AZ41" s="59"/>
      <c r="BA41" s="58"/>
      <c r="BB41" s="59"/>
      <c r="BC41" s="58"/>
      <c r="BD41" s="59"/>
      <c r="BE41" s="58">
        <f>AQ41+1+$AE$9</f>
        <v>1.9999999999999998</v>
      </c>
      <c r="BF41" s="55">
        <f>AR41</f>
        <v>0</v>
      </c>
      <c r="BG41" s="55">
        <f t="shared" ref="BG41" si="15">BG39</f>
        <v>1.9999999999999998</v>
      </c>
      <c r="BH41" s="59">
        <f>IF(AF41&lt;&gt;"",AT41,0)</f>
        <v>0</v>
      </c>
      <c r="BI41" s="58">
        <f>AU41-$AL$8+$AO$8</f>
        <v>1</v>
      </c>
      <c r="BJ41" s="59">
        <f>AV41+$AP$9-$AM$7</f>
        <v>1.7551651237807455</v>
      </c>
      <c r="BK41" s="58">
        <f>AI41+$AO$10-$AI$9</f>
        <v>1.2000000000000002</v>
      </c>
      <c r="BL41" s="59">
        <f>AJ41+$AP$9-$AJ$7</f>
        <v>1.7551651237807455</v>
      </c>
      <c r="BM41" s="58"/>
      <c r="BN41" s="59"/>
      <c r="BO41" s="58"/>
      <c r="BP41" s="59"/>
    </row>
    <row r="42" spans="1:68" x14ac:dyDescent="0.25">
      <c r="A42" s="37"/>
      <c r="B42" s="38"/>
      <c r="C42" s="37"/>
      <c r="D42" s="2"/>
      <c r="E42" s="2"/>
      <c r="F42" s="38"/>
      <c r="G42" s="37"/>
      <c r="H42" s="2"/>
      <c r="I42" s="3"/>
      <c r="J42" s="90" t="str">
        <f>IF(C42&lt;&gt;"",$C42/'Elements and ions'!$B$12,"")</f>
        <v/>
      </c>
      <c r="K42" s="65" t="str">
        <f>IF(D42&lt;&gt;"",$D42/'Elements and ions'!$B$20,"")</f>
        <v/>
      </c>
      <c r="L42" s="65" t="str">
        <f>IF(E42&lt;&gt;"",$E42/'Elements and ions'!$B$21*2,"")</f>
        <v/>
      </c>
      <c r="M42" s="81" t="str">
        <f>IF(F42&lt;&gt;"",$F42/'Elements and ions'!$B$13*2,"")</f>
        <v/>
      </c>
      <c r="N42" s="80" t="str">
        <f>IF(G42&lt;&gt;"",-$G42/'Elements and ions'!$F$3,"")</f>
        <v/>
      </c>
      <c r="O42" s="65" t="str">
        <f>IF(H42&lt;&gt;"",-$H42/'Elements and ions'!$B$18,"")</f>
        <v/>
      </c>
      <c r="P42" s="81" t="str">
        <f>IF(I42&lt;&gt;"",-2*$I42/'Elements and ions'!$F$4,"")</f>
        <v/>
      </c>
      <c r="Q42" s="80" t="str">
        <f t="shared" si="0"/>
        <v/>
      </c>
      <c r="R42" s="65" t="str">
        <f t="shared" si="1"/>
        <v/>
      </c>
      <c r="S42" s="81" t="str">
        <f t="shared" si="2"/>
        <v/>
      </c>
      <c r="T42" s="80" t="str">
        <f t="shared" si="3"/>
        <v/>
      </c>
      <c r="U42" s="65" t="str">
        <f t="shared" si="4"/>
        <v/>
      </c>
      <c r="V42" s="91" t="str">
        <f t="shared" si="5"/>
        <v/>
      </c>
      <c r="W42" s="70" t="str">
        <f t="shared" si="6"/>
        <v/>
      </c>
      <c r="X42" s="65" t="str">
        <f>IF(V42&lt;&gt;"",IF($V42&lt;&gt;0,(($V42+(0.5*T42))/100+1+$AE$9),-1),"")</f>
        <v/>
      </c>
      <c r="Y42" s="81" t="str">
        <f>IF(AND(W42&lt;&gt;-1,X42&lt;&gt;-1,W42&lt;&gt;"",X42&lt;&gt;"",AA42&lt;&gt;-1,Z42&lt;&gt;-1,AA42&lt;&gt;"",Z42&lt;&gt;""),(W42+X42)/2+(AA42-Z42)/(4*COS(0.5)*$AE$5),"")</f>
        <v/>
      </c>
      <c r="Z42" s="70" t="str">
        <f>IF(S42&lt;&gt;"",IF($S42&lt;&gt;"",((($S42*COS(0.5))*$AE$5)/100),-1),"")</f>
        <v/>
      </c>
      <c r="AA42" s="65" t="str">
        <f>IF(T42&lt;&gt;"",IF($T42&lt;&gt;"",((($T42*COS(0.5))*$AE$5)/100),-1),"")</f>
        <v/>
      </c>
      <c r="AB42" s="66" t="str">
        <f>IF(Y42&lt;&gt;"",2*COS(0.5)*$AE$5*(X42-W42)/2+(AA42+Z42)/2,"")</f>
        <v/>
      </c>
      <c r="AC42" s="5"/>
      <c r="AE42" s="51"/>
      <c r="AF42" s="97">
        <f>IF(AND($AE$6&gt;0, $AE$7&gt;0, AF39&lt;1), AF39+$AE$6, "")</f>
        <v>0.89999999999999991</v>
      </c>
      <c r="AG42" s="58">
        <f>IF(AF42&lt;&gt;"", (AF42*0.5), AG39)</f>
        <v>0.44999999999999996</v>
      </c>
      <c r="AH42" s="59">
        <f>IF(AF42&lt;&gt;"", (AF42*COS(0.5)*$AE$5), AH39)</f>
        <v>0.78982430570133544</v>
      </c>
      <c r="AI42" s="58">
        <f>IF(AF42&lt;&gt;"", 1-(AF42*0.5), AI39)</f>
        <v>0.55000000000000004</v>
      </c>
      <c r="AJ42" s="59">
        <f>IF(AF42&lt;&gt;"", (AF42*COS(0.5)*$AE$5), AJ39)</f>
        <v>0.78982430570133544</v>
      </c>
      <c r="AK42" s="58">
        <f>IF($AE$8=1, AI42, AK39)</f>
        <v>0.55000000000000004</v>
      </c>
      <c r="AL42" s="59">
        <f>IF($AE$8=1, AJ42, AL39)</f>
        <v>0.78982430570133544</v>
      </c>
      <c r="AM42" s="58">
        <f>IF(AND($AE$8=1, AF42&lt;&gt;""), AI42, AM39)</f>
        <v>0.55000000000000004</v>
      </c>
      <c r="AN42" s="59">
        <f>IF(AND($AE$8=1, AF42&lt;&gt;""), AJ42, AN39)</f>
        <v>0.78982430570133544</v>
      </c>
      <c r="AO42" s="58">
        <f>IF($AE$8=1,AQ42,AO39)</f>
        <v>0.89999999999999991</v>
      </c>
      <c r="AP42" s="59">
        <v>0</v>
      </c>
      <c r="AQ42" s="58">
        <f>IF(AF42&lt;&gt;"", AF42, 0)</f>
        <v>0.89999999999999991</v>
      </c>
      <c r="AR42" s="55">
        <v>0</v>
      </c>
      <c r="AS42" s="55">
        <f>AQ42</f>
        <v>0.89999999999999991</v>
      </c>
      <c r="AT42" s="59">
        <f>AR42</f>
        <v>0</v>
      </c>
      <c r="AU42" s="58">
        <f>IF(AF42&lt;&gt;"",AG42+1+$AE$9, $AL$7)</f>
        <v>1.65</v>
      </c>
      <c r="AV42" s="59">
        <f>AJ42</f>
        <v>0.78982430570133544</v>
      </c>
      <c r="AW42" s="58">
        <f>AI42+1+$AE$9</f>
        <v>1.75</v>
      </c>
      <c r="AX42" s="59">
        <f>AH42</f>
        <v>0.78982430570133544</v>
      </c>
      <c r="AY42" s="58">
        <f>AK42+1+$AE$9</f>
        <v>1.75</v>
      </c>
      <c r="AZ42" s="59">
        <f>AL42</f>
        <v>0.78982430570133544</v>
      </c>
      <c r="BA42" s="58">
        <f>AM42+1+$AE$9</f>
        <v>1.75</v>
      </c>
      <c r="BB42" s="59">
        <f>AN42</f>
        <v>0.78982430570133544</v>
      </c>
      <c r="BC42" s="58">
        <f>AO42+1+$AE$9</f>
        <v>2.1</v>
      </c>
      <c r="BD42" s="59">
        <f>AP42</f>
        <v>0</v>
      </c>
      <c r="BE42" s="58">
        <f>AQ42+1+$AE$9</f>
        <v>2.1</v>
      </c>
      <c r="BF42" s="55">
        <f>AR42</f>
        <v>0</v>
      </c>
      <c r="BG42" s="55">
        <f>IF(AF42&lt;&gt;"",AS42+1+$AE$9,BC42)</f>
        <v>2.1</v>
      </c>
      <c r="BH42" s="59">
        <f>IF(AF42&lt;&gt;"",AT42,0)</f>
        <v>0</v>
      </c>
      <c r="BI42" s="58">
        <f>AU42-$AL$8+$AO$8</f>
        <v>1.05</v>
      </c>
      <c r="BJ42" s="59">
        <f>AV42+$AP$9-$AM$7</f>
        <v>1.8429233799697826</v>
      </c>
      <c r="BK42" s="58">
        <f>AI42+$AO$10-$AI$9</f>
        <v>1.1500000000000004</v>
      </c>
      <c r="BL42" s="59">
        <f>AJ42+$AP$9-$AJ$7</f>
        <v>1.8429233799697826</v>
      </c>
      <c r="BM42" s="58">
        <f>IF(AND($AE$8=1,AF42&lt;&gt;""), BI42, $BI$15)</f>
        <v>1.05</v>
      </c>
      <c r="BN42" s="59">
        <f>IF(AND($AE$8=1,AF42&lt;&gt;""), BJ42, $BJ$15)</f>
        <v>1.8429233799697826</v>
      </c>
      <c r="BO42" s="58">
        <f>IF(AND($AE$8=1,AF42&lt;&gt;""), BK42, $BK$15)</f>
        <v>1.1500000000000004</v>
      </c>
      <c r="BP42" s="59">
        <f>IF(AND($AE$8=1,AF42&lt;&gt;""), BL42, $BJ$15)</f>
        <v>1.8429233799697826</v>
      </c>
    </row>
    <row r="43" spans="1:68" x14ac:dyDescent="0.25">
      <c r="A43" s="37"/>
      <c r="B43" s="38"/>
      <c r="C43" s="37"/>
      <c r="D43" s="2"/>
      <c r="E43" s="2"/>
      <c r="F43" s="38"/>
      <c r="G43" s="37"/>
      <c r="H43" s="2"/>
      <c r="I43" s="3"/>
      <c r="J43" s="90" t="str">
        <f>IF(C43&lt;&gt;"",$C43/'Elements and ions'!$B$12,"")</f>
        <v/>
      </c>
      <c r="K43" s="65" t="str">
        <f>IF(D43&lt;&gt;"",$D43/'Elements and ions'!$B$20,"")</f>
        <v/>
      </c>
      <c r="L43" s="65" t="str">
        <f>IF(E43&lt;&gt;"",$E43/'Elements and ions'!$B$21*2,"")</f>
        <v/>
      </c>
      <c r="M43" s="81" t="str">
        <f>IF(F43&lt;&gt;"",$F43/'Elements and ions'!$B$13*2,"")</f>
        <v/>
      </c>
      <c r="N43" s="80" t="str">
        <f>IF(G43&lt;&gt;"",-$G43/'Elements and ions'!$F$3,"")</f>
        <v/>
      </c>
      <c r="O43" s="65" t="str">
        <f>IF(H43&lt;&gt;"",-$H43/'Elements and ions'!$B$18,"")</f>
        <v/>
      </c>
      <c r="P43" s="81" t="str">
        <f>IF(I43&lt;&gt;"",-2*$I43/'Elements and ions'!$F$4,"")</f>
        <v/>
      </c>
      <c r="Q43" s="80" t="str">
        <f t="shared" si="0"/>
        <v/>
      </c>
      <c r="R43" s="65" t="str">
        <f t="shared" si="1"/>
        <v/>
      </c>
      <c r="S43" s="81" t="str">
        <f t="shared" si="2"/>
        <v/>
      </c>
      <c r="T43" s="80" t="str">
        <f t="shared" si="3"/>
        <v/>
      </c>
      <c r="U43" s="65" t="str">
        <f t="shared" si="4"/>
        <v/>
      </c>
      <c r="V43" s="91" t="str">
        <f t="shared" si="5"/>
        <v/>
      </c>
      <c r="W43" s="70" t="str">
        <f t="shared" si="6"/>
        <v/>
      </c>
      <c r="X43" s="65" t="str">
        <f>IF(V43&lt;&gt;"",IF($V43&lt;&gt;0,(($V43+(0.5*T43))/100+1+$AE$9),-1),"")</f>
        <v/>
      </c>
      <c r="Y43" s="81" t="str">
        <f>IF(AND(W43&lt;&gt;-1,X43&lt;&gt;-1,W43&lt;&gt;"",X43&lt;&gt;"",AA43&lt;&gt;-1,Z43&lt;&gt;-1,AA43&lt;&gt;"",Z43&lt;&gt;""),(W43+X43)/2+(AA43-Z43)/(4*COS(0.5)*$AE$5),"")</f>
        <v/>
      </c>
      <c r="Z43" s="70" t="str">
        <f>IF(S43&lt;&gt;"",IF($S43&lt;&gt;"",((($S43*COS(0.5))*$AE$5)/100),-1),"")</f>
        <v/>
      </c>
      <c r="AA43" s="65" t="str">
        <f>IF(T43&lt;&gt;"",IF($T43&lt;&gt;"",((($T43*COS(0.5))*$AE$5)/100),-1),"")</f>
        <v/>
      </c>
      <c r="AB43" s="66" t="str">
        <f>IF(Y43&lt;&gt;"",2*COS(0.5)*$AE$5*(X43-W43)/2+(AA43+Z43)/2,"")</f>
        <v/>
      </c>
      <c r="AC43" s="5"/>
      <c r="AE43" s="51"/>
      <c r="AF43" s="97">
        <f t="shared" si="7"/>
        <v>0.89999999999999991</v>
      </c>
      <c r="AG43" s="58">
        <f>IF(AF43&lt;&gt;"", ((AF43*0.5)-$AE$7), AG39)</f>
        <v>0.41999999999999993</v>
      </c>
      <c r="AH43" s="59">
        <f>IF(AF43&lt;&gt;"", (AF43*COS(0.5)*$AE$5), AH40)</f>
        <v>0.78982430570133544</v>
      </c>
      <c r="AI43" s="58">
        <f>IF(AF43&lt;&gt;"", AI42+($AE$7*0.5), AI39)</f>
        <v>0.56500000000000006</v>
      </c>
      <c r="AJ43" s="59">
        <f>IF(AF43&lt;&gt;"", AJ42+($AE$7*COS(0.5)*$AE$5), AJ39)</f>
        <v>0.81615178255804666</v>
      </c>
      <c r="AK43" s="58">
        <f>IF($AE$8=1, AG42, AK39)</f>
        <v>0.44999999999999996</v>
      </c>
      <c r="AL43" s="59">
        <f>IF($AE$8=1, AJ42, AL39)</f>
        <v>0.78982430570133544</v>
      </c>
      <c r="AM43" s="58">
        <f>IF(AND($AE$8=1, AF42&lt;&gt;""), 1-AF42, AM42)</f>
        <v>0.10000000000000009</v>
      </c>
      <c r="AN43" s="59">
        <f>IF(AND($AE$8=1, AF42&lt;&gt;""), 0, AN42)</f>
        <v>0</v>
      </c>
      <c r="AO43" s="58">
        <f>IF($AE$8=1,AG42,AO42)</f>
        <v>0.44999999999999996</v>
      </c>
      <c r="AP43" s="59">
        <f>IF($AE$8=1,AH42,0)</f>
        <v>0.78982430570133544</v>
      </c>
      <c r="AQ43" s="58">
        <f>IF(AF42&lt;&gt;"",AQ42+(0.5*$AE$7),0)</f>
        <v>0.91499999999999992</v>
      </c>
      <c r="AR43" s="55">
        <f>IF(AF42&lt;&gt;"",-COS(0.5)*$AE$7*$AE$5,0)</f>
        <v>-2.632747685671118E-2</v>
      </c>
      <c r="AS43" s="55">
        <f>AQ43</f>
        <v>0.91499999999999992</v>
      </c>
      <c r="AT43" s="59">
        <f>AR43</f>
        <v>-2.632747685671118E-2</v>
      </c>
      <c r="AU43" s="58">
        <f>IF(AF43&lt;&gt;"",AG43+1+$AE$9+($AE$7*0.5), $AL$7)</f>
        <v>1.6349999999999998</v>
      </c>
      <c r="AV43" s="59">
        <f>AJ43</f>
        <v>0.81615178255804666</v>
      </c>
      <c r="AW43" s="58">
        <f>AI43+1+$AE$9+0.5*$AE$7</f>
        <v>1.7799999999999998</v>
      </c>
      <c r="AX43" s="59">
        <f>AH43</f>
        <v>0.78982430570133544</v>
      </c>
      <c r="AY43" s="58">
        <f>AK43+1+$AE$9</f>
        <v>1.65</v>
      </c>
      <c r="AZ43" s="59">
        <f>AL43</f>
        <v>0.78982430570133544</v>
      </c>
      <c r="BA43" s="58">
        <f>AM43+1+$AE$9</f>
        <v>1.3</v>
      </c>
      <c r="BB43" s="59">
        <f>AN43</f>
        <v>0</v>
      </c>
      <c r="BC43" s="58">
        <f>AO43+1+$AE$9</f>
        <v>1.65</v>
      </c>
      <c r="BD43" s="59">
        <f>AP43</f>
        <v>0.78982430570133544</v>
      </c>
      <c r="BE43" s="58">
        <f>AQ43+1+$AE$9</f>
        <v>2.1150000000000002</v>
      </c>
      <c r="BF43" s="55">
        <f>AR43</f>
        <v>-2.632747685671118E-2</v>
      </c>
      <c r="BG43" s="55">
        <f>IF(AF43&lt;&gt;"",AS43+1+$AE$9-$AE$7,BC42)</f>
        <v>2.0850000000000004</v>
      </c>
      <c r="BH43" s="59">
        <f>IF(AF43&lt;&gt;"",AT43,0)</f>
        <v>-2.632747685671118E-2</v>
      </c>
      <c r="BI43" s="58">
        <f>AU43-$AL$8+$AO$8</f>
        <v>1.0349999999999999</v>
      </c>
      <c r="BJ43" s="59">
        <f>AV43+$AP$9-$AM$7</f>
        <v>1.8692508568264943</v>
      </c>
      <c r="BK43" s="58">
        <f>AI43+$AO$10-$AI$9</f>
        <v>1.165</v>
      </c>
      <c r="BL43" s="59">
        <f>AJ43+$AP$9-$AJ$7</f>
        <v>1.8692508568264943</v>
      </c>
      <c r="BM43" s="58">
        <f>IF(AND($AE$8=1,AF43&lt;&gt;""), BM42+0.5, $BI$15)</f>
        <v>1.55</v>
      </c>
      <c r="BN43" s="59">
        <f>IF(AND($AE$8=1,AF43&lt;&gt;""), BN42-$AM$7, $BJ$15)</f>
        <v>0.96534081807940986</v>
      </c>
      <c r="BO43" s="58">
        <f>IF(AND($AE$8=1,AF43&lt;&gt;""), BO42-0.5, $BK$15)</f>
        <v>0.65000000000000036</v>
      </c>
      <c r="BP43" s="59">
        <f>IF(AND($AE$8=1,AF43&lt;&gt;""), BP42-$AM$7, $BL$15)</f>
        <v>0.96534081807940986</v>
      </c>
    </row>
    <row r="44" spans="1:68" x14ac:dyDescent="0.25">
      <c r="A44" s="37"/>
      <c r="B44" s="38"/>
      <c r="C44" s="37"/>
      <c r="D44" s="2"/>
      <c r="E44" s="2"/>
      <c r="F44" s="38"/>
      <c r="G44" s="37"/>
      <c r="H44" s="2"/>
      <c r="I44" s="3"/>
      <c r="J44" s="90" t="str">
        <f>IF(C44&lt;&gt;"",$C44/'Elements and ions'!$B$12,"")</f>
        <v/>
      </c>
      <c r="K44" s="65" t="str">
        <f>IF(D44&lt;&gt;"",$D44/'Elements and ions'!$B$20,"")</f>
        <v/>
      </c>
      <c r="L44" s="65" t="str">
        <f>IF(E44&lt;&gt;"",$E44/'Elements and ions'!$B$21*2,"")</f>
        <v/>
      </c>
      <c r="M44" s="81" t="str">
        <f>IF(F44&lt;&gt;"",$F44/'Elements and ions'!$B$13*2,"")</f>
        <v/>
      </c>
      <c r="N44" s="80" t="str">
        <f>IF(G44&lt;&gt;"",-$G44/'Elements and ions'!$F$3,"")</f>
        <v/>
      </c>
      <c r="O44" s="65" t="str">
        <f>IF(H44&lt;&gt;"",-$H44/'Elements and ions'!$B$18,"")</f>
        <v/>
      </c>
      <c r="P44" s="81" t="str">
        <f>IF(I44&lt;&gt;"",-2*$I44/'Elements and ions'!$F$4,"")</f>
        <v/>
      </c>
      <c r="Q44" s="80" t="str">
        <f t="shared" si="0"/>
        <v/>
      </c>
      <c r="R44" s="65" t="str">
        <f t="shared" si="1"/>
        <v/>
      </c>
      <c r="S44" s="81" t="str">
        <f t="shared" si="2"/>
        <v/>
      </c>
      <c r="T44" s="80" t="str">
        <f t="shared" si="3"/>
        <v/>
      </c>
      <c r="U44" s="65" t="str">
        <f t="shared" si="4"/>
        <v/>
      </c>
      <c r="V44" s="91" t="str">
        <f t="shared" si="5"/>
        <v/>
      </c>
      <c r="W44" s="70" t="str">
        <f t="shared" si="6"/>
        <v/>
      </c>
      <c r="X44" s="65" t="str">
        <f>IF(V44&lt;&gt;"",IF($V44&lt;&gt;0,(($V44+(0.5*T44))/100+1+$AE$9),-1),"")</f>
        <v/>
      </c>
      <c r="Y44" s="81" t="str">
        <f>IF(AND(W44&lt;&gt;-1,X44&lt;&gt;-1,W44&lt;&gt;"",X44&lt;&gt;"",AA44&lt;&gt;-1,Z44&lt;&gt;-1,AA44&lt;&gt;"",Z44&lt;&gt;""),(W44+X44)/2+(AA44-Z44)/(4*COS(0.5)*$AE$5),"")</f>
        <v/>
      </c>
      <c r="Z44" s="70" t="str">
        <f>IF(S44&lt;&gt;"",IF($S44&lt;&gt;"",((($S44*COS(0.5))*$AE$5)/100),-1),"")</f>
        <v/>
      </c>
      <c r="AA44" s="65" t="str">
        <f>IF(T44&lt;&gt;"",IF($T44&lt;&gt;"",((($T44*COS(0.5))*$AE$5)/100),-1),"")</f>
        <v/>
      </c>
      <c r="AB44" s="66" t="str">
        <f>IF(Y44&lt;&gt;"",2*COS(0.5)*$AE$5*(X44-W44)/2+(AA44+Z44)/2,"")</f>
        <v/>
      </c>
      <c r="AC44" s="5"/>
      <c r="AE44" s="51"/>
      <c r="AF44" s="97">
        <f t="shared" si="7"/>
        <v>0.89999999999999991</v>
      </c>
      <c r="AG44" s="58">
        <f>IF(AF44&lt;&gt;"", (AF44*0.5), AG39)</f>
        <v>0.44999999999999996</v>
      </c>
      <c r="AH44" s="59">
        <f>IF(AF44&lt;&gt;"", (AF44*COS(0.5)*$AE$5), AH41)</f>
        <v>0.78982430570133544</v>
      </c>
      <c r="AI44" s="58">
        <f>IF(AF44&lt;&gt;"", 1-(AF44*0.5), AI39)</f>
        <v>0.55000000000000004</v>
      </c>
      <c r="AJ44" s="59">
        <f>IF(AF44&lt;&gt;"", (AF44*COS(0.5)*$AE$5), AJ41)</f>
        <v>0.78982430570133544</v>
      </c>
      <c r="AK44" s="58"/>
      <c r="AL44" s="59"/>
      <c r="AM44" s="58"/>
      <c r="AN44" s="59"/>
      <c r="AO44" s="58"/>
      <c r="AP44" s="59"/>
      <c r="AQ44" s="58">
        <f>IF(AF42&lt;&gt;"", AF42, 0)</f>
        <v>0.89999999999999991</v>
      </c>
      <c r="AR44" s="55">
        <v>0</v>
      </c>
      <c r="AS44" s="55">
        <f>AQ44</f>
        <v>0.89999999999999991</v>
      </c>
      <c r="AT44" s="59">
        <f>AR44</f>
        <v>0</v>
      </c>
      <c r="AU44" s="58">
        <f>IF(AF44&lt;&gt;"",AG44+1+$AE$9, $AL$7)</f>
        <v>1.65</v>
      </c>
      <c r="AV44" s="59">
        <f>AJ44</f>
        <v>0.78982430570133544</v>
      </c>
      <c r="AW44" s="58">
        <f>AI44+1+$AE$9</f>
        <v>1.75</v>
      </c>
      <c r="AX44" s="59">
        <f>AH44</f>
        <v>0.78982430570133544</v>
      </c>
      <c r="AY44" s="58"/>
      <c r="AZ44" s="59"/>
      <c r="BA44" s="58"/>
      <c r="BB44" s="59"/>
      <c r="BC44" s="58"/>
      <c r="BD44" s="59"/>
      <c r="BE44" s="58">
        <f>AQ44+1+$AE$9</f>
        <v>2.1</v>
      </c>
      <c r="BF44" s="55">
        <f>AR44</f>
        <v>0</v>
      </c>
      <c r="BG44" s="55">
        <f t="shared" ref="BG44" si="16">BG42</f>
        <v>2.1</v>
      </c>
      <c r="BH44" s="59">
        <f>IF(AF44&lt;&gt;"",AT44,0)</f>
        <v>0</v>
      </c>
      <c r="BI44" s="58">
        <f>AU44-$AL$8+$AO$8</f>
        <v>1.05</v>
      </c>
      <c r="BJ44" s="59">
        <f>AV44+$AP$9-$AM$7</f>
        <v>1.8429233799697826</v>
      </c>
      <c r="BK44" s="58">
        <f>AI44+$AO$10-$AI$9</f>
        <v>1.1500000000000004</v>
      </c>
      <c r="BL44" s="59">
        <f>AJ44+$AP$9-$AJ$7</f>
        <v>1.8429233799697826</v>
      </c>
      <c r="BM44" s="58"/>
      <c r="BN44" s="59"/>
      <c r="BO44" s="58"/>
      <c r="BP44" s="59"/>
    </row>
    <row r="45" spans="1:68" x14ac:dyDescent="0.25">
      <c r="A45" s="37"/>
      <c r="B45" s="38"/>
      <c r="C45" s="37"/>
      <c r="D45" s="2"/>
      <c r="E45" s="2"/>
      <c r="F45" s="38"/>
      <c r="G45" s="37"/>
      <c r="H45" s="2"/>
      <c r="I45" s="3"/>
      <c r="J45" s="90" t="str">
        <f>IF(C45&lt;&gt;"",$C45/'Elements and ions'!$B$12,"")</f>
        <v/>
      </c>
      <c r="K45" s="65" t="str">
        <f>IF(D45&lt;&gt;"",$D45/'Elements and ions'!$B$20,"")</f>
        <v/>
      </c>
      <c r="L45" s="65" t="str">
        <f>IF(E45&lt;&gt;"",$E45/'Elements and ions'!$B$21*2,"")</f>
        <v/>
      </c>
      <c r="M45" s="81" t="str">
        <f>IF(F45&lt;&gt;"",$F45/'Elements and ions'!$B$13*2,"")</f>
        <v/>
      </c>
      <c r="N45" s="80" t="str">
        <f>IF(G45&lt;&gt;"",-$G45/'Elements and ions'!$F$3,"")</f>
        <v/>
      </c>
      <c r="O45" s="65" t="str">
        <f>IF(H45&lt;&gt;"",-$H45/'Elements and ions'!$B$18,"")</f>
        <v/>
      </c>
      <c r="P45" s="81" t="str">
        <f>IF(I45&lt;&gt;"",-2*$I45/'Elements and ions'!$F$4,"")</f>
        <v/>
      </c>
      <c r="Q45" s="80" t="str">
        <f t="shared" si="0"/>
        <v/>
      </c>
      <c r="R45" s="65" t="str">
        <f t="shared" si="1"/>
        <v/>
      </c>
      <c r="S45" s="81" t="str">
        <f t="shared" si="2"/>
        <v/>
      </c>
      <c r="T45" s="80" t="str">
        <f t="shared" si="3"/>
        <v/>
      </c>
      <c r="U45" s="65" t="str">
        <f t="shared" si="4"/>
        <v/>
      </c>
      <c r="V45" s="91" t="str">
        <f t="shared" si="5"/>
        <v/>
      </c>
      <c r="W45" s="70" t="str">
        <f t="shared" si="6"/>
        <v/>
      </c>
      <c r="X45" s="65" t="str">
        <f>IF(V45&lt;&gt;"",IF($V45&lt;&gt;0,(($V45+(0.5*T45))/100+1+$AE$9),-1),"")</f>
        <v/>
      </c>
      <c r="Y45" s="81" t="str">
        <f>IF(AND(W45&lt;&gt;-1,X45&lt;&gt;-1,W45&lt;&gt;"",X45&lt;&gt;"",AA45&lt;&gt;-1,Z45&lt;&gt;-1,AA45&lt;&gt;"",Z45&lt;&gt;""),(W45+X45)/2+(AA45-Z45)/(4*COS(0.5)*$AE$5),"")</f>
        <v/>
      </c>
      <c r="Z45" s="70" t="str">
        <f>IF(S45&lt;&gt;"",IF($S45&lt;&gt;"",((($S45*COS(0.5))*$AE$5)/100),-1),"")</f>
        <v/>
      </c>
      <c r="AA45" s="65" t="str">
        <f>IF(T45&lt;&gt;"",IF($T45&lt;&gt;"",((($T45*COS(0.5))*$AE$5)/100),-1),"")</f>
        <v/>
      </c>
      <c r="AB45" s="66" t="str">
        <f>IF(Y45&lt;&gt;"",2*COS(0.5)*$AE$5*(X45-W45)/2+(AA45+Z45)/2,"")</f>
        <v/>
      </c>
      <c r="AC45" s="5"/>
      <c r="AE45" s="51"/>
      <c r="AF45" s="97">
        <f>IF(AND($AE$6&gt;0, $AE$7&gt;0, AF42&lt;1), AF42+$AE$6, "")</f>
        <v>0.99999999999999989</v>
      </c>
      <c r="AG45" s="58">
        <f>IF(AF45&lt;&gt;"", (AF45*0.5), AG42)</f>
        <v>0.49999999999999994</v>
      </c>
      <c r="AH45" s="59">
        <f>IF(AF45&lt;&gt;"", (AF45*COS(0.5)*$AE$5), AH42)</f>
        <v>0.87758256189037265</v>
      </c>
      <c r="AI45" s="58">
        <f>IF(AF45&lt;&gt;"", 1-(AF45*0.5), AI42)</f>
        <v>0.5</v>
      </c>
      <c r="AJ45" s="59">
        <f>IF(AF45&lt;&gt;"", (AF45*COS(0.5)*$AE$5), AJ42)</f>
        <v>0.87758256189037265</v>
      </c>
      <c r="AK45" s="58">
        <f>IF($AE$8=1, AI45, AK42)</f>
        <v>0.5</v>
      </c>
      <c r="AL45" s="59">
        <f>IF($AE$8=1, AJ45, AL42)</f>
        <v>0.87758256189037265</v>
      </c>
      <c r="AM45" s="58">
        <f>IF(AND($AE$8=1, AF45&lt;&gt;""), AI45, AM42)</f>
        <v>0.5</v>
      </c>
      <c r="AN45" s="59">
        <f>IF(AND($AE$8=1, AF45&lt;&gt;""), AJ45, AN42)</f>
        <v>0.87758256189037265</v>
      </c>
      <c r="AO45" s="58">
        <f>IF($AE$8=1,AQ45,AO42)</f>
        <v>0.99999999999999989</v>
      </c>
      <c r="AP45" s="59">
        <v>0</v>
      </c>
      <c r="AQ45" s="58">
        <f>IF(AF45&lt;&gt;"", AF45, 0)</f>
        <v>0.99999999999999989</v>
      </c>
      <c r="AR45" s="55">
        <v>0</v>
      </c>
      <c r="AS45" s="55">
        <f>AQ45</f>
        <v>0.99999999999999989</v>
      </c>
      <c r="AT45" s="59">
        <f>AR45</f>
        <v>0</v>
      </c>
      <c r="AU45" s="58">
        <f>IF(AF45&lt;&gt;"",AG45+1+$AE$9, $AL$7)</f>
        <v>1.7</v>
      </c>
      <c r="AV45" s="59">
        <f>AJ45</f>
        <v>0.87758256189037265</v>
      </c>
      <c r="AW45" s="58">
        <f>AI45+1+$AE$9</f>
        <v>1.7</v>
      </c>
      <c r="AX45" s="59">
        <f>AH45</f>
        <v>0.87758256189037265</v>
      </c>
      <c r="AY45" s="58">
        <f>AK45+1+$AE$9</f>
        <v>1.7</v>
      </c>
      <c r="AZ45" s="59">
        <f>AL45</f>
        <v>0.87758256189037265</v>
      </c>
      <c r="BA45" s="58">
        <f>AM45+1+$AE$9</f>
        <v>1.7</v>
      </c>
      <c r="BB45" s="59">
        <f>AN45</f>
        <v>0.87758256189037265</v>
      </c>
      <c r="BC45" s="58">
        <f>AO45+1+$AE$9</f>
        <v>2.2000000000000002</v>
      </c>
      <c r="BD45" s="59">
        <f>AP45</f>
        <v>0</v>
      </c>
      <c r="BE45" s="58">
        <f>AQ45+1+$AE$9</f>
        <v>2.2000000000000002</v>
      </c>
      <c r="BF45" s="55">
        <f>AR45</f>
        <v>0</v>
      </c>
      <c r="BG45" s="55">
        <f>IF(AF45&lt;&gt;"",AS45+1+$AE$9,BC45)</f>
        <v>2.2000000000000002</v>
      </c>
      <c r="BH45" s="59">
        <f>IF(AF45&lt;&gt;"",AT45,0)</f>
        <v>0</v>
      </c>
      <c r="BI45" s="58">
        <f>AU45-$AL$8+$AO$8</f>
        <v>1.1000000000000001</v>
      </c>
      <c r="BJ45" s="59">
        <f>AV45+$AP$9-$AM$7</f>
        <v>1.9306816361588202</v>
      </c>
      <c r="BK45" s="58">
        <f>AI45+$AO$10-$AI$9</f>
        <v>1.1000000000000001</v>
      </c>
      <c r="BL45" s="59">
        <f>AJ45+$AP$9-$AJ$7</f>
        <v>1.9306816361588202</v>
      </c>
      <c r="BM45" s="58">
        <f>IF(AND($AE$8=1,AF45&lt;&gt;""), BI45, $BI$15)</f>
        <v>1.1000000000000001</v>
      </c>
      <c r="BN45" s="59">
        <f>IF(AND($AE$8=1,AF45&lt;&gt;""), BJ45, $BJ$15)</f>
        <v>1.9306816361588202</v>
      </c>
      <c r="BO45" s="58">
        <f>IF(AND($AE$8=1,AF45&lt;&gt;""), BK45, $BK$15)</f>
        <v>1.1000000000000001</v>
      </c>
      <c r="BP45" s="59">
        <f>IF(AND($AE$8=1,AF45&lt;&gt;""), BL45, $BJ$15)</f>
        <v>1.9306816361588202</v>
      </c>
    </row>
    <row r="46" spans="1:68" x14ac:dyDescent="0.25">
      <c r="A46" s="37"/>
      <c r="B46" s="38"/>
      <c r="C46" s="37"/>
      <c r="D46" s="2"/>
      <c r="E46" s="2"/>
      <c r="F46" s="38"/>
      <c r="G46" s="37"/>
      <c r="H46" s="2"/>
      <c r="I46" s="3"/>
      <c r="J46" s="90" t="str">
        <f>IF(C46&lt;&gt;"",$C46/'Elements and ions'!$B$12,"")</f>
        <v/>
      </c>
      <c r="K46" s="65" t="str">
        <f>IF(D46&lt;&gt;"",$D46/'Elements and ions'!$B$20,"")</f>
        <v/>
      </c>
      <c r="L46" s="65" t="str">
        <f>IF(E46&lt;&gt;"",$E46/'Elements and ions'!$B$21*2,"")</f>
        <v/>
      </c>
      <c r="M46" s="81" t="str">
        <f>IF(F46&lt;&gt;"",$F46/'Elements and ions'!$B$13*2,"")</f>
        <v/>
      </c>
      <c r="N46" s="80" t="str">
        <f>IF(G46&lt;&gt;"",-$G46/'Elements and ions'!$F$3,"")</f>
        <v/>
      </c>
      <c r="O46" s="65" t="str">
        <f>IF(H46&lt;&gt;"",-$H46/'Elements and ions'!$B$18,"")</f>
        <v/>
      </c>
      <c r="P46" s="81" t="str">
        <f>IF(I46&lt;&gt;"",-2*$I46/'Elements and ions'!$F$4,"")</f>
        <v/>
      </c>
      <c r="Q46" s="80" t="str">
        <f t="shared" si="0"/>
        <v/>
      </c>
      <c r="R46" s="65" t="str">
        <f t="shared" si="1"/>
        <v/>
      </c>
      <c r="S46" s="81" t="str">
        <f t="shared" si="2"/>
        <v/>
      </c>
      <c r="T46" s="80" t="str">
        <f t="shared" si="3"/>
        <v/>
      </c>
      <c r="U46" s="65" t="str">
        <f t="shared" si="4"/>
        <v/>
      </c>
      <c r="V46" s="91" t="str">
        <f t="shared" si="5"/>
        <v/>
      </c>
      <c r="W46" s="70" t="str">
        <f t="shared" si="6"/>
        <v/>
      </c>
      <c r="X46" s="65" t="str">
        <f>IF(V46&lt;&gt;"",IF($V46&lt;&gt;0,(($V46+(0.5*T46))/100+1+$AE$9),-1),"")</f>
        <v/>
      </c>
      <c r="Y46" s="81" t="str">
        <f>IF(AND(W46&lt;&gt;-1,X46&lt;&gt;-1,W46&lt;&gt;"",X46&lt;&gt;"",AA46&lt;&gt;-1,Z46&lt;&gt;-1,AA46&lt;&gt;"",Z46&lt;&gt;""),(W46+X46)/2+(AA46-Z46)/(4*COS(0.5)*$AE$5),"")</f>
        <v/>
      </c>
      <c r="Z46" s="70" t="str">
        <f>IF(S46&lt;&gt;"",IF($S46&lt;&gt;"",((($S46*COS(0.5))*$AE$5)/100),-1),"")</f>
        <v/>
      </c>
      <c r="AA46" s="65" t="str">
        <f>IF(T46&lt;&gt;"",IF($T46&lt;&gt;"",((($T46*COS(0.5))*$AE$5)/100),-1),"")</f>
        <v/>
      </c>
      <c r="AB46" s="66" t="str">
        <f>IF(Y46&lt;&gt;"",2*COS(0.5)*$AE$5*(X46-W46)/2+(AA46+Z46)/2,"")</f>
        <v/>
      </c>
      <c r="AC46" s="5"/>
      <c r="AE46" s="51"/>
      <c r="AF46" s="97">
        <f t="shared" si="7"/>
        <v>0.99999999999999989</v>
      </c>
      <c r="AG46" s="58">
        <f>IF(AF46&lt;&gt;"", ((AF46*0.5)-$AE$7), AG42)</f>
        <v>0.47</v>
      </c>
      <c r="AH46" s="59">
        <f>IF(AF46&lt;&gt;"", (AF46*COS(0.5)*$AE$5), AH43)</f>
        <v>0.87758256189037265</v>
      </c>
      <c r="AI46" s="58">
        <f>IF(AF46&lt;&gt;"", AI45+($AE$7*0.5), AI42)</f>
        <v>0.51500000000000001</v>
      </c>
      <c r="AJ46" s="59">
        <f>IF(AF46&lt;&gt;"", AJ45+($AE$7*COS(0.5)*$AE$5), AJ42)</f>
        <v>0.90391003874708387</v>
      </c>
      <c r="AK46" s="58">
        <f>IF($AE$8=1, AG45, AK42)</f>
        <v>0.49999999999999994</v>
      </c>
      <c r="AL46" s="59">
        <f>IF($AE$8=1, AJ45, AL42)</f>
        <v>0.87758256189037265</v>
      </c>
      <c r="AM46" s="58">
        <f>IF(AND($AE$8=1, AF45&lt;&gt;""), 1-AF45, AM45)</f>
        <v>1.1102230246251565E-16</v>
      </c>
      <c r="AN46" s="59">
        <f>IF(AND($AE$8=1, AF45&lt;&gt;""), 0, AN45)</f>
        <v>0</v>
      </c>
      <c r="AO46" s="58">
        <f>IF($AE$8=1,AG45,AO45)</f>
        <v>0.49999999999999994</v>
      </c>
      <c r="AP46" s="59">
        <f>IF($AE$8=1,AH45,0)</f>
        <v>0.87758256189037265</v>
      </c>
      <c r="AQ46" s="58">
        <f>IF(AF45&lt;&gt;"",AQ45+(0.5*$AE$7),0)</f>
        <v>1.0149999999999999</v>
      </c>
      <c r="AR46" s="55">
        <f>IF(AF45&lt;&gt;"",-COS(0.5)*$AE$7*$AE$5,0)</f>
        <v>-2.632747685671118E-2</v>
      </c>
      <c r="AS46" s="55">
        <f>AQ46</f>
        <v>1.0149999999999999</v>
      </c>
      <c r="AT46" s="59">
        <f>AR46</f>
        <v>-2.632747685671118E-2</v>
      </c>
      <c r="AU46" s="58">
        <f>IF(AF46&lt;&gt;"",AG46+1+$AE$9+($AE$7*0.5), $AL$7)</f>
        <v>1.6849999999999998</v>
      </c>
      <c r="AV46" s="59">
        <f>AJ46</f>
        <v>0.90391003874708387</v>
      </c>
      <c r="AW46" s="58">
        <f>AI46+1+$AE$9+0.5*$AE$7</f>
        <v>1.73</v>
      </c>
      <c r="AX46" s="59">
        <f>AH46</f>
        <v>0.87758256189037265</v>
      </c>
      <c r="AY46" s="58">
        <f>AK46+1+$AE$9</f>
        <v>1.7</v>
      </c>
      <c r="AZ46" s="59">
        <f>AL46</f>
        <v>0.87758256189037265</v>
      </c>
      <c r="BA46" s="58">
        <f>AM46+1+$AE$9</f>
        <v>1.2</v>
      </c>
      <c r="BB46" s="59">
        <f>AN46</f>
        <v>0</v>
      </c>
      <c r="BC46" s="58">
        <f>AO46+1+$AE$9</f>
        <v>1.7</v>
      </c>
      <c r="BD46" s="59">
        <f>AP46</f>
        <v>0.87758256189037265</v>
      </c>
      <c r="BE46" s="58">
        <f>AQ46+1+$AE$9</f>
        <v>2.2149999999999999</v>
      </c>
      <c r="BF46" s="55">
        <f>AR46</f>
        <v>-2.632747685671118E-2</v>
      </c>
      <c r="BG46" s="55">
        <f>IF(AF46&lt;&gt;"",AS46+1+$AE$9-$AE$7,BC45)</f>
        <v>2.1850000000000001</v>
      </c>
      <c r="BH46" s="59">
        <f>IF(AF46&lt;&gt;"",AT46,0)</f>
        <v>-2.632747685671118E-2</v>
      </c>
      <c r="BI46" s="58">
        <f>AU46-$AL$8+$AO$8</f>
        <v>1.085</v>
      </c>
      <c r="BJ46" s="59">
        <f>AV46+$AP$9-$AM$7</f>
        <v>1.9570091130155314</v>
      </c>
      <c r="BK46" s="58">
        <f>AI46+$AO$10-$AI$9</f>
        <v>1.1150000000000002</v>
      </c>
      <c r="BL46" s="59">
        <f>AJ46+$AP$9-$AJ$7</f>
        <v>1.9570091130155314</v>
      </c>
      <c r="BM46" s="58">
        <f>IF(AND($AE$8=1,AF46&lt;&gt;""), BM45+0.5, $BI$15)</f>
        <v>1.6</v>
      </c>
      <c r="BN46" s="59">
        <f>IF(AND($AE$8=1,AF46&lt;&gt;""), BN45-$AM$7, $BJ$15)</f>
        <v>1.0530990742684474</v>
      </c>
      <c r="BO46" s="58">
        <f>IF(AND($AE$8=1,AF46&lt;&gt;""), BO45-0.5, $BK$15)</f>
        <v>0.60000000000000009</v>
      </c>
      <c r="BP46" s="59">
        <f>IF(AND($AE$8=1,AF46&lt;&gt;""), BP45-$AM$7, $BL$15)</f>
        <v>1.0530990742684474</v>
      </c>
    </row>
    <row r="47" spans="1:68" x14ac:dyDescent="0.25">
      <c r="A47" s="37"/>
      <c r="B47" s="38"/>
      <c r="C47" s="37"/>
      <c r="D47" s="2"/>
      <c r="E47" s="2"/>
      <c r="F47" s="38"/>
      <c r="G47" s="37"/>
      <c r="H47" s="2"/>
      <c r="I47" s="3"/>
      <c r="J47" s="90" t="str">
        <f>IF(C47&lt;&gt;"",$C47/'Elements and ions'!$B$12,"")</f>
        <v/>
      </c>
      <c r="K47" s="65" t="str">
        <f>IF(D47&lt;&gt;"",$D47/'Elements and ions'!$B$20,"")</f>
        <v/>
      </c>
      <c r="L47" s="65" t="str">
        <f>IF(E47&lt;&gt;"",$E47/'Elements and ions'!$B$21*2,"")</f>
        <v/>
      </c>
      <c r="M47" s="81" t="str">
        <f>IF(F47&lt;&gt;"",$F47/'Elements and ions'!$B$13*2,"")</f>
        <v/>
      </c>
      <c r="N47" s="80" t="str">
        <f>IF(G47&lt;&gt;"",-$G47/'Elements and ions'!$F$3,"")</f>
        <v/>
      </c>
      <c r="O47" s="65" t="str">
        <f>IF(H47&lt;&gt;"",-$H47/'Elements and ions'!$B$18,"")</f>
        <v/>
      </c>
      <c r="P47" s="81" t="str">
        <f>IF(I47&lt;&gt;"",-2*$I47/'Elements and ions'!$F$4,"")</f>
        <v/>
      </c>
      <c r="Q47" s="80" t="str">
        <f t="shared" si="0"/>
        <v/>
      </c>
      <c r="R47" s="65" t="str">
        <f t="shared" si="1"/>
        <v/>
      </c>
      <c r="S47" s="81" t="str">
        <f t="shared" si="2"/>
        <v/>
      </c>
      <c r="T47" s="80" t="str">
        <f t="shared" si="3"/>
        <v/>
      </c>
      <c r="U47" s="65" t="str">
        <f t="shared" si="4"/>
        <v/>
      </c>
      <c r="V47" s="91" t="str">
        <f t="shared" si="5"/>
        <v/>
      </c>
      <c r="W47" s="70" t="str">
        <f t="shared" si="6"/>
        <v/>
      </c>
      <c r="X47" s="65" t="str">
        <f>IF(V47&lt;&gt;"",IF($V47&lt;&gt;0,(($V47+(0.5*T47))/100+1+$AE$9),-1),"")</f>
        <v/>
      </c>
      <c r="Y47" s="81" t="str">
        <f>IF(AND(W47&lt;&gt;-1,X47&lt;&gt;-1,W47&lt;&gt;"",X47&lt;&gt;"",AA47&lt;&gt;-1,Z47&lt;&gt;-1,AA47&lt;&gt;"",Z47&lt;&gt;""),(W47+X47)/2+(AA47-Z47)/(4*COS(0.5)*$AE$5),"")</f>
        <v/>
      </c>
      <c r="Z47" s="70" t="str">
        <f>IF(S47&lt;&gt;"",IF($S47&lt;&gt;"",((($S47*COS(0.5))*$AE$5)/100),-1),"")</f>
        <v/>
      </c>
      <c r="AA47" s="65" t="str">
        <f>IF(T47&lt;&gt;"",IF($T47&lt;&gt;"",((($T47*COS(0.5))*$AE$5)/100),-1),"")</f>
        <v/>
      </c>
      <c r="AB47" s="66" t="str">
        <f>IF(Y47&lt;&gt;"",2*COS(0.5)*$AE$5*(X47-W47)/2+(AA47+Z47)/2,"")</f>
        <v/>
      </c>
      <c r="AC47" s="5"/>
      <c r="AE47" s="51"/>
      <c r="AF47" s="97">
        <f t="shared" si="7"/>
        <v>0.99999999999999989</v>
      </c>
      <c r="AG47" s="58">
        <f>IF(AF47&lt;&gt;"", (AF47*0.5), AG42)</f>
        <v>0.49999999999999994</v>
      </c>
      <c r="AH47" s="59">
        <f>IF(AF47&lt;&gt;"", (AF47*COS(0.5)*$AE$5), AH44)</f>
        <v>0.87758256189037265</v>
      </c>
      <c r="AI47" s="58">
        <f>IF(AF47&lt;&gt;"", 1-(AF47*0.5), AI42)</f>
        <v>0.5</v>
      </c>
      <c r="AJ47" s="59">
        <f>IF(AF47&lt;&gt;"", (AF47*COS(0.5)*$AE$5), AJ44)</f>
        <v>0.87758256189037265</v>
      </c>
      <c r="AK47" s="58"/>
      <c r="AL47" s="59"/>
      <c r="AM47" s="58"/>
      <c r="AN47" s="59"/>
      <c r="AO47" s="58"/>
      <c r="AP47" s="59"/>
      <c r="AQ47" s="58">
        <f>IF(AF45&lt;&gt;"", AF45, 0)</f>
        <v>0.99999999999999989</v>
      </c>
      <c r="AR47" s="55">
        <v>0</v>
      </c>
      <c r="AS47" s="55">
        <f>AQ47</f>
        <v>0.99999999999999989</v>
      </c>
      <c r="AT47" s="59">
        <f>AR47</f>
        <v>0</v>
      </c>
      <c r="AU47" s="58">
        <f>IF(AF47&lt;&gt;"",AG47+1+$AE$9, $AL$7)</f>
        <v>1.7</v>
      </c>
      <c r="AV47" s="59">
        <f>AJ47</f>
        <v>0.87758256189037265</v>
      </c>
      <c r="AW47" s="58">
        <f>AI47+1+$AE$9</f>
        <v>1.7</v>
      </c>
      <c r="AX47" s="59">
        <f>AH47</f>
        <v>0.87758256189037265</v>
      </c>
      <c r="AY47" s="58"/>
      <c r="AZ47" s="59"/>
      <c r="BA47" s="58"/>
      <c r="BB47" s="59"/>
      <c r="BC47" s="58"/>
      <c r="BD47" s="59"/>
      <c r="BE47" s="58">
        <f>AQ47+1+$AE$9</f>
        <v>2.2000000000000002</v>
      </c>
      <c r="BF47" s="55">
        <f>AR47</f>
        <v>0</v>
      </c>
      <c r="BG47" s="55">
        <f t="shared" ref="BG47" si="17">BG45</f>
        <v>2.2000000000000002</v>
      </c>
      <c r="BH47" s="59">
        <f>IF(AF47&lt;&gt;"",AT47,0)</f>
        <v>0</v>
      </c>
      <c r="BI47" s="58">
        <f>AU47-$AL$8+$AO$8</f>
        <v>1.1000000000000001</v>
      </c>
      <c r="BJ47" s="59">
        <f>AV47+$AP$9-$AM$7</f>
        <v>1.9306816361588202</v>
      </c>
      <c r="BK47" s="58">
        <f>AI47+$AO$10-$AI$9</f>
        <v>1.1000000000000001</v>
      </c>
      <c r="BL47" s="59">
        <f>AJ47+$AP$9-$AJ$7</f>
        <v>1.9306816361588202</v>
      </c>
      <c r="BM47" s="58"/>
      <c r="BN47" s="59"/>
      <c r="BO47" s="58"/>
      <c r="BP47" s="59"/>
    </row>
    <row r="48" spans="1:68" x14ac:dyDescent="0.25">
      <c r="A48" s="37"/>
      <c r="B48" s="38"/>
      <c r="C48" s="37"/>
      <c r="D48" s="2"/>
      <c r="E48" s="2"/>
      <c r="F48" s="38"/>
      <c r="G48" s="37"/>
      <c r="H48" s="2"/>
      <c r="I48" s="3"/>
      <c r="J48" s="90" t="str">
        <f>IF(C48&lt;&gt;"",$C48/'Elements and ions'!$B$12,"")</f>
        <v/>
      </c>
      <c r="K48" s="65" t="str">
        <f>IF(D48&lt;&gt;"",$D48/'Elements and ions'!$B$20,"")</f>
        <v/>
      </c>
      <c r="L48" s="65" t="str">
        <f>IF(E48&lt;&gt;"",$E48/'Elements and ions'!$B$21*2,"")</f>
        <v/>
      </c>
      <c r="M48" s="81" t="str">
        <f>IF(F48&lt;&gt;"",$F48/'Elements and ions'!$B$13*2,"")</f>
        <v/>
      </c>
      <c r="N48" s="80" t="str">
        <f>IF(G48&lt;&gt;"",-$G48/'Elements and ions'!$F$3,"")</f>
        <v/>
      </c>
      <c r="O48" s="65" t="str">
        <f>IF(H48&lt;&gt;"",-$H48/'Elements and ions'!$B$18,"")</f>
        <v/>
      </c>
      <c r="P48" s="81" t="str">
        <f>IF(I48&lt;&gt;"",-2*$I48/'Elements and ions'!$F$4,"")</f>
        <v/>
      </c>
      <c r="Q48" s="80" t="str">
        <f t="shared" si="0"/>
        <v/>
      </c>
      <c r="R48" s="65" t="str">
        <f t="shared" si="1"/>
        <v/>
      </c>
      <c r="S48" s="81" t="str">
        <f t="shared" si="2"/>
        <v/>
      </c>
      <c r="T48" s="80" t="str">
        <f t="shared" si="3"/>
        <v/>
      </c>
      <c r="U48" s="65" t="str">
        <f t="shared" si="4"/>
        <v/>
      </c>
      <c r="V48" s="91" t="str">
        <f t="shared" si="5"/>
        <v/>
      </c>
      <c r="W48" s="70" t="str">
        <f t="shared" si="6"/>
        <v/>
      </c>
      <c r="X48" s="65" t="str">
        <f>IF(V48&lt;&gt;"",IF($V48&lt;&gt;0,(($V48+(0.5*T48))/100+1+$AE$9),-1),"")</f>
        <v/>
      </c>
      <c r="Y48" s="81" t="str">
        <f>IF(AND(W48&lt;&gt;-1,X48&lt;&gt;-1,W48&lt;&gt;"",X48&lt;&gt;"",AA48&lt;&gt;-1,Z48&lt;&gt;-1,AA48&lt;&gt;"",Z48&lt;&gt;""),(W48+X48)/2+(AA48-Z48)/(4*COS(0.5)*$AE$5),"")</f>
        <v/>
      </c>
      <c r="Z48" s="70" t="str">
        <f>IF(S48&lt;&gt;"",IF($S48&lt;&gt;"",((($S48*COS(0.5))*$AE$5)/100),-1),"")</f>
        <v/>
      </c>
      <c r="AA48" s="65" t="str">
        <f>IF(T48&lt;&gt;"",IF($T48&lt;&gt;"",((($T48*COS(0.5))*$AE$5)/100),-1),"")</f>
        <v/>
      </c>
      <c r="AB48" s="66" t="str">
        <f>IF(Y48&lt;&gt;"",2*COS(0.5)*$AE$5*(X48-W48)/2+(AA48+Z48)/2,"")</f>
        <v/>
      </c>
      <c r="AC48" s="5"/>
      <c r="AE48" s="51"/>
      <c r="AF48" s="97" t="str">
        <f>IF(AND($AE$6&gt;0, $AE$7&gt;0, AF45&lt;1), AF45+$AE$6, "")</f>
        <v/>
      </c>
      <c r="AG48" s="58">
        <f>IF(AF48&lt;&gt;"", (AF48*0.5), AG45)</f>
        <v>0.49999999999999994</v>
      </c>
      <c r="AH48" s="59">
        <f>IF(AF48&lt;&gt;"", (AF48*COS(0.5)*$AE$5), AH45)</f>
        <v>0.87758256189037265</v>
      </c>
      <c r="AI48" s="58">
        <f>IF(AF48&lt;&gt;"", 1-(AF48*0.5), AI45)</f>
        <v>0.5</v>
      </c>
      <c r="AJ48" s="59">
        <f>IF(AF48&lt;&gt;"", (AF48*COS(0.5)*$AE$5), AJ45)</f>
        <v>0.87758256189037265</v>
      </c>
      <c r="AK48" s="58">
        <f>IF($AE$8=1, AI48, AK45)</f>
        <v>0.5</v>
      </c>
      <c r="AL48" s="59">
        <f>IF($AE$8=1, AJ48, AL45)</f>
        <v>0.87758256189037265</v>
      </c>
      <c r="AM48" s="58">
        <f>IF(AND($AE$8=1, AF48&lt;&gt;""), AI48, AM45)</f>
        <v>0.5</v>
      </c>
      <c r="AN48" s="59">
        <f>IF(AND($AE$8=1, AF48&lt;&gt;""), AJ48, AN45)</f>
        <v>0.87758256189037265</v>
      </c>
      <c r="AO48" s="58">
        <f>IF($AE$8=1,AQ48,AO45)</f>
        <v>0</v>
      </c>
      <c r="AP48" s="59">
        <v>0</v>
      </c>
      <c r="AQ48" s="58">
        <f>IF(AF48&lt;&gt;"", AF48, 0)</f>
        <v>0</v>
      </c>
      <c r="AR48" s="55">
        <v>0</v>
      </c>
      <c r="AS48" s="55">
        <f>AQ48</f>
        <v>0</v>
      </c>
      <c r="AT48" s="59">
        <f>AR48</f>
        <v>0</v>
      </c>
      <c r="AU48" s="58">
        <f>IF(AF48&lt;&gt;"",AG48+1+$AE$9, $AL$7)</f>
        <v>1.7</v>
      </c>
      <c r="AV48" s="59">
        <f>AJ48</f>
        <v>0.87758256189037265</v>
      </c>
      <c r="AW48" s="58">
        <f>AI48+1+$AE$9</f>
        <v>1.7</v>
      </c>
      <c r="AX48" s="59">
        <f>AH48</f>
        <v>0.87758256189037265</v>
      </c>
      <c r="AY48" s="58">
        <f>AK48+1+$AE$9</f>
        <v>1.7</v>
      </c>
      <c r="AZ48" s="59">
        <f>AL48</f>
        <v>0.87758256189037265</v>
      </c>
      <c r="BA48" s="58">
        <f>AM48+1+$AE$9</f>
        <v>1.7</v>
      </c>
      <c r="BB48" s="59">
        <f>AN48</f>
        <v>0.87758256189037265</v>
      </c>
      <c r="BC48" s="58">
        <f>AO48+1+$AE$9</f>
        <v>1.2</v>
      </c>
      <c r="BD48" s="59">
        <f>AP48</f>
        <v>0</v>
      </c>
      <c r="BE48" s="58">
        <f>AQ48+1+$AE$9</f>
        <v>1.2</v>
      </c>
      <c r="BF48" s="55">
        <f>AR48</f>
        <v>0</v>
      </c>
      <c r="BG48" s="55">
        <f>IF(AF48&lt;&gt;"",AS48+1+$AE$9,BC48)</f>
        <v>1.2</v>
      </c>
      <c r="BH48" s="59">
        <f>IF(AF48&lt;&gt;"",AT48,0)</f>
        <v>0</v>
      </c>
      <c r="BI48" s="58">
        <f>AU48-$AL$8+$AO$8</f>
        <v>1.1000000000000001</v>
      </c>
      <c r="BJ48" s="59">
        <f>AV48+$AP$9-$AM$7</f>
        <v>1.9306816361588202</v>
      </c>
      <c r="BK48" s="58">
        <f>AI48+$AO$10-$AI$9</f>
        <v>1.1000000000000001</v>
      </c>
      <c r="BL48" s="59">
        <f>AJ48+$AP$9-$AJ$7</f>
        <v>1.9306816361588202</v>
      </c>
      <c r="BM48" s="58">
        <f>IF(AND($AE$8=1,AF48&lt;&gt;""), BI48, $BI$15)</f>
        <v>0.60000000000000009</v>
      </c>
      <c r="BN48" s="59">
        <f>IF(AND($AE$8=1,AF48&lt;&gt;""), BJ48, $BJ$15)</f>
        <v>1.0530990742684474</v>
      </c>
      <c r="BO48" s="58">
        <f>IF(AND($AE$8=1,AF48&lt;&gt;""), BK48, $BK$15)</f>
        <v>1.6</v>
      </c>
      <c r="BP48" s="59">
        <f>IF(AND($AE$8=1,AF48&lt;&gt;""), BL48, $BJ$15)</f>
        <v>1.0530990742684474</v>
      </c>
    </row>
    <row r="49" spans="1:68" x14ac:dyDescent="0.25">
      <c r="A49" s="37"/>
      <c r="B49" s="38"/>
      <c r="C49" s="37"/>
      <c r="D49" s="2"/>
      <c r="E49" s="2"/>
      <c r="F49" s="38"/>
      <c r="G49" s="37"/>
      <c r="H49" s="2"/>
      <c r="I49" s="3"/>
      <c r="J49" s="90" t="str">
        <f>IF(C49&lt;&gt;"",$C49/'Elements and ions'!$B$12,"")</f>
        <v/>
      </c>
      <c r="K49" s="65" t="str">
        <f>IF(D49&lt;&gt;"",$D49/'Elements and ions'!$B$20,"")</f>
        <v/>
      </c>
      <c r="L49" s="65" t="str">
        <f>IF(E49&lt;&gt;"",$E49/'Elements and ions'!$B$21*2,"")</f>
        <v/>
      </c>
      <c r="M49" s="81" t="str">
        <f>IF(F49&lt;&gt;"",$F49/'Elements and ions'!$B$13*2,"")</f>
        <v/>
      </c>
      <c r="N49" s="80" t="str">
        <f>IF(G49&lt;&gt;"",-$G49/'Elements and ions'!$F$3,"")</f>
        <v/>
      </c>
      <c r="O49" s="65" t="str">
        <f>IF(H49&lt;&gt;"",-$H49/'Elements and ions'!$B$18,"")</f>
        <v/>
      </c>
      <c r="P49" s="81" t="str">
        <f>IF(I49&lt;&gt;"",-2*$I49/'Elements and ions'!$F$4,"")</f>
        <v/>
      </c>
      <c r="Q49" s="80" t="str">
        <f t="shared" si="0"/>
        <v/>
      </c>
      <c r="R49" s="65" t="str">
        <f t="shared" si="1"/>
        <v/>
      </c>
      <c r="S49" s="81" t="str">
        <f t="shared" si="2"/>
        <v/>
      </c>
      <c r="T49" s="80" t="str">
        <f t="shared" si="3"/>
        <v/>
      </c>
      <c r="U49" s="65" t="str">
        <f t="shared" si="4"/>
        <v/>
      </c>
      <c r="V49" s="91" t="str">
        <f t="shared" si="5"/>
        <v/>
      </c>
      <c r="W49" s="70" t="str">
        <f t="shared" si="6"/>
        <v/>
      </c>
      <c r="X49" s="65" t="str">
        <f>IF(V49&lt;&gt;"",IF($V49&lt;&gt;0,(($V49+(0.5*T49))/100+1+$AE$9),-1),"")</f>
        <v/>
      </c>
      <c r="Y49" s="81" t="str">
        <f>IF(AND(W49&lt;&gt;-1,X49&lt;&gt;-1,W49&lt;&gt;"",X49&lt;&gt;"",AA49&lt;&gt;-1,Z49&lt;&gt;-1,AA49&lt;&gt;"",Z49&lt;&gt;""),(W49+X49)/2+(AA49-Z49)/(4*COS(0.5)*$AE$5),"")</f>
        <v/>
      </c>
      <c r="Z49" s="70" t="str">
        <f>IF(S49&lt;&gt;"",IF($S49&lt;&gt;"",((($S49*COS(0.5))*$AE$5)/100),-1),"")</f>
        <v/>
      </c>
      <c r="AA49" s="65" t="str">
        <f>IF(T49&lt;&gt;"",IF($T49&lt;&gt;"",((($T49*COS(0.5))*$AE$5)/100),-1),"")</f>
        <v/>
      </c>
      <c r="AB49" s="66" t="str">
        <f>IF(Y49&lt;&gt;"",2*COS(0.5)*$AE$5*(X49-W49)/2+(AA49+Z49)/2,"")</f>
        <v/>
      </c>
      <c r="AC49" s="5"/>
      <c r="AE49" s="51"/>
      <c r="AF49" s="97" t="str">
        <f t="shared" si="7"/>
        <v/>
      </c>
      <c r="AG49" s="58">
        <f>IF(AF49&lt;&gt;"", ((AF49*0.5)-$AE$7), AG45)</f>
        <v>0.49999999999999994</v>
      </c>
      <c r="AH49" s="59">
        <f>IF(AF49&lt;&gt;"", (AF49*COS(0.5)*$AE$5), AH46)</f>
        <v>0.87758256189037265</v>
      </c>
      <c r="AI49" s="58">
        <f>IF(AF49&lt;&gt;"", AI48+($AE$7*0.5), AI45)</f>
        <v>0.5</v>
      </c>
      <c r="AJ49" s="59">
        <f>IF(AF49&lt;&gt;"", AJ48+($AE$7*COS(0.5)*$AE$5), AJ45)</f>
        <v>0.87758256189037265</v>
      </c>
      <c r="AK49" s="58">
        <f>IF($AE$8=1, AG48, AK45)</f>
        <v>0.49999999999999994</v>
      </c>
      <c r="AL49" s="59">
        <f>IF($AE$8=1, AJ48, AL45)</f>
        <v>0.87758256189037265</v>
      </c>
      <c r="AM49" s="58">
        <f>IF(AND($AE$8=1, AF48&lt;&gt;""), 1-AF48, AM48)</f>
        <v>0.5</v>
      </c>
      <c r="AN49" s="59">
        <f>IF(AND($AE$8=1, AF48&lt;&gt;""), 0, AN48)</f>
        <v>0.87758256189037265</v>
      </c>
      <c r="AO49" s="58">
        <f>IF($AE$8=1,AG48,AO48)</f>
        <v>0.49999999999999994</v>
      </c>
      <c r="AP49" s="59">
        <f>IF($AE$8=1,AH48,0)</f>
        <v>0.87758256189037265</v>
      </c>
      <c r="AQ49" s="58">
        <f>IF(AF48&lt;&gt;"",AQ48+(0.5*$AE$7),0)</f>
        <v>0</v>
      </c>
      <c r="AR49" s="55">
        <f>IF(AF48&lt;&gt;"",-COS(0.5)*$AE$7*$AE$5,0)</f>
        <v>0</v>
      </c>
      <c r="AS49" s="55">
        <f>AQ49</f>
        <v>0</v>
      </c>
      <c r="AT49" s="59">
        <f>AR49</f>
        <v>0</v>
      </c>
      <c r="AU49" s="58">
        <f>IF(AF49&lt;&gt;"",AG49+1+$AE$9+($AE$7*0.5), $AL$7)</f>
        <v>1.7</v>
      </c>
      <c r="AV49" s="59">
        <f>AJ49</f>
        <v>0.87758256189037265</v>
      </c>
      <c r="AW49" s="58">
        <f>AI49+1+$AE$9+0.5*$AE$7</f>
        <v>1.7149999999999999</v>
      </c>
      <c r="AX49" s="59">
        <f>AH49</f>
        <v>0.87758256189037265</v>
      </c>
      <c r="AY49" s="58">
        <f>AK49+1+$AE$9</f>
        <v>1.7</v>
      </c>
      <c r="AZ49" s="59">
        <f>AL49</f>
        <v>0.87758256189037265</v>
      </c>
      <c r="BA49" s="58">
        <f>AM49+1+$AE$9</f>
        <v>1.7</v>
      </c>
      <c r="BB49" s="59">
        <f>AN49</f>
        <v>0.87758256189037265</v>
      </c>
      <c r="BC49" s="58">
        <f>AO49+1+$AE$9</f>
        <v>1.7</v>
      </c>
      <c r="BD49" s="59">
        <f>AP49</f>
        <v>0.87758256189037265</v>
      </c>
      <c r="BE49" s="58">
        <f>AQ49+1+$AE$9</f>
        <v>1.2</v>
      </c>
      <c r="BF49" s="55">
        <f>AR49</f>
        <v>0</v>
      </c>
      <c r="BG49" s="55">
        <f>IF(AF49&lt;&gt;"",AS49+1+$AE$9-$AE$7,BC48)</f>
        <v>1.2</v>
      </c>
      <c r="BH49" s="59">
        <f>IF(AF49&lt;&gt;"",AT49,0)</f>
        <v>0</v>
      </c>
      <c r="BI49" s="58">
        <f>AU49-$AL$8+$AO$8</f>
        <v>1.1000000000000001</v>
      </c>
      <c r="BJ49" s="59">
        <f>AV49+$AP$9-$AM$7</f>
        <v>1.9306816361588202</v>
      </c>
      <c r="BK49" s="58">
        <f>AI49+$AO$10-$AI$9</f>
        <v>1.1000000000000001</v>
      </c>
      <c r="BL49" s="59">
        <f>AJ49+$AP$9-$AJ$7</f>
        <v>1.9306816361588202</v>
      </c>
      <c r="BM49" s="58">
        <f>IF(AND($AE$8=1,AF49&lt;&gt;""), BM48+0.5, $BI$15)</f>
        <v>0.60000000000000009</v>
      </c>
      <c r="BN49" s="59">
        <f>IF(AND($AE$8=1,AF49&lt;&gt;""), BN48-$AM$7, $BJ$15)</f>
        <v>1.0530990742684474</v>
      </c>
      <c r="BO49" s="58">
        <f>IF(AND($AE$8=1,AF49&lt;&gt;""), BO48-0.5, $BK$15)</f>
        <v>1.6</v>
      </c>
      <c r="BP49" s="59">
        <f>IF(AND($AE$8=1,AF49&lt;&gt;""), BP48-$AM$7, $BL$15)</f>
        <v>1.0530990742684474</v>
      </c>
    </row>
    <row r="50" spans="1:68" x14ac:dyDescent="0.25">
      <c r="A50" s="37"/>
      <c r="B50" s="38"/>
      <c r="C50" s="37"/>
      <c r="D50" s="2"/>
      <c r="E50" s="2"/>
      <c r="F50" s="38"/>
      <c r="G50" s="37"/>
      <c r="H50" s="2"/>
      <c r="I50" s="3"/>
      <c r="J50" s="90" t="str">
        <f>IF(C50&lt;&gt;"",$C50/'Elements and ions'!$B$12,"")</f>
        <v/>
      </c>
      <c r="K50" s="65" t="str">
        <f>IF(D50&lt;&gt;"",$D50/'Elements and ions'!$B$20,"")</f>
        <v/>
      </c>
      <c r="L50" s="65" t="str">
        <f>IF(E50&lt;&gt;"",$E50/'Elements and ions'!$B$21*2,"")</f>
        <v/>
      </c>
      <c r="M50" s="81" t="str">
        <f>IF(F50&lt;&gt;"",$F50/'Elements and ions'!$B$13*2,"")</f>
        <v/>
      </c>
      <c r="N50" s="80" t="str">
        <f>IF(G50&lt;&gt;"",-$G50/'Elements and ions'!$F$3,"")</f>
        <v/>
      </c>
      <c r="O50" s="65" t="str">
        <f>IF(H50&lt;&gt;"",-$H50/'Elements and ions'!$B$18,"")</f>
        <v/>
      </c>
      <c r="P50" s="81" t="str">
        <f>IF(I50&lt;&gt;"",-2*$I50/'Elements and ions'!$F$4,"")</f>
        <v/>
      </c>
      <c r="Q50" s="80" t="str">
        <f t="shared" si="0"/>
        <v/>
      </c>
      <c r="R50" s="65" t="str">
        <f t="shared" si="1"/>
        <v/>
      </c>
      <c r="S50" s="81" t="str">
        <f t="shared" si="2"/>
        <v/>
      </c>
      <c r="T50" s="80" t="str">
        <f t="shared" si="3"/>
        <v/>
      </c>
      <c r="U50" s="65" t="str">
        <f t="shared" si="4"/>
        <v/>
      </c>
      <c r="V50" s="91" t="str">
        <f t="shared" si="5"/>
        <v/>
      </c>
      <c r="W50" s="70" t="str">
        <f t="shared" si="6"/>
        <v/>
      </c>
      <c r="X50" s="65" t="str">
        <f>IF(V50&lt;&gt;"",IF($V50&lt;&gt;0,(($V50+(0.5*T50))/100+1+$AE$9),-1),"")</f>
        <v/>
      </c>
      <c r="Y50" s="81" t="str">
        <f>IF(AND(W50&lt;&gt;-1,X50&lt;&gt;-1,W50&lt;&gt;"",X50&lt;&gt;"",AA50&lt;&gt;-1,Z50&lt;&gt;-1,AA50&lt;&gt;"",Z50&lt;&gt;""),(W50+X50)/2+(AA50-Z50)/(4*COS(0.5)*$AE$5),"")</f>
        <v/>
      </c>
      <c r="Z50" s="70" t="str">
        <f>IF(S50&lt;&gt;"",IF($S50&lt;&gt;"",((($S50*COS(0.5))*$AE$5)/100),-1),"")</f>
        <v/>
      </c>
      <c r="AA50" s="65" t="str">
        <f>IF(T50&lt;&gt;"",IF($T50&lt;&gt;"",((($T50*COS(0.5))*$AE$5)/100),-1),"")</f>
        <v/>
      </c>
      <c r="AB50" s="66" t="str">
        <f>IF(Y50&lt;&gt;"",2*COS(0.5)*$AE$5*(X50-W50)/2+(AA50+Z50)/2,"")</f>
        <v/>
      </c>
      <c r="AC50" s="5"/>
      <c r="AE50" s="51"/>
      <c r="AF50" s="97" t="str">
        <f t="shared" si="7"/>
        <v/>
      </c>
      <c r="AG50" s="58">
        <f>IF(AF50&lt;&gt;"", (AF50*0.5), AG45)</f>
        <v>0.49999999999999994</v>
      </c>
      <c r="AH50" s="59">
        <f>IF(AF50&lt;&gt;"", (AF50*COS(0.5)*$AE$5), AH47)</f>
        <v>0.87758256189037265</v>
      </c>
      <c r="AI50" s="58">
        <f>IF(AF50&lt;&gt;"", 1-(AF50*0.5), AI45)</f>
        <v>0.5</v>
      </c>
      <c r="AJ50" s="59">
        <f>IF(AF50&lt;&gt;"", (AF50*COS(0.5)*$AE$5), AJ47)</f>
        <v>0.87758256189037265</v>
      </c>
      <c r="AK50" s="58"/>
      <c r="AL50" s="59"/>
      <c r="AM50" s="58"/>
      <c r="AN50" s="59"/>
      <c r="AO50" s="58"/>
      <c r="AP50" s="59"/>
      <c r="AQ50" s="58">
        <f>IF(AF48&lt;&gt;"", AF48, 0)</f>
        <v>0</v>
      </c>
      <c r="AR50" s="55">
        <v>0</v>
      </c>
      <c r="AS50" s="55">
        <f>AQ50</f>
        <v>0</v>
      </c>
      <c r="AT50" s="59">
        <f>AR50</f>
        <v>0</v>
      </c>
      <c r="AU50" s="58">
        <f>IF(AF50&lt;&gt;"",AG50+1+$AE$9, $AL$7)</f>
        <v>1.7</v>
      </c>
      <c r="AV50" s="59">
        <f>AJ50</f>
        <v>0.87758256189037265</v>
      </c>
      <c r="AW50" s="58">
        <f>AI50+1+$AE$9</f>
        <v>1.7</v>
      </c>
      <c r="AX50" s="59">
        <f>AH50</f>
        <v>0.87758256189037265</v>
      </c>
      <c r="AY50" s="58"/>
      <c r="AZ50" s="59"/>
      <c r="BA50" s="58"/>
      <c r="BB50" s="59"/>
      <c r="BC50" s="58"/>
      <c r="BD50" s="59"/>
      <c r="BE50" s="58">
        <f>AQ50+1+$AE$9</f>
        <v>1.2</v>
      </c>
      <c r="BF50" s="55">
        <f>AR50</f>
        <v>0</v>
      </c>
      <c r="BG50" s="55">
        <f t="shared" ref="BG50" si="18">BG48</f>
        <v>1.2</v>
      </c>
      <c r="BH50" s="59">
        <f>IF(AF50&lt;&gt;"",AT50,0)</f>
        <v>0</v>
      </c>
      <c r="BI50" s="58">
        <f>AU50-$AL$8+$AO$8</f>
        <v>1.1000000000000001</v>
      </c>
      <c r="BJ50" s="59">
        <f>AV50+$AP$9-$AM$7</f>
        <v>1.9306816361588202</v>
      </c>
      <c r="BK50" s="58">
        <f>AI50+$AO$10-$AI$9</f>
        <v>1.1000000000000001</v>
      </c>
      <c r="BL50" s="59">
        <f>AJ50+$AP$9-$AJ$7</f>
        <v>1.9306816361588202</v>
      </c>
      <c r="BM50" s="58"/>
      <c r="BN50" s="59"/>
      <c r="BO50" s="58"/>
      <c r="BP50" s="59"/>
    </row>
    <row r="51" spans="1:68" x14ac:dyDescent="0.25">
      <c r="A51" s="37"/>
      <c r="B51" s="38"/>
      <c r="C51" s="37"/>
      <c r="D51" s="2"/>
      <c r="E51" s="2"/>
      <c r="F51" s="38"/>
      <c r="G51" s="37"/>
      <c r="H51" s="2"/>
      <c r="I51" s="3"/>
      <c r="J51" s="90" t="str">
        <f>IF(C51&lt;&gt;"",$C51/'Elements and ions'!$B$12,"")</f>
        <v/>
      </c>
      <c r="K51" s="65" t="str">
        <f>IF(D51&lt;&gt;"",$D51/'Elements and ions'!$B$20,"")</f>
        <v/>
      </c>
      <c r="L51" s="65" t="str">
        <f>IF(E51&lt;&gt;"",$E51/'Elements and ions'!$B$21*2,"")</f>
        <v/>
      </c>
      <c r="M51" s="81" t="str">
        <f>IF(F51&lt;&gt;"",$F51/'Elements and ions'!$B$13*2,"")</f>
        <v/>
      </c>
      <c r="N51" s="80" t="str">
        <f>IF(G51&lt;&gt;"",-$G51/'Elements and ions'!$F$3,"")</f>
        <v/>
      </c>
      <c r="O51" s="65" t="str">
        <f>IF(H51&lt;&gt;"",-$H51/'Elements and ions'!$B$18,"")</f>
        <v/>
      </c>
      <c r="P51" s="81" t="str">
        <f>IF(I51&lt;&gt;"",-2*$I51/'Elements and ions'!$F$4,"")</f>
        <v/>
      </c>
      <c r="Q51" s="80" t="str">
        <f t="shared" si="0"/>
        <v/>
      </c>
      <c r="R51" s="65" t="str">
        <f t="shared" si="1"/>
        <v/>
      </c>
      <c r="S51" s="81" t="str">
        <f t="shared" si="2"/>
        <v/>
      </c>
      <c r="T51" s="80" t="str">
        <f t="shared" si="3"/>
        <v/>
      </c>
      <c r="U51" s="65" t="str">
        <f t="shared" si="4"/>
        <v/>
      </c>
      <c r="V51" s="91" t="str">
        <f t="shared" si="5"/>
        <v/>
      </c>
      <c r="W51" s="70" t="str">
        <f t="shared" si="6"/>
        <v/>
      </c>
      <c r="X51" s="65" t="str">
        <f>IF(V51&lt;&gt;"",IF($V51&lt;&gt;0,(($V51+(0.5*T51))/100+1+$AE$9),-1),"")</f>
        <v/>
      </c>
      <c r="Y51" s="81" t="str">
        <f>IF(AND(W51&lt;&gt;-1,X51&lt;&gt;-1,W51&lt;&gt;"",X51&lt;&gt;"",AA51&lt;&gt;-1,Z51&lt;&gt;-1,AA51&lt;&gt;"",Z51&lt;&gt;""),(W51+X51)/2+(AA51-Z51)/(4*COS(0.5)*$AE$5),"")</f>
        <v/>
      </c>
      <c r="Z51" s="70" t="str">
        <f>IF(S51&lt;&gt;"",IF($S51&lt;&gt;"",((($S51*COS(0.5))*$AE$5)/100),-1),"")</f>
        <v/>
      </c>
      <c r="AA51" s="65" t="str">
        <f>IF(T51&lt;&gt;"",IF($T51&lt;&gt;"",((($T51*COS(0.5))*$AE$5)/100),-1),"")</f>
        <v/>
      </c>
      <c r="AB51" s="66" t="str">
        <f>IF(Y51&lt;&gt;"",2*COS(0.5)*$AE$5*(X51-W51)/2+(AA51+Z51)/2,"")</f>
        <v/>
      </c>
      <c r="AC51" s="5"/>
      <c r="AE51" s="51"/>
      <c r="AF51" s="97" t="str">
        <f>IF(AND($AE$6&gt;0, $AE$7&gt;0, AF48&lt;1), AF48+$AE$6, "")</f>
        <v/>
      </c>
      <c r="AG51" s="58">
        <f>IF(AF51&lt;&gt;"", (AF51*0.5), AG48)</f>
        <v>0.49999999999999994</v>
      </c>
      <c r="AH51" s="59">
        <f>IF(AF51&lt;&gt;"", (AF51*COS(0.5)*$AE$5), AH48)</f>
        <v>0.87758256189037265</v>
      </c>
      <c r="AI51" s="58">
        <f>IF(AF51&lt;&gt;"", 1-(AF51*0.5), AI48)</f>
        <v>0.5</v>
      </c>
      <c r="AJ51" s="59">
        <f>IF(AF51&lt;&gt;"", (AF51*COS(0.5)*$AE$5), AJ48)</f>
        <v>0.87758256189037265</v>
      </c>
      <c r="AK51" s="58">
        <f>IF($AE$8=1, AI51, AK48)</f>
        <v>0.5</v>
      </c>
      <c r="AL51" s="59">
        <f>IF($AE$8=1, AJ51, AL48)</f>
        <v>0.87758256189037265</v>
      </c>
      <c r="AM51" s="58">
        <f>IF(AND($AE$8=1, AF51&lt;&gt;""), AI51, AM48)</f>
        <v>0.5</v>
      </c>
      <c r="AN51" s="59">
        <f>IF(AND($AE$8=1, AF51&lt;&gt;""), AJ51, AN48)</f>
        <v>0.87758256189037265</v>
      </c>
      <c r="AO51" s="58">
        <f>IF($AE$8=1,AQ51,AO48)</f>
        <v>0</v>
      </c>
      <c r="AP51" s="59">
        <v>0</v>
      </c>
      <c r="AQ51" s="58">
        <f>IF(AF51&lt;&gt;"", AF51, 0)</f>
        <v>0</v>
      </c>
      <c r="AR51" s="55">
        <v>0</v>
      </c>
      <c r="AS51" s="55">
        <f>AQ51</f>
        <v>0</v>
      </c>
      <c r="AT51" s="59">
        <f>AR51</f>
        <v>0</v>
      </c>
      <c r="AU51" s="58">
        <f>IF(AF51&lt;&gt;"",AG51+1+$AE$9, $AL$7)</f>
        <v>1.7</v>
      </c>
      <c r="AV51" s="59">
        <f>AJ51</f>
        <v>0.87758256189037265</v>
      </c>
      <c r="AW51" s="58">
        <f>AI51+1+$AE$9</f>
        <v>1.7</v>
      </c>
      <c r="AX51" s="59">
        <f>AH51</f>
        <v>0.87758256189037265</v>
      </c>
      <c r="AY51" s="58">
        <f>AK51+1+$AE$9</f>
        <v>1.7</v>
      </c>
      <c r="AZ51" s="59">
        <f>AL51</f>
        <v>0.87758256189037265</v>
      </c>
      <c r="BA51" s="58">
        <f>AM51+1+$AE$9</f>
        <v>1.7</v>
      </c>
      <c r="BB51" s="59">
        <f>AN51</f>
        <v>0.87758256189037265</v>
      </c>
      <c r="BC51" s="58">
        <f>AO51+1+$AE$9</f>
        <v>1.2</v>
      </c>
      <c r="BD51" s="59">
        <f>AP51</f>
        <v>0</v>
      </c>
      <c r="BE51" s="58">
        <f>AQ51+1+$AE$9</f>
        <v>1.2</v>
      </c>
      <c r="BF51" s="55">
        <f>AR51</f>
        <v>0</v>
      </c>
      <c r="BG51" s="55">
        <f>IF(AF51&lt;&gt;"",AS51+1+$AE$9,BC51)</f>
        <v>1.2</v>
      </c>
      <c r="BH51" s="59">
        <f>IF(AF51&lt;&gt;"",AT51,0)</f>
        <v>0</v>
      </c>
      <c r="BI51" s="58">
        <f>AU51-$AL$8+$AO$8</f>
        <v>1.1000000000000001</v>
      </c>
      <c r="BJ51" s="59">
        <f>AV51+$AP$9-$AM$7</f>
        <v>1.9306816361588202</v>
      </c>
      <c r="BK51" s="58">
        <f>AI51+$AO$10-$AI$9</f>
        <v>1.1000000000000001</v>
      </c>
      <c r="BL51" s="59">
        <f>AJ51+$AP$9-$AJ$7</f>
        <v>1.9306816361588202</v>
      </c>
      <c r="BM51" s="58">
        <f>IF(AND($AE$8=1,AF51&lt;&gt;""), BI51, $BI$15)</f>
        <v>0.60000000000000009</v>
      </c>
      <c r="BN51" s="59">
        <f>IF(AND($AE$8=1,AF51&lt;&gt;""), BJ51, $BJ$15)</f>
        <v>1.0530990742684474</v>
      </c>
      <c r="BO51" s="58">
        <f>IF(AND($AE$8=1,AF51&lt;&gt;""), BK51, $BK$15)</f>
        <v>1.6</v>
      </c>
      <c r="BP51" s="59">
        <f>IF(AND($AE$8=1,AF51&lt;&gt;""), BL51, $BJ$15)</f>
        <v>1.0530990742684474</v>
      </c>
    </row>
    <row r="52" spans="1:68" x14ac:dyDescent="0.25">
      <c r="A52" s="37"/>
      <c r="B52" s="38"/>
      <c r="C52" s="37"/>
      <c r="D52" s="2"/>
      <c r="E52" s="2"/>
      <c r="F52" s="38"/>
      <c r="G52" s="37"/>
      <c r="H52" s="2"/>
      <c r="I52" s="3"/>
      <c r="J52" s="90" t="str">
        <f>IF(C52&lt;&gt;"",$C52/'Elements and ions'!$B$12,"")</f>
        <v/>
      </c>
      <c r="K52" s="65" t="str">
        <f>IF(D52&lt;&gt;"",$D52/'Elements and ions'!$B$20,"")</f>
        <v/>
      </c>
      <c r="L52" s="65" t="str">
        <f>IF(E52&lt;&gt;"",$E52/'Elements and ions'!$B$21*2,"")</f>
        <v/>
      </c>
      <c r="M52" s="81" t="str">
        <f>IF(F52&lt;&gt;"",$F52/'Elements and ions'!$B$13*2,"")</f>
        <v/>
      </c>
      <c r="N52" s="80" t="str">
        <f>IF(G52&lt;&gt;"",-$G52/'Elements and ions'!$F$3,"")</f>
        <v/>
      </c>
      <c r="O52" s="65" t="str">
        <f>IF(H52&lt;&gt;"",-$H52/'Elements and ions'!$B$18,"")</f>
        <v/>
      </c>
      <c r="P52" s="81" t="str">
        <f>IF(I52&lt;&gt;"",-2*$I52/'Elements and ions'!$F$4,"")</f>
        <v/>
      </c>
      <c r="Q52" s="80" t="str">
        <f t="shared" si="0"/>
        <v/>
      </c>
      <c r="R52" s="65" t="str">
        <f t="shared" si="1"/>
        <v/>
      </c>
      <c r="S52" s="81" t="str">
        <f t="shared" si="2"/>
        <v/>
      </c>
      <c r="T52" s="80" t="str">
        <f t="shared" si="3"/>
        <v/>
      </c>
      <c r="U52" s="65" t="str">
        <f t="shared" si="4"/>
        <v/>
      </c>
      <c r="V52" s="91" t="str">
        <f t="shared" si="5"/>
        <v/>
      </c>
      <c r="W52" s="70" t="str">
        <f t="shared" si="6"/>
        <v/>
      </c>
      <c r="X52" s="65" t="str">
        <f>IF(V52&lt;&gt;"",IF($V52&lt;&gt;0,(($V52+(0.5*T52))/100+1+$AE$9),-1),"")</f>
        <v/>
      </c>
      <c r="Y52" s="81" t="str">
        <f>IF(AND(W52&lt;&gt;-1,X52&lt;&gt;-1,W52&lt;&gt;"",X52&lt;&gt;"",AA52&lt;&gt;-1,Z52&lt;&gt;-1,AA52&lt;&gt;"",Z52&lt;&gt;""),(W52+X52)/2+(AA52-Z52)/(4*COS(0.5)*$AE$5),"")</f>
        <v/>
      </c>
      <c r="Z52" s="70" t="str">
        <f>IF(S52&lt;&gt;"",IF($S52&lt;&gt;"",((($S52*COS(0.5))*$AE$5)/100),-1),"")</f>
        <v/>
      </c>
      <c r="AA52" s="65" t="str">
        <f>IF(T52&lt;&gt;"",IF($T52&lt;&gt;"",((($T52*COS(0.5))*$AE$5)/100),-1),"")</f>
        <v/>
      </c>
      <c r="AB52" s="66" t="str">
        <f>IF(Y52&lt;&gt;"",2*COS(0.5)*$AE$5*(X52-W52)/2+(AA52+Z52)/2,"")</f>
        <v/>
      </c>
      <c r="AC52" s="5"/>
      <c r="AE52" s="51"/>
      <c r="AF52" s="97" t="str">
        <f t="shared" si="7"/>
        <v/>
      </c>
      <c r="AG52" s="58">
        <f>IF(AF52&lt;&gt;"", ((AF52*0.5)-$AE$7), AG48)</f>
        <v>0.49999999999999994</v>
      </c>
      <c r="AH52" s="59">
        <f>IF(AF52&lt;&gt;"", (AF52*COS(0.5)*$AE$5), AH49)</f>
        <v>0.87758256189037265</v>
      </c>
      <c r="AI52" s="58">
        <f>IF(AF52&lt;&gt;"", AI51+($AE$7*0.5), AI48)</f>
        <v>0.5</v>
      </c>
      <c r="AJ52" s="59">
        <f>IF(AF52&lt;&gt;"", AJ51+($AE$7*COS(0.5)*$AE$5), AJ48)</f>
        <v>0.87758256189037265</v>
      </c>
      <c r="AK52" s="58">
        <f>IF($AE$8=1, AG51, AK48)</f>
        <v>0.49999999999999994</v>
      </c>
      <c r="AL52" s="59">
        <f>IF($AE$8=1, AJ51, AL48)</f>
        <v>0.87758256189037265</v>
      </c>
      <c r="AM52" s="58">
        <f>IF(AND($AE$8=1, AF51&lt;&gt;""), 1-AF51, AM51)</f>
        <v>0.5</v>
      </c>
      <c r="AN52" s="59">
        <f>IF(AND($AE$8=1, AF51&lt;&gt;""), 0, AN51)</f>
        <v>0.87758256189037265</v>
      </c>
      <c r="AO52" s="58">
        <f>IF($AE$8=1,AG51,AO51)</f>
        <v>0.49999999999999994</v>
      </c>
      <c r="AP52" s="59">
        <f>IF($AE$8=1,AH51,0)</f>
        <v>0.87758256189037265</v>
      </c>
      <c r="AQ52" s="58">
        <f>IF(AF51&lt;&gt;"",AQ51+(0.5*$AE$7),0)</f>
        <v>0</v>
      </c>
      <c r="AR52" s="55">
        <f>IF(AF51&lt;&gt;"",-COS(0.5)*$AE$7*$AE$5,0)</f>
        <v>0</v>
      </c>
      <c r="AS52" s="55">
        <f>AQ52</f>
        <v>0</v>
      </c>
      <c r="AT52" s="59">
        <f>AR52</f>
        <v>0</v>
      </c>
      <c r="AU52" s="58">
        <f>IF(AF52&lt;&gt;"",AG52+1+$AE$9+($AE$7*0.5), $AL$7)</f>
        <v>1.7</v>
      </c>
      <c r="AV52" s="59">
        <f>AJ52</f>
        <v>0.87758256189037265</v>
      </c>
      <c r="AW52" s="58">
        <f>AI52+1+$AE$9+0.5*$AE$7</f>
        <v>1.7149999999999999</v>
      </c>
      <c r="AX52" s="59">
        <f>AH52</f>
        <v>0.87758256189037265</v>
      </c>
      <c r="AY52" s="58">
        <f>AK52+1+$AE$9</f>
        <v>1.7</v>
      </c>
      <c r="AZ52" s="59">
        <f>AL52</f>
        <v>0.87758256189037265</v>
      </c>
      <c r="BA52" s="58">
        <f>AM52+1+$AE$9</f>
        <v>1.7</v>
      </c>
      <c r="BB52" s="59">
        <f>AN52</f>
        <v>0.87758256189037265</v>
      </c>
      <c r="BC52" s="58">
        <f>AO52+1+$AE$9</f>
        <v>1.7</v>
      </c>
      <c r="BD52" s="59">
        <f>AP52</f>
        <v>0.87758256189037265</v>
      </c>
      <c r="BE52" s="58">
        <f>AQ52+1+$AE$9</f>
        <v>1.2</v>
      </c>
      <c r="BF52" s="55">
        <f>AR52</f>
        <v>0</v>
      </c>
      <c r="BG52" s="55">
        <f>IF(AF52&lt;&gt;"",AS52+1+$AE$9-$AE$7,BC51)</f>
        <v>1.2</v>
      </c>
      <c r="BH52" s="59">
        <f>IF(AF52&lt;&gt;"",AT52,0)</f>
        <v>0</v>
      </c>
      <c r="BI52" s="58">
        <f>AU52-$AL$8+$AO$8</f>
        <v>1.1000000000000001</v>
      </c>
      <c r="BJ52" s="59">
        <f>AV52+$AP$9-$AM$7</f>
        <v>1.9306816361588202</v>
      </c>
      <c r="BK52" s="58">
        <f>AI52+$AO$10-$AI$9</f>
        <v>1.1000000000000001</v>
      </c>
      <c r="BL52" s="59">
        <f>AJ52+$AP$9-$AJ$7</f>
        <v>1.9306816361588202</v>
      </c>
      <c r="BM52" s="58">
        <f>IF(AND($AE$8=1,AF52&lt;&gt;""), BM51+0.5, $BI$15)</f>
        <v>0.60000000000000009</v>
      </c>
      <c r="BN52" s="59">
        <f>IF(AND($AE$8=1,AF52&lt;&gt;""), BN51-$AM$7, $BJ$15)</f>
        <v>1.0530990742684474</v>
      </c>
      <c r="BO52" s="58">
        <f>IF(AND($AE$8=1,AF52&lt;&gt;""), BO51-0.5, $BK$15)</f>
        <v>1.6</v>
      </c>
      <c r="BP52" s="59">
        <f>IF(AND($AE$8=1,AF52&lt;&gt;""), BP51-$AM$7, $BL$15)</f>
        <v>1.0530990742684474</v>
      </c>
    </row>
    <row r="53" spans="1:68" x14ac:dyDescent="0.25">
      <c r="A53" s="37"/>
      <c r="B53" s="38"/>
      <c r="C53" s="37"/>
      <c r="D53" s="2"/>
      <c r="E53" s="2"/>
      <c r="F53" s="38"/>
      <c r="G53" s="37"/>
      <c r="H53" s="2"/>
      <c r="I53" s="3"/>
      <c r="J53" s="90" t="str">
        <f>IF(C53&lt;&gt;"",$C53/'Elements and ions'!$B$12,"")</f>
        <v/>
      </c>
      <c r="K53" s="65" t="str">
        <f>IF(D53&lt;&gt;"",$D53/'Elements and ions'!$B$20,"")</f>
        <v/>
      </c>
      <c r="L53" s="65" t="str">
        <f>IF(E53&lt;&gt;"",$E53/'Elements and ions'!$B$21*2,"")</f>
        <v/>
      </c>
      <c r="M53" s="81" t="str">
        <f>IF(F53&lt;&gt;"",$F53/'Elements and ions'!$B$13*2,"")</f>
        <v/>
      </c>
      <c r="N53" s="80" t="str">
        <f>IF(G53&lt;&gt;"",-$G53/'Elements and ions'!$F$3,"")</f>
        <v/>
      </c>
      <c r="O53" s="65" t="str">
        <f>IF(H53&lt;&gt;"",-$H53/'Elements and ions'!$B$18,"")</f>
        <v/>
      </c>
      <c r="P53" s="81" t="str">
        <f>IF(I53&lt;&gt;"",-2*$I53/'Elements and ions'!$F$4,"")</f>
        <v/>
      </c>
      <c r="Q53" s="80" t="str">
        <f t="shared" si="0"/>
        <v/>
      </c>
      <c r="R53" s="65" t="str">
        <f t="shared" si="1"/>
        <v/>
      </c>
      <c r="S53" s="81" t="str">
        <f t="shared" si="2"/>
        <v/>
      </c>
      <c r="T53" s="80" t="str">
        <f t="shared" si="3"/>
        <v/>
      </c>
      <c r="U53" s="65" t="str">
        <f t="shared" si="4"/>
        <v/>
      </c>
      <c r="V53" s="91" t="str">
        <f t="shared" si="5"/>
        <v/>
      </c>
      <c r="W53" s="70" t="str">
        <f t="shared" si="6"/>
        <v/>
      </c>
      <c r="X53" s="65" t="str">
        <f>IF(V53&lt;&gt;"",IF($V53&lt;&gt;0,(($V53+(0.5*T53))/100+1+$AE$9),-1),"")</f>
        <v/>
      </c>
      <c r="Y53" s="81" t="str">
        <f>IF(AND(W53&lt;&gt;-1,X53&lt;&gt;-1,W53&lt;&gt;"",X53&lt;&gt;"",AA53&lt;&gt;-1,Z53&lt;&gt;-1,AA53&lt;&gt;"",Z53&lt;&gt;""),(W53+X53)/2+(AA53-Z53)/(4*COS(0.5)*$AE$5),"")</f>
        <v/>
      </c>
      <c r="Z53" s="70" t="str">
        <f>IF(S53&lt;&gt;"",IF($S53&lt;&gt;"",((($S53*COS(0.5))*$AE$5)/100),-1),"")</f>
        <v/>
      </c>
      <c r="AA53" s="65" t="str">
        <f>IF(T53&lt;&gt;"",IF($T53&lt;&gt;"",((($T53*COS(0.5))*$AE$5)/100),-1),"")</f>
        <v/>
      </c>
      <c r="AB53" s="66" t="str">
        <f>IF(Y53&lt;&gt;"",2*COS(0.5)*$AE$5*(X53-W53)/2+(AA53+Z53)/2,"")</f>
        <v/>
      </c>
      <c r="AC53" s="5"/>
      <c r="AE53" s="51"/>
      <c r="AF53" s="97" t="str">
        <f t="shared" si="7"/>
        <v/>
      </c>
      <c r="AG53" s="58">
        <f>IF(AF53&lt;&gt;"", (AF53*0.5), AG48)</f>
        <v>0.49999999999999994</v>
      </c>
      <c r="AH53" s="59">
        <f>IF(AF53&lt;&gt;"", (AF53*COS(0.5)*$AE$5), AH50)</f>
        <v>0.87758256189037265</v>
      </c>
      <c r="AI53" s="58">
        <f>IF(AF53&lt;&gt;"", 1-(AF53*0.5), AI48)</f>
        <v>0.5</v>
      </c>
      <c r="AJ53" s="59">
        <f>IF(AF53&lt;&gt;"", (AF53*COS(0.5)*$AE$5), AJ50)</f>
        <v>0.87758256189037265</v>
      </c>
      <c r="AK53" s="58"/>
      <c r="AL53" s="59"/>
      <c r="AM53" s="58"/>
      <c r="AN53" s="59"/>
      <c r="AO53" s="58"/>
      <c r="AP53" s="59"/>
      <c r="AQ53" s="58">
        <f>IF(AF51&lt;&gt;"", AF51, 0)</f>
        <v>0</v>
      </c>
      <c r="AR53" s="55">
        <v>0</v>
      </c>
      <c r="AS53" s="55">
        <f>AQ53</f>
        <v>0</v>
      </c>
      <c r="AT53" s="59">
        <f>AR53</f>
        <v>0</v>
      </c>
      <c r="AU53" s="58">
        <f>IF(AF53&lt;&gt;"",AG53+1+$AE$9, $AL$7)</f>
        <v>1.7</v>
      </c>
      <c r="AV53" s="59">
        <f>AJ53</f>
        <v>0.87758256189037265</v>
      </c>
      <c r="AW53" s="58">
        <f>AI53+1+$AE$9</f>
        <v>1.7</v>
      </c>
      <c r="AX53" s="59">
        <f>AH53</f>
        <v>0.87758256189037265</v>
      </c>
      <c r="AY53" s="58"/>
      <c r="AZ53" s="59"/>
      <c r="BA53" s="58"/>
      <c r="BB53" s="59"/>
      <c r="BC53" s="58"/>
      <c r="BD53" s="59"/>
      <c r="BE53" s="58">
        <f>AQ53+1+$AE$9</f>
        <v>1.2</v>
      </c>
      <c r="BF53" s="55">
        <f>AR53</f>
        <v>0</v>
      </c>
      <c r="BG53" s="55">
        <f t="shared" ref="BG53" si="19">BG51</f>
        <v>1.2</v>
      </c>
      <c r="BH53" s="59">
        <f>IF(AF53&lt;&gt;"",AT53,0)</f>
        <v>0</v>
      </c>
      <c r="BI53" s="58">
        <f>AU53-$AL$8+$AO$8</f>
        <v>1.1000000000000001</v>
      </c>
      <c r="BJ53" s="59">
        <f>AV53+$AP$9-$AM$7</f>
        <v>1.9306816361588202</v>
      </c>
      <c r="BK53" s="58">
        <f>AI53+$AO$10-$AI$9</f>
        <v>1.1000000000000001</v>
      </c>
      <c r="BL53" s="59">
        <f>AJ53+$AP$9-$AJ$7</f>
        <v>1.9306816361588202</v>
      </c>
      <c r="BM53" s="58"/>
      <c r="BN53" s="59"/>
      <c r="BO53" s="58"/>
      <c r="BP53" s="59"/>
    </row>
    <row r="54" spans="1:68" x14ac:dyDescent="0.25">
      <c r="A54" s="37"/>
      <c r="B54" s="38"/>
      <c r="C54" s="37"/>
      <c r="D54" s="2"/>
      <c r="E54" s="2"/>
      <c r="F54" s="38"/>
      <c r="G54" s="37"/>
      <c r="H54" s="2"/>
      <c r="I54" s="3"/>
      <c r="J54" s="90" t="str">
        <f>IF(C54&lt;&gt;"",$C54/'Elements and ions'!$B$12,"")</f>
        <v/>
      </c>
      <c r="K54" s="65" t="str">
        <f>IF(D54&lt;&gt;"",$D54/'Elements and ions'!$B$20,"")</f>
        <v/>
      </c>
      <c r="L54" s="65" t="str">
        <f>IF(E54&lt;&gt;"",$E54/'Elements and ions'!$B$21*2,"")</f>
        <v/>
      </c>
      <c r="M54" s="81" t="str">
        <f>IF(F54&lt;&gt;"",$F54/'Elements and ions'!$B$13*2,"")</f>
        <v/>
      </c>
      <c r="N54" s="80" t="str">
        <f>IF(G54&lt;&gt;"",-$G54/'Elements and ions'!$F$3,"")</f>
        <v/>
      </c>
      <c r="O54" s="65" t="str">
        <f>IF(H54&lt;&gt;"",-$H54/'Elements and ions'!$B$18,"")</f>
        <v/>
      </c>
      <c r="P54" s="81" t="str">
        <f>IF(I54&lt;&gt;"",-2*$I54/'Elements and ions'!$F$4,"")</f>
        <v/>
      </c>
      <c r="Q54" s="80" t="str">
        <f t="shared" si="0"/>
        <v/>
      </c>
      <c r="R54" s="65" t="str">
        <f t="shared" si="1"/>
        <v/>
      </c>
      <c r="S54" s="81" t="str">
        <f t="shared" si="2"/>
        <v/>
      </c>
      <c r="T54" s="80" t="str">
        <f t="shared" si="3"/>
        <v/>
      </c>
      <c r="U54" s="65" t="str">
        <f t="shared" si="4"/>
        <v/>
      </c>
      <c r="V54" s="91" t="str">
        <f t="shared" si="5"/>
        <v/>
      </c>
      <c r="W54" s="70" t="str">
        <f t="shared" si="6"/>
        <v/>
      </c>
      <c r="X54" s="65" t="str">
        <f>IF(V54&lt;&gt;"",IF($V54&lt;&gt;0,(($V54+(0.5*T54))/100+1+$AE$9),-1),"")</f>
        <v/>
      </c>
      <c r="Y54" s="81" t="str">
        <f>IF(AND(W54&lt;&gt;-1,X54&lt;&gt;-1,W54&lt;&gt;"",X54&lt;&gt;"",AA54&lt;&gt;-1,Z54&lt;&gt;-1,AA54&lt;&gt;"",Z54&lt;&gt;""),(W54+X54)/2+(AA54-Z54)/(4*COS(0.5)*$AE$5),"")</f>
        <v/>
      </c>
      <c r="Z54" s="70" t="str">
        <f>IF(S54&lt;&gt;"",IF($S54&lt;&gt;"",((($S54*COS(0.5))*$AE$5)/100),-1),"")</f>
        <v/>
      </c>
      <c r="AA54" s="65" t="str">
        <f>IF(T54&lt;&gt;"",IF($T54&lt;&gt;"",((($T54*COS(0.5))*$AE$5)/100),-1),"")</f>
        <v/>
      </c>
      <c r="AB54" s="66" t="str">
        <f>IF(Y54&lt;&gt;"",2*COS(0.5)*$AE$5*(X54-W54)/2+(AA54+Z54)/2,"")</f>
        <v/>
      </c>
      <c r="AC54" s="5"/>
      <c r="AE54" s="51"/>
      <c r="AF54" s="97" t="str">
        <f>IF(AND($AE$6&gt;0, $AE$7&gt;0, AF51&lt;1), AF51+$AE$6, "")</f>
        <v/>
      </c>
      <c r="AG54" s="58">
        <f>IF(AF54&lt;&gt;"", (AF54*0.5), AG51)</f>
        <v>0.49999999999999994</v>
      </c>
      <c r="AH54" s="59">
        <f>IF(AF54&lt;&gt;"", (AF54*COS(0.5)*$AE$5), AH51)</f>
        <v>0.87758256189037265</v>
      </c>
      <c r="AI54" s="58">
        <f>IF(AF54&lt;&gt;"", 1-(AF54*0.5), AI51)</f>
        <v>0.5</v>
      </c>
      <c r="AJ54" s="59">
        <f>IF(AF54&lt;&gt;"", (AF54*COS(0.5)*$AE$5), AJ51)</f>
        <v>0.87758256189037265</v>
      </c>
      <c r="AK54" s="58">
        <f>IF($AE$8=1, AI54, AK51)</f>
        <v>0.5</v>
      </c>
      <c r="AL54" s="59">
        <f>IF($AE$8=1, AJ54, AL51)</f>
        <v>0.87758256189037265</v>
      </c>
      <c r="AM54" s="58">
        <f>IF(AND($AE$8=1, AF54&lt;&gt;""), AI54, AM51)</f>
        <v>0.5</v>
      </c>
      <c r="AN54" s="59">
        <f>IF(AND($AE$8=1, AF54&lt;&gt;""), AJ54, AN51)</f>
        <v>0.87758256189037265</v>
      </c>
      <c r="AO54" s="58">
        <f>IF($AE$8=1,AQ54,AO51)</f>
        <v>0</v>
      </c>
      <c r="AP54" s="59">
        <v>0</v>
      </c>
      <c r="AQ54" s="58">
        <f>IF(AF54&lt;&gt;"", AF54, 0)</f>
        <v>0</v>
      </c>
      <c r="AR54" s="55">
        <v>0</v>
      </c>
      <c r="AS54" s="55">
        <f>AQ54</f>
        <v>0</v>
      </c>
      <c r="AT54" s="59">
        <f>AR54</f>
        <v>0</v>
      </c>
      <c r="AU54" s="58">
        <f>IF(AF54&lt;&gt;"",AG54+1+$AE$9, $AL$7)</f>
        <v>1.7</v>
      </c>
      <c r="AV54" s="59">
        <f>AJ54</f>
        <v>0.87758256189037265</v>
      </c>
      <c r="AW54" s="58">
        <f>AI54+1+$AE$9</f>
        <v>1.7</v>
      </c>
      <c r="AX54" s="59">
        <f>AH54</f>
        <v>0.87758256189037265</v>
      </c>
      <c r="AY54" s="58">
        <f>AK54+1+$AE$9</f>
        <v>1.7</v>
      </c>
      <c r="AZ54" s="59">
        <f>AL54</f>
        <v>0.87758256189037265</v>
      </c>
      <c r="BA54" s="58">
        <f>AM54+1+$AE$9</f>
        <v>1.7</v>
      </c>
      <c r="BB54" s="59">
        <f>AN54</f>
        <v>0.87758256189037265</v>
      </c>
      <c r="BC54" s="58">
        <f>AO54+1+$AE$9</f>
        <v>1.2</v>
      </c>
      <c r="BD54" s="59">
        <f>AP54</f>
        <v>0</v>
      </c>
      <c r="BE54" s="58">
        <f>AQ54+1+$AE$9</f>
        <v>1.2</v>
      </c>
      <c r="BF54" s="55">
        <f>AR54</f>
        <v>0</v>
      </c>
      <c r="BG54" s="55">
        <f>IF(AF54&lt;&gt;"",AS54+1+$AE$9,BC54)</f>
        <v>1.2</v>
      </c>
      <c r="BH54" s="59">
        <f>IF(AF54&lt;&gt;"",AT54,0)</f>
        <v>0</v>
      </c>
      <c r="BI54" s="58">
        <f>AU54-$AL$8+$AO$8</f>
        <v>1.1000000000000001</v>
      </c>
      <c r="BJ54" s="59">
        <f>AV54+$AP$9-$AM$7</f>
        <v>1.9306816361588202</v>
      </c>
      <c r="BK54" s="58">
        <f>AI54+$AO$10-$AI$9</f>
        <v>1.1000000000000001</v>
      </c>
      <c r="BL54" s="59">
        <f>AJ54+$AP$9-$AJ$7</f>
        <v>1.9306816361588202</v>
      </c>
      <c r="BM54" s="58">
        <f>IF(AND($AE$8=1,AF54&lt;&gt;""), BI54, $BI$15)</f>
        <v>0.60000000000000009</v>
      </c>
      <c r="BN54" s="59">
        <f>IF(AND($AE$8=1,AF54&lt;&gt;""), BJ54, $BJ$15)</f>
        <v>1.0530990742684474</v>
      </c>
      <c r="BO54" s="58">
        <f>IF(AND($AE$8=1,AF54&lt;&gt;""), BK54, $BK$15)</f>
        <v>1.6</v>
      </c>
      <c r="BP54" s="59">
        <f>IF(AND($AE$8=1,AF54&lt;&gt;""), BL54, $BJ$15)</f>
        <v>1.0530990742684474</v>
      </c>
    </row>
    <row r="55" spans="1:68" x14ac:dyDescent="0.25">
      <c r="A55" s="37"/>
      <c r="B55" s="38"/>
      <c r="C55" s="37"/>
      <c r="D55" s="2"/>
      <c r="E55" s="2"/>
      <c r="F55" s="38"/>
      <c r="G55" s="37"/>
      <c r="H55" s="2"/>
      <c r="I55" s="3"/>
      <c r="J55" s="90" t="str">
        <f>IF(C55&lt;&gt;"",$C55/'Elements and ions'!$B$12,"")</f>
        <v/>
      </c>
      <c r="K55" s="65" t="str">
        <f>IF(D55&lt;&gt;"",$D55/'Elements and ions'!$B$20,"")</f>
        <v/>
      </c>
      <c r="L55" s="65" t="str">
        <f>IF(E55&lt;&gt;"",$E55/'Elements and ions'!$B$21*2,"")</f>
        <v/>
      </c>
      <c r="M55" s="81" t="str">
        <f>IF(F55&lt;&gt;"",$F55/'Elements and ions'!$B$13*2,"")</f>
        <v/>
      </c>
      <c r="N55" s="80" t="str">
        <f>IF(G55&lt;&gt;"",-$G55/'Elements and ions'!$F$3,"")</f>
        <v/>
      </c>
      <c r="O55" s="65" t="str">
        <f>IF(H55&lt;&gt;"",-$H55/'Elements and ions'!$B$18,"")</f>
        <v/>
      </c>
      <c r="P55" s="81" t="str">
        <f>IF(I55&lt;&gt;"",-2*$I55/'Elements and ions'!$F$4,"")</f>
        <v/>
      </c>
      <c r="Q55" s="80" t="str">
        <f t="shared" si="0"/>
        <v/>
      </c>
      <c r="R55" s="65" t="str">
        <f t="shared" si="1"/>
        <v/>
      </c>
      <c r="S55" s="81" t="str">
        <f t="shared" si="2"/>
        <v/>
      </c>
      <c r="T55" s="80" t="str">
        <f t="shared" si="3"/>
        <v/>
      </c>
      <c r="U55" s="65" t="str">
        <f t="shared" si="4"/>
        <v/>
      </c>
      <c r="V55" s="91" t="str">
        <f t="shared" si="5"/>
        <v/>
      </c>
      <c r="W55" s="70" t="str">
        <f t="shared" si="6"/>
        <v/>
      </c>
      <c r="X55" s="65" t="str">
        <f>IF(V55&lt;&gt;"",IF($V55&lt;&gt;0,(($V55+(0.5*T55))/100+1+$AE$9),-1),"")</f>
        <v/>
      </c>
      <c r="Y55" s="81" t="str">
        <f>IF(AND(W55&lt;&gt;-1,X55&lt;&gt;-1,W55&lt;&gt;"",X55&lt;&gt;"",AA55&lt;&gt;-1,Z55&lt;&gt;-1,AA55&lt;&gt;"",Z55&lt;&gt;""),(W55+X55)/2+(AA55-Z55)/(4*COS(0.5)*$AE$5),"")</f>
        <v/>
      </c>
      <c r="Z55" s="70" t="str">
        <f>IF(S55&lt;&gt;"",IF($S55&lt;&gt;"",((($S55*COS(0.5))*$AE$5)/100),-1),"")</f>
        <v/>
      </c>
      <c r="AA55" s="65" t="str">
        <f>IF(T55&lt;&gt;"",IF($T55&lt;&gt;"",((($T55*COS(0.5))*$AE$5)/100),-1),"")</f>
        <v/>
      </c>
      <c r="AB55" s="66" t="str">
        <f>IF(Y55&lt;&gt;"",2*COS(0.5)*$AE$5*(X55-W55)/2+(AA55+Z55)/2,"")</f>
        <v/>
      </c>
      <c r="AC55" s="5"/>
      <c r="AE55" s="51" t="s">
        <v>138</v>
      </c>
      <c r="AF55" s="97" t="str">
        <f t="shared" si="7"/>
        <v/>
      </c>
      <c r="AG55" s="58">
        <f>IF(AF55&lt;&gt;"", ((AF55*0.5)-$AE$7), AG51)</f>
        <v>0.49999999999999994</v>
      </c>
      <c r="AH55" s="59">
        <f>IF(AF55&lt;&gt;"", (AF55*COS(0.5)*$AE$5), AH52)</f>
        <v>0.87758256189037265</v>
      </c>
      <c r="AI55" s="58">
        <f>IF(AF55&lt;&gt;"", AI54+($AE$7*0.5), AI51)</f>
        <v>0.5</v>
      </c>
      <c r="AJ55" s="59">
        <f>IF(AF55&lt;&gt;"", AJ54+($AE$7*COS(0.5)*$AE$5), AJ51)</f>
        <v>0.87758256189037265</v>
      </c>
      <c r="AK55" s="58">
        <f>IF($AE$8=1, AG54, AK51)</f>
        <v>0.49999999999999994</v>
      </c>
      <c r="AL55" s="59">
        <f>IF($AE$8=1, AJ54, AL51)</f>
        <v>0.87758256189037265</v>
      </c>
      <c r="AM55" s="58">
        <f>IF(AND($AE$8=1, AF54&lt;&gt;""), 1-AF54, AM54)</f>
        <v>0.5</v>
      </c>
      <c r="AN55" s="59">
        <f>IF(AND($AE$8=1, AF54&lt;&gt;""), 0, AN54)</f>
        <v>0.87758256189037265</v>
      </c>
      <c r="AO55" s="58">
        <f>IF($AE$8=1,AG54,AO54)</f>
        <v>0.49999999999999994</v>
      </c>
      <c r="AP55" s="59">
        <f>IF($AE$8=1,AH54,0)</f>
        <v>0.87758256189037265</v>
      </c>
      <c r="AQ55" s="58">
        <f>IF(AF54&lt;&gt;"",AQ54+(0.5*$AE$7),0)</f>
        <v>0</v>
      </c>
      <c r="AR55" s="55">
        <f>IF(AF54&lt;&gt;"",-COS(0.5)*$AE$7*$AE$5,0)</f>
        <v>0</v>
      </c>
      <c r="AS55" s="55">
        <f>AQ55</f>
        <v>0</v>
      </c>
      <c r="AT55" s="59">
        <f>AR55</f>
        <v>0</v>
      </c>
      <c r="AU55" s="58">
        <f>IF(AF55&lt;&gt;"",AG55+1+$AE$9+($AE$7*0.5), $AL$7)</f>
        <v>1.7</v>
      </c>
      <c r="AV55" s="59">
        <f>AJ55</f>
        <v>0.87758256189037265</v>
      </c>
      <c r="AW55" s="58">
        <f>AI55+1+$AE$9+0.5*$AE$7</f>
        <v>1.7149999999999999</v>
      </c>
      <c r="AX55" s="59">
        <f>AH55</f>
        <v>0.87758256189037265</v>
      </c>
      <c r="AY55" s="58">
        <f>AK55+1+$AE$9</f>
        <v>1.7</v>
      </c>
      <c r="AZ55" s="59">
        <f>AL55</f>
        <v>0.87758256189037265</v>
      </c>
      <c r="BA55" s="58">
        <f>AM55+1+$AE$9</f>
        <v>1.7</v>
      </c>
      <c r="BB55" s="59">
        <f>AN55</f>
        <v>0.87758256189037265</v>
      </c>
      <c r="BC55" s="58">
        <f>AO55+1+$AE$9</f>
        <v>1.7</v>
      </c>
      <c r="BD55" s="59">
        <f>AP55</f>
        <v>0.87758256189037265</v>
      </c>
      <c r="BE55" s="58">
        <f>AQ55+1+$AE$9</f>
        <v>1.2</v>
      </c>
      <c r="BF55" s="55">
        <f>AR55</f>
        <v>0</v>
      </c>
      <c r="BG55" s="55">
        <f>IF(AF55&lt;&gt;"",AS55+1+$AE$9-$AE$7,BC54)</f>
        <v>1.2</v>
      </c>
      <c r="BH55" s="59">
        <f>IF(AF55&lt;&gt;"",AT55,0)</f>
        <v>0</v>
      </c>
      <c r="BI55" s="58">
        <f>AU55-$AL$8+$AO$8</f>
        <v>1.1000000000000001</v>
      </c>
      <c r="BJ55" s="59">
        <f>AV55+$AP$9-$AM$7</f>
        <v>1.9306816361588202</v>
      </c>
      <c r="BK55" s="58">
        <f>AI55+$AO$10-$AI$9</f>
        <v>1.1000000000000001</v>
      </c>
      <c r="BL55" s="59">
        <f>AJ55+$AP$9-$AJ$7</f>
        <v>1.9306816361588202</v>
      </c>
      <c r="BM55" s="58">
        <f>IF(AND($AE$8=1,AF55&lt;&gt;""), BM54+0.5, $BI$15)</f>
        <v>0.60000000000000009</v>
      </c>
      <c r="BN55" s="59">
        <f>IF(AND($AE$8=1,AF55&lt;&gt;""), BN54-$AM$7, $BJ$15)</f>
        <v>1.0530990742684474</v>
      </c>
      <c r="BO55" s="58">
        <f>IF(AND($AE$8=1,AF55&lt;&gt;""), BO54-0.5, $BK$15)</f>
        <v>1.6</v>
      </c>
      <c r="BP55" s="59">
        <f>IF(AND($AE$8=1,AF55&lt;&gt;""), BP54-$AM$7, $BL$15)</f>
        <v>1.0530990742684474</v>
      </c>
    </row>
    <row r="56" spans="1:68" x14ac:dyDescent="0.25">
      <c r="A56" s="37"/>
      <c r="B56" s="38"/>
      <c r="C56" s="37"/>
      <c r="D56" s="2"/>
      <c r="E56" s="2"/>
      <c r="F56" s="38"/>
      <c r="G56" s="37"/>
      <c r="H56" s="2"/>
      <c r="I56" s="3"/>
      <c r="J56" s="90" t="str">
        <f>IF(C56&lt;&gt;"",$C56/'Elements and ions'!$B$12,"")</f>
        <v/>
      </c>
      <c r="K56" s="65" t="str">
        <f>IF(D56&lt;&gt;"",$D56/'Elements and ions'!$B$20,"")</f>
        <v/>
      </c>
      <c r="L56" s="65" t="str">
        <f>IF(E56&lt;&gt;"",$E56/'Elements and ions'!$B$21*2,"")</f>
        <v/>
      </c>
      <c r="M56" s="81" t="str">
        <f>IF(F56&lt;&gt;"",$F56/'Elements and ions'!$B$13*2,"")</f>
        <v/>
      </c>
      <c r="N56" s="80" t="str">
        <f>IF(G56&lt;&gt;"",-$G56/'Elements and ions'!$F$3,"")</f>
        <v/>
      </c>
      <c r="O56" s="65" t="str">
        <f>IF(H56&lt;&gt;"",-$H56/'Elements and ions'!$B$18,"")</f>
        <v/>
      </c>
      <c r="P56" s="81" t="str">
        <f>IF(I56&lt;&gt;"",-2*$I56/'Elements and ions'!$F$4,"")</f>
        <v/>
      </c>
      <c r="Q56" s="80" t="str">
        <f t="shared" si="0"/>
        <v/>
      </c>
      <c r="R56" s="65" t="str">
        <f t="shared" si="1"/>
        <v/>
      </c>
      <c r="S56" s="81" t="str">
        <f t="shared" si="2"/>
        <v/>
      </c>
      <c r="T56" s="80" t="str">
        <f t="shared" si="3"/>
        <v/>
      </c>
      <c r="U56" s="65" t="str">
        <f t="shared" si="4"/>
        <v/>
      </c>
      <c r="V56" s="91" t="str">
        <f t="shared" si="5"/>
        <v/>
      </c>
      <c r="W56" s="70" t="str">
        <f t="shared" si="6"/>
        <v/>
      </c>
      <c r="X56" s="65" t="str">
        <f>IF(V56&lt;&gt;"",IF($V56&lt;&gt;0,(($V56+(0.5*T56))/100+1+$AE$9),-1),"")</f>
        <v/>
      </c>
      <c r="Y56" s="81" t="str">
        <f>IF(AND(W56&lt;&gt;-1,X56&lt;&gt;-1,W56&lt;&gt;"",X56&lt;&gt;"",AA56&lt;&gt;-1,Z56&lt;&gt;-1,AA56&lt;&gt;"",Z56&lt;&gt;""),(W56+X56)/2+(AA56-Z56)/(4*COS(0.5)*$AE$5),"")</f>
        <v/>
      </c>
      <c r="Z56" s="70" t="str">
        <f>IF(S56&lt;&gt;"",IF($S56&lt;&gt;"",((($S56*COS(0.5))*$AE$5)/100),-1),"")</f>
        <v/>
      </c>
      <c r="AA56" s="65" t="str">
        <f>IF(T56&lt;&gt;"",IF($T56&lt;&gt;"",((($T56*COS(0.5))*$AE$5)/100),-1),"")</f>
        <v/>
      </c>
      <c r="AB56" s="66" t="str">
        <f>IF(Y56&lt;&gt;"",2*COS(0.5)*$AE$5*(X56-W56)/2+(AA56+Z56)/2,"")</f>
        <v/>
      </c>
      <c r="AC56" s="5"/>
      <c r="AE56" s="51"/>
      <c r="AF56" s="97" t="str">
        <f t="shared" si="7"/>
        <v/>
      </c>
      <c r="AG56" s="58">
        <f>IF(AF56&lt;&gt;"", (AF56*0.5), AG51)</f>
        <v>0.49999999999999994</v>
      </c>
      <c r="AH56" s="59">
        <f>IF(AF56&lt;&gt;"", (AF56*COS(0.5)*$AE$5), AH53)</f>
        <v>0.87758256189037265</v>
      </c>
      <c r="AI56" s="58">
        <f>IF(AF56&lt;&gt;"", 1-(AF56*0.5), AI51)</f>
        <v>0.5</v>
      </c>
      <c r="AJ56" s="59">
        <f>IF(AF56&lt;&gt;"", (AF56*COS(0.5)*$AE$5), AJ53)</f>
        <v>0.87758256189037265</v>
      </c>
      <c r="AK56" s="58"/>
      <c r="AL56" s="59"/>
      <c r="AM56" s="58"/>
      <c r="AN56" s="59"/>
      <c r="AO56" s="58"/>
      <c r="AP56" s="59"/>
      <c r="AQ56" s="58">
        <f>IF(AF54&lt;&gt;"", AF54, 0)</f>
        <v>0</v>
      </c>
      <c r="AR56" s="55">
        <v>0</v>
      </c>
      <c r="AS56" s="55">
        <f>AQ56</f>
        <v>0</v>
      </c>
      <c r="AT56" s="59">
        <f>AR56</f>
        <v>0</v>
      </c>
      <c r="AU56" s="58">
        <f>IF(AF56&lt;&gt;"",AG56+1+$AE$9, $AL$7)</f>
        <v>1.7</v>
      </c>
      <c r="AV56" s="59">
        <f>AJ56</f>
        <v>0.87758256189037265</v>
      </c>
      <c r="AW56" s="58">
        <f>AI56+1+$AE$9</f>
        <v>1.7</v>
      </c>
      <c r="AX56" s="59">
        <f>AH56</f>
        <v>0.87758256189037265</v>
      </c>
      <c r="AY56" s="58"/>
      <c r="AZ56" s="59"/>
      <c r="BA56" s="58"/>
      <c r="BB56" s="59"/>
      <c r="BC56" s="58"/>
      <c r="BD56" s="59"/>
      <c r="BE56" s="58">
        <f>AQ56+1+$AE$9</f>
        <v>1.2</v>
      </c>
      <c r="BF56" s="55">
        <f>AR56</f>
        <v>0</v>
      </c>
      <c r="BG56" s="55">
        <f t="shared" ref="BG56" si="20">BG54</f>
        <v>1.2</v>
      </c>
      <c r="BH56" s="59">
        <f>IF(AF56&lt;&gt;"",AT56,0)</f>
        <v>0</v>
      </c>
      <c r="BI56" s="58">
        <f>AU56-$AL$8+$AO$8</f>
        <v>1.1000000000000001</v>
      </c>
      <c r="BJ56" s="59">
        <f>AV56+$AP$9-$AM$7</f>
        <v>1.9306816361588202</v>
      </c>
      <c r="BK56" s="58">
        <f>AI56+$AO$10-$AI$9</f>
        <v>1.1000000000000001</v>
      </c>
      <c r="BL56" s="59">
        <f>AJ56+$AP$9-$AJ$7</f>
        <v>1.9306816361588202</v>
      </c>
      <c r="BM56" s="58"/>
      <c r="BN56" s="59"/>
      <c r="BO56" s="58"/>
      <c r="BP56" s="59"/>
    </row>
    <row r="57" spans="1:68" x14ac:dyDescent="0.25">
      <c r="A57" s="37"/>
      <c r="B57" s="38"/>
      <c r="C57" s="37"/>
      <c r="D57" s="2"/>
      <c r="E57" s="2"/>
      <c r="F57" s="38"/>
      <c r="G57" s="37"/>
      <c r="H57" s="2"/>
      <c r="I57" s="3"/>
      <c r="J57" s="90" t="str">
        <f>IF(C57&lt;&gt;"",$C57/'Elements and ions'!$B$12,"")</f>
        <v/>
      </c>
      <c r="K57" s="65" t="str">
        <f>IF(D57&lt;&gt;"",$D57/'Elements and ions'!$B$20,"")</f>
        <v/>
      </c>
      <c r="L57" s="65" t="str">
        <f>IF(E57&lt;&gt;"",$E57/'Elements and ions'!$B$21*2,"")</f>
        <v/>
      </c>
      <c r="M57" s="81" t="str">
        <f>IF(F57&lt;&gt;"",$F57/'Elements and ions'!$B$13*2,"")</f>
        <v/>
      </c>
      <c r="N57" s="80" t="str">
        <f>IF(G57&lt;&gt;"",-$G57/'Elements and ions'!$F$3,"")</f>
        <v/>
      </c>
      <c r="O57" s="65" t="str">
        <f>IF(H57&lt;&gt;"",-$H57/'Elements and ions'!$B$18,"")</f>
        <v/>
      </c>
      <c r="P57" s="81" t="str">
        <f>IF(I57&lt;&gt;"",-2*$I57/'Elements and ions'!$F$4,"")</f>
        <v/>
      </c>
      <c r="Q57" s="80" t="str">
        <f t="shared" si="0"/>
        <v/>
      </c>
      <c r="R57" s="65" t="str">
        <f t="shared" si="1"/>
        <v/>
      </c>
      <c r="S57" s="81" t="str">
        <f t="shared" si="2"/>
        <v/>
      </c>
      <c r="T57" s="80" t="str">
        <f t="shared" si="3"/>
        <v/>
      </c>
      <c r="U57" s="65" t="str">
        <f t="shared" si="4"/>
        <v/>
      </c>
      <c r="V57" s="91" t="str">
        <f t="shared" si="5"/>
        <v/>
      </c>
      <c r="W57" s="70" t="str">
        <f t="shared" si="6"/>
        <v/>
      </c>
      <c r="X57" s="65" t="str">
        <f>IF(V57&lt;&gt;"",IF($V57&lt;&gt;0,(($V57+(0.5*T57))/100+1+$AE$9),-1),"")</f>
        <v/>
      </c>
      <c r="Y57" s="81" t="str">
        <f>IF(AND(W57&lt;&gt;-1,X57&lt;&gt;-1,W57&lt;&gt;"",X57&lt;&gt;"",AA57&lt;&gt;-1,Z57&lt;&gt;-1,AA57&lt;&gt;"",Z57&lt;&gt;""),(W57+X57)/2+(AA57-Z57)/(4*COS(0.5)*$AE$5),"")</f>
        <v/>
      </c>
      <c r="Z57" s="70" t="str">
        <f>IF(S57&lt;&gt;"",IF($S57&lt;&gt;"",((($S57*COS(0.5))*$AE$5)/100),-1),"")</f>
        <v/>
      </c>
      <c r="AA57" s="65" t="str">
        <f>IF(T57&lt;&gt;"",IF($T57&lt;&gt;"",((($T57*COS(0.5))*$AE$5)/100),-1),"")</f>
        <v/>
      </c>
      <c r="AB57" s="66" t="str">
        <f>IF(Y57&lt;&gt;"",2*COS(0.5)*$AE$5*(X57-W57)/2+(AA57+Z57)/2,"")</f>
        <v/>
      </c>
      <c r="AC57" s="5"/>
      <c r="AE57" s="51"/>
      <c r="AF57" s="97" t="str">
        <f>IF(AND($AE$6&gt;0, $AE$7&gt;0, AF54&lt;1), AF54+$AE$6, "")</f>
        <v/>
      </c>
      <c r="AG57" s="58">
        <f>IF(AF57&lt;&gt;"", (AF57*0.5), AG54)</f>
        <v>0.49999999999999994</v>
      </c>
      <c r="AH57" s="59">
        <f>IF(AF57&lt;&gt;"", (AF57*COS(0.5)*$AE$5), AH54)</f>
        <v>0.87758256189037265</v>
      </c>
      <c r="AI57" s="58">
        <f>IF(AF57&lt;&gt;"", 1-(AF57*0.5), AI54)</f>
        <v>0.5</v>
      </c>
      <c r="AJ57" s="59">
        <f>IF(AF57&lt;&gt;"", (AF57*COS(0.5)*$AE$5), AJ54)</f>
        <v>0.87758256189037265</v>
      </c>
      <c r="AK57" s="58">
        <f>IF($AE$8=1, AI57, AK54)</f>
        <v>0.5</v>
      </c>
      <c r="AL57" s="59">
        <f>IF($AE$8=1, AJ57, AL54)</f>
        <v>0.87758256189037265</v>
      </c>
      <c r="AM57" s="58">
        <f>IF(AND($AE$8=1, AF57&lt;&gt;""), AI57, AM54)</f>
        <v>0.5</v>
      </c>
      <c r="AN57" s="59">
        <f>IF(AND($AE$8=1, AF57&lt;&gt;""), AJ57, AN54)</f>
        <v>0.87758256189037265</v>
      </c>
      <c r="AO57" s="58">
        <f>IF($AE$8=1,AQ57,AO54)</f>
        <v>0</v>
      </c>
      <c r="AP57" s="59">
        <v>0</v>
      </c>
      <c r="AQ57" s="58">
        <f>IF(AF57&lt;&gt;"", AF57, 0)</f>
        <v>0</v>
      </c>
      <c r="AR57" s="55">
        <v>0</v>
      </c>
      <c r="AS57" s="55">
        <f>AQ57</f>
        <v>0</v>
      </c>
      <c r="AT57" s="59">
        <f>AR57</f>
        <v>0</v>
      </c>
      <c r="AU57" s="58">
        <f>IF(AF57&lt;&gt;"",AG57+1+$AE$9, $AL$7)</f>
        <v>1.7</v>
      </c>
      <c r="AV57" s="59">
        <f>AJ57</f>
        <v>0.87758256189037265</v>
      </c>
      <c r="AW57" s="58">
        <f>AI57+1+$AE$9</f>
        <v>1.7</v>
      </c>
      <c r="AX57" s="59">
        <f>AH57</f>
        <v>0.87758256189037265</v>
      </c>
      <c r="AY57" s="58">
        <f>AK57+1+$AE$9</f>
        <v>1.7</v>
      </c>
      <c r="AZ57" s="59">
        <f>AL57</f>
        <v>0.87758256189037265</v>
      </c>
      <c r="BA57" s="58">
        <f>AM57+1+$AE$9</f>
        <v>1.7</v>
      </c>
      <c r="BB57" s="59">
        <f>AN57</f>
        <v>0.87758256189037265</v>
      </c>
      <c r="BC57" s="58">
        <f>AO57+1+$AE$9</f>
        <v>1.2</v>
      </c>
      <c r="BD57" s="59">
        <f>AP57</f>
        <v>0</v>
      </c>
      <c r="BE57" s="58">
        <f>AQ57+1+$AE$9</f>
        <v>1.2</v>
      </c>
      <c r="BF57" s="55">
        <f>AR57</f>
        <v>0</v>
      </c>
      <c r="BG57" s="55">
        <f>IF(AF57&lt;&gt;"",AS57+1+$AE$9,BC57)</f>
        <v>1.2</v>
      </c>
      <c r="BH57" s="59">
        <f>IF(AF57&lt;&gt;"",AT57,0)</f>
        <v>0</v>
      </c>
      <c r="BI57" s="58">
        <f>AU57-$AL$8+$AO$8</f>
        <v>1.1000000000000001</v>
      </c>
      <c r="BJ57" s="59">
        <f>AV57+$AP$9-$AM$7</f>
        <v>1.9306816361588202</v>
      </c>
      <c r="BK57" s="58">
        <f>AI57+$AO$10-$AI$9</f>
        <v>1.1000000000000001</v>
      </c>
      <c r="BL57" s="59">
        <f>AJ57+$AP$9-$AJ$7</f>
        <v>1.9306816361588202</v>
      </c>
      <c r="BM57" s="58">
        <f>IF(AND($AE$8=1,AF57&lt;&gt;""), BI57, $BI$15)</f>
        <v>0.60000000000000009</v>
      </c>
      <c r="BN57" s="59">
        <f>IF(AND($AE$8=1,AF57&lt;&gt;""), BJ57, $BJ$15)</f>
        <v>1.0530990742684474</v>
      </c>
      <c r="BO57" s="58">
        <f>IF(AND($AE$8=1,AF57&lt;&gt;""), BK57, $BK$15)</f>
        <v>1.6</v>
      </c>
      <c r="BP57" s="59">
        <f>IF(AND($AE$8=1,AF57&lt;&gt;""), BL57, $BJ$15)</f>
        <v>1.0530990742684474</v>
      </c>
    </row>
    <row r="58" spans="1:68" x14ac:dyDescent="0.25">
      <c r="A58" s="37"/>
      <c r="B58" s="38"/>
      <c r="C58" s="37"/>
      <c r="D58" s="2"/>
      <c r="E58" s="2"/>
      <c r="F58" s="38"/>
      <c r="G58" s="37"/>
      <c r="H58" s="2"/>
      <c r="I58" s="3"/>
      <c r="J58" s="90" t="str">
        <f>IF(C58&lt;&gt;"",$C58/'Elements and ions'!$B$12,"")</f>
        <v/>
      </c>
      <c r="K58" s="65" t="str">
        <f>IF(D58&lt;&gt;"",$D58/'Elements and ions'!$B$20,"")</f>
        <v/>
      </c>
      <c r="L58" s="65" t="str">
        <f>IF(E58&lt;&gt;"",$E58/'Elements and ions'!$B$21*2,"")</f>
        <v/>
      </c>
      <c r="M58" s="81" t="str">
        <f>IF(F58&lt;&gt;"",$F58/'Elements and ions'!$B$13*2,"")</f>
        <v/>
      </c>
      <c r="N58" s="80" t="str">
        <f>IF(G58&lt;&gt;"",-$G58/'Elements and ions'!$F$3,"")</f>
        <v/>
      </c>
      <c r="O58" s="65" t="str">
        <f>IF(H58&lt;&gt;"",-$H58/'Elements and ions'!$B$18,"")</f>
        <v/>
      </c>
      <c r="P58" s="81" t="str">
        <f>IF(I58&lt;&gt;"",-2*$I58/'Elements and ions'!$F$4,"")</f>
        <v/>
      </c>
      <c r="Q58" s="80" t="str">
        <f t="shared" si="0"/>
        <v/>
      </c>
      <c r="R58" s="65" t="str">
        <f t="shared" si="1"/>
        <v/>
      </c>
      <c r="S58" s="81" t="str">
        <f t="shared" si="2"/>
        <v/>
      </c>
      <c r="T58" s="80" t="str">
        <f t="shared" si="3"/>
        <v/>
      </c>
      <c r="U58" s="65" t="str">
        <f t="shared" si="4"/>
        <v/>
      </c>
      <c r="V58" s="91" t="str">
        <f t="shared" si="5"/>
        <v/>
      </c>
      <c r="W58" s="70" t="str">
        <f t="shared" si="6"/>
        <v/>
      </c>
      <c r="X58" s="65" t="str">
        <f>IF(V58&lt;&gt;"",IF($V58&lt;&gt;0,(($V58+(0.5*T58))/100+1+$AE$9),-1),"")</f>
        <v/>
      </c>
      <c r="Y58" s="81" t="str">
        <f>IF(AND(W58&lt;&gt;-1,X58&lt;&gt;-1,W58&lt;&gt;"",X58&lt;&gt;"",AA58&lt;&gt;-1,Z58&lt;&gt;-1,AA58&lt;&gt;"",Z58&lt;&gt;""),(W58+X58)/2+(AA58-Z58)/(4*COS(0.5)*$AE$5),"")</f>
        <v/>
      </c>
      <c r="Z58" s="70" t="str">
        <f>IF(S58&lt;&gt;"",IF($S58&lt;&gt;"",((($S58*COS(0.5))*$AE$5)/100),-1),"")</f>
        <v/>
      </c>
      <c r="AA58" s="65" t="str">
        <f>IF(T58&lt;&gt;"",IF($T58&lt;&gt;"",((($T58*COS(0.5))*$AE$5)/100),-1),"")</f>
        <v/>
      </c>
      <c r="AB58" s="66" t="str">
        <f>IF(Y58&lt;&gt;"",2*COS(0.5)*$AE$5*(X58-W58)/2+(AA58+Z58)/2,"")</f>
        <v/>
      </c>
      <c r="AC58" s="5"/>
      <c r="AE58" s="51"/>
      <c r="AF58" s="97" t="str">
        <f t="shared" si="7"/>
        <v/>
      </c>
      <c r="AG58" s="58">
        <f>IF(AF58&lt;&gt;"", ((AF58*0.5)-$AE$7), AG54)</f>
        <v>0.49999999999999994</v>
      </c>
      <c r="AH58" s="59">
        <f>IF(AF58&lt;&gt;"", (AF58*COS(0.5)*$AE$5), AH55)</f>
        <v>0.87758256189037265</v>
      </c>
      <c r="AI58" s="58">
        <f>IF(AF58&lt;&gt;"", AI57+($AE$7*0.5), AI54)</f>
        <v>0.5</v>
      </c>
      <c r="AJ58" s="59">
        <f>IF(AF58&lt;&gt;"", AJ57+($AE$7*COS(0.5)*$AE$5), AJ54)</f>
        <v>0.87758256189037265</v>
      </c>
      <c r="AK58" s="58">
        <f>IF($AE$8=1, AG57, AK54)</f>
        <v>0.49999999999999994</v>
      </c>
      <c r="AL58" s="59">
        <f>IF($AE$8=1, AJ57, AL54)</f>
        <v>0.87758256189037265</v>
      </c>
      <c r="AM58" s="58">
        <f>IF(AND($AE$8=1, AF57&lt;&gt;""), 1-AF57, AM57)</f>
        <v>0.5</v>
      </c>
      <c r="AN58" s="59">
        <f>IF(AND($AE$8=1, AF57&lt;&gt;""), 0, AN57)</f>
        <v>0.87758256189037265</v>
      </c>
      <c r="AO58" s="58">
        <f>IF($AE$8=1,AG57,AO57)</f>
        <v>0.49999999999999994</v>
      </c>
      <c r="AP58" s="59">
        <f>IF($AE$8=1,AH57,0)</f>
        <v>0.87758256189037265</v>
      </c>
      <c r="AQ58" s="58">
        <f>IF(AF57&lt;&gt;"",AQ57+(0.5*$AE$7),0)</f>
        <v>0</v>
      </c>
      <c r="AR58" s="55">
        <f>IF(AF57&lt;&gt;"",-COS(0.5)*$AE$7*$AE$5,0)</f>
        <v>0</v>
      </c>
      <c r="AS58" s="55">
        <f>AQ58</f>
        <v>0</v>
      </c>
      <c r="AT58" s="59">
        <f>AR58</f>
        <v>0</v>
      </c>
      <c r="AU58" s="58">
        <f>IF(AF58&lt;&gt;"",AG58+1+$AE$9+($AE$7*0.5), $AL$7)</f>
        <v>1.7</v>
      </c>
      <c r="AV58" s="59">
        <f>AJ58</f>
        <v>0.87758256189037265</v>
      </c>
      <c r="AW58" s="58">
        <f>AI58+1+$AE$9+0.5*$AE$7</f>
        <v>1.7149999999999999</v>
      </c>
      <c r="AX58" s="59">
        <f>AH58</f>
        <v>0.87758256189037265</v>
      </c>
      <c r="AY58" s="58">
        <f>AK58+1+$AE$9</f>
        <v>1.7</v>
      </c>
      <c r="AZ58" s="59">
        <f>AL58</f>
        <v>0.87758256189037265</v>
      </c>
      <c r="BA58" s="58">
        <f>AM58+1+$AE$9</f>
        <v>1.7</v>
      </c>
      <c r="BB58" s="59">
        <f>AN58</f>
        <v>0.87758256189037265</v>
      </c>
      <c r="BC58" s="58">
        <f>AO58+1+$AE$9</f>
        <v>1.7</v>
      </c>
      <c r="BD58" s="59">
        <f>AP58</f>
        <v>0.87758256189037265</v>
      </c>
      <c r="BE58" s="58">
        <f>AQ58+1+$AE$9</f>
        <v>1.2</v>
      </c>
      <c r="BF58" s="55">
        <f>AR58</f>
        <v>0</v>
      </c>
      <c r="BG58" s="55">
        <f>IF(AF58&lt;&gt;"",AS58+1+$AE$9-$AE$7,BC57)</f>
        <v>1.2</v>
      </c>
      <c r="BH58" s="59">
        <f>IF(AF58&lt;&gt;"",AT58,0)</f>
        <v>0</v>
      </c>
      <c r="BI58" s="58">
        <f>AU58-$AL$8+$AO$8</f>
        <v>1.1000000000000001</v>
      </c>
      <c r="BJ58" s="59">
        <f>AV58+$AP$9-$AM$7</f>
        <v>1.9306816361588202</v>
      </c>
      <c r="BK58" s="58">
        <f>AI58+$AO$10-$AI$9</f>
        <v>1.1000000000000001</v>
      </c>
      <c r="BL58" s="59">
        <f>AJ58+$AP$9-$AJ$7</f>
        <v>1.9306816361588202</v>
      </c>
      <c r="BM58" s="58">
        <f>IF(AND($AE$8=1,AF58&lt;&gt;""), BM57+0.5, $BI$15)</f>
        <v>0.60000000000000009</v>
      </c>
      <c r="BN58" s="59">
        <f>IF(AND($AE$8=1,AF58&lt;&gt;""), BN57-$AM$7, $BJ$15)</f>
        <v>1.0530990742684474</v>
      </c>
      <c r="BO58" s="58">
        <f>IF(AND($AE$8=1,AF58&lt;&gt;""), BO57-0.5, $BK$15)</f>
        <v>1.6</v>
      </c>
      <c r="BP58" s="59">
        <f>IF(AND($AE$8=1,AF58&lt;&gt;""), BP57-$AM$7, $BL$15)</f>
        <v>1.0530990742684474</v>
      </c>
    </row>
    <row r="59" spans="1:68" x14ac:dyDescent="0.25">
      <c r="A59" s="37"/>
      <c r="B59" s="38"/>
      <c r="C59" s="37"/>
      <c r="D59" s="2"/>
      <c r="E59" s="2"/>
      <c r="F59" s="38"/>
      <c r="G59" s="37"/>
      <c r="H59" s="2"/>
      <c r="I59" s="3"/>
      <c r="J59" s="90" t="str">
        <f>IF(C59&lt;&gt;"",$C59/'Elements and ions'!$B$12,"")</f>
        <v/>
      </c>
      <c r="K59" s="65" t="str">
        <f>IF(D59&lt;&gt;"",$D59/'Elements and ions'!$B$20,"")</f>
        <v/>
      </c>
      <c r="L59" s="65" t="str">
        <f>IF(E59&lt;&gt;"",$E59/'Elements and ions'!$B$21*2,"")</f>
        <v/>
      </c>
      <c r="M59" s="81" t="str">
        <f>IF(F59&lt;&gt;"",$F59/'Elements and ions'!$B$13*2,"")</f>
        <v/>
      </c>
      <c r="N59" s="80" t="str">
        <f>IF(G59&lt;&gt;"",-$G59/'Elements and ions'!$F$3,"")</f>
        <v/>
      </c>
      <c r="O59" s="65" t="str">
        <f>IF(H59&lt;&gt;"",-$H59/'Elements and ions'!$B$18,"")</f>
        <v/>
      </c>
      <c r="P59" s="81" t="str">
        <f>IF(I59&lt;&gt;"",-2*$I59/'Elements and ions'!$F$4,"")</f>
        <v/>
      </c>
      <c r="Q59" s="80" t="str">
        <f t="shared" si="0"/>
        <v/>
      </c>
      <c r="R59" s="65" t="str">
        <f t="shared" si="1"/>
        <v/>
      </c>
      <c r="S59" s="81" t="str">
        <f t="shared" si="2"/>
        <v/>
      </c>
      <c r="T59" s="80" t="str">
        <f t="shared" si="3"/>
        <v/>
      </c>
      <c r="U59" s="65" t="str">
        <f t="shared" si="4"/>
        <v/>
      </c>
      <c r="V59" s="91" t="str">
        <f t="shared" si="5"/>
        <v/>
      </c>
      <c r="W59" s="70" t="str">
        <f t="shared" si="6"/>
        <v/>
      </c>
      <c r="X59" s="65" t="str">
        <f>IF(V59&lt;&gt;"",IF($V59&lt;&gt;0,(($V59+(0.5*T59))/100+1+$AE$9),-1),"")</f>
        <v/>
      </c>
      <c r="Y59" s="81" t="str">
        <f>IF(AND(W59&lt;&gt;-1,X59&lt;&gt;-1,W59&lt;&gt;"",X59&lt;&gt;"",AA59&lt;&gt;-1,Z59&lt;&gt;-1,AA59&lt;&gt;"",Z59&lt;&gt;""),(W59+X59)/2+(AA59-Z59)/(4*COS(0.5)*$AE$5),"")</f>
        <v/>
      </c>
      <c r="Z59" s="70" t="str">
        <f>IF(S59&lt;&gt;"",IF($S59&lt;&gt;"",((($S59*COS(0.5))*$AE$5)/100),-1),"")</f>
        <v/>
      </c>
      <c r="AA59" s="65" t="str">
        <f>IF(T59&lt;&gt;"",IF($T59&lt;&gt;"",((($T59*COS(0.5))*$AE$5)/100),-1),"")</f>
        <v/>
      </c>
      <c r="AB59" s="66" t="str">
        <f>IF(Y59&lt;&gt;"",2*COS(0.5)*$AE$5*(X59-W59)/2+(AA59+Z59)/2,"")</f>
        <v/>
      </c>
      <c r="AC59" s="5"/>
      <c r="AE59" s="51"/>
      <c r="AF59" s="97" t="str">
        <f t="shared" si="7"/>
        <v/>
      </c>
      <c r="AG59" s="58">
        <f>IF(AF59&lt;&gt;"", (AF59*0.5), AG54)</f>
        <v>0.49999999999999994</v>
      </c>
      <c r="AH59" s="59">
        <f>IF(AF59&lt;&gt;"", (AF59*COS(0.5)*$AE$5), AH56)</f>
        <v>0.87758256189037265</v>
      </c>
      <c r="AI59" s="58">
        <f>IF(AF59&lt;&gt;"", 1-(AF59*0.5), AI54)</f>
        <v>0.5</v>
      </c>
      <c r="AJ59" s="59">
        <f>IF(AF59&lt;&gt;"", (AF59*COS(0.5)*$AE$5), AJ56)</f>
        <v>0.87758256189037265</v>
      </c>
      <c r="AK59" s="58"/>
      <c r="AL59" s="59"/>
      <c r="AM59" s="58"/>
      <c r="AN59" s="59"/>
      <c r="AO59" s="58"/>
      <c r="AP59" s="59"/>
      <c r="AQ59" s="58">
        <f>IF(AF57&lt;&gt;"", AF57, 0)</f>
        <v>0</v>
      </c>
      <c r="AR59" s="55">
        <v>0</v>
      </c>
      <c r="AS59" s="55">
        <f>AQ59</f>
        <v>0</v>
      </c>
      <c r="AT59" s="59">
        <f>AR59</f>
        <v>0</v>
      </c>
      <c r="AU59" s="58">
        <f>IF(AF59&lt;&gt;"",AG59+1+$AE$9, $AL$7)</f>
        <v>1.7</v>
      </c>
      <c r="AV59" s="59">
        <f>AJ59</f>
        <v>0.87758256189037265</v>
      </c>
      <c r="AW59" s="58">
        <f>AI59+1+$AE$9</f>
        <v>1.7</v>
      </c>
      <c r="AX59" s="59">
        <f>AH59</f>
        <v>0.87758256189037265</v>
      </c>
      <c r="AY59" s="58"/>
      <c r="AZ59" s="59"/>
      <c r="BA59" s="58"/>
      <c r="BB59" s="59"/>
      <c r="BC59" s="58"/>
      <c r="BD59" s="59"/>
      <c r="BE59" s="58">
        <f>AQ59+1+$AE$9</f>
        <v>1.2</v>
      </c>
      <c r="BF59" s="55">
        <f>AR59</f>
        <v>0</v>
      </c>
      <c r="BG59" s="55">
        <f t="shared" ref="BG59" si="21">BG57</f>
        <v>1.2</v>
      </c>
      <c r="BH59" s="59">
        <f>IF(AF59&lt;&gt;"",AT59,0)</f>
        <v>0</v>
      </c>
      <c r="BI59" s="58">
        <f>AU59-$AL$8+$AO$8</f>
        <v>1.1000000000000001</v>
      </c>
      <c r="BJ59" s="59">
        <f>AV59+$AP$9-$AM$7</f>
        <v>1.9306816361588202</v>
      </c>
      <c r="BK59" s="58">
        <f>AI59+$AO$10-$AI$9</f>
        <v>1.1000000000000001</v>
      </c>
      <c r="BL59" s="59">
        <f>AJ59+$AP$9-$AJ$7</f>
        <v>1.9306816361588202</v>
      </c>
      <c r="BM59" s="58"/>
      <c r="BN59" s="59"/>
      <c r="BO59" s="58"/>
      <c r="BP59" s="59"/>
    </row>
    <row r="60" spans="1:68" x14ac:dyDescent="0.25">
      <c r="A60" s="37"/>
      <c r="B60" s="38"/>
      <c r="C60" s="37"/>
      <c r="D60" s="2"/>
      <c r="E60" s="2"/>
      <c r="F60" s="38"/>
      <c r="G60" s="37"/>
      <c r="H60" s="2"/>
      <c r="I60" s="3"/>
      <c r="J60" s="90" t="str">
        <f>IF(C60&lt;&gt;"",$C60/'Elements and ions'!$B$12,"")</f>
        <v/>
      </c>
      <c r="K60" s="65" t="str">
        <f>IF(D60&lt;&gt;"",$D60/'Elements and ions'!$B$20,"")</f>
        <v/>
      </c>
      <c r="L60" s="65" t="str">
        <f>IF(E60&lt;&gt;"",$E60/'Elements and ions'!$B$21*2,"")</f>
        <v/>
      </c>
      <c r="M60" s="81" t="str">
        <f>IF(F60&lt;&gt;"",$F60/'Elements and ions'!$B$13*2,"")</f>
        <v/>
      </c>
      <c r="N60" s="80" t="str">
        <f>IF(G60&lt;&gt;"",-$G60/'Elements and ions'!$F$3,"")</f>
        <v/>
      </c>
      <c r="O60" s="65" t="str">
        <f>IF(H60&lt;&gt;"",-$H60/'Elements and ions'!$B$18,"")</f>
        <v/>
      </c>
      <c r="P60" s="81" t="str">
        <f>IF(I60&lt;&gt;"",-2*$I60/'Elements and ions'!$F$4,"")</f>
        <v/>
      </c>
      <c r="Q60" s="80" t="str">
        <f t="shared" si="0"/>
        <v/>
      </c>
      <c r="R60" s="65" t="str">
        <f t="shared" si="1"/>
        <v/>
      </c>
      <c r="S60" s="81" t="str">
        <f t="shared" si="2"/>
        <v/>
      </c>
      <c r="T60" s="80" t="str">
        <f t="shared" si="3"/>
        <v/>
      </c>
      <c r="U60" s="65" t="str">
        <f t="shared" si="4"/>
        <v/>
      </c>
      <c r="V60" s="91" t="str">
        <f t="shared" si="5"/>
        <v/>
      </c>
      <c r="W60" s="70" t="str">
        <f t="shared" si="6"/>
        <v/>
      </c>
      <c r="X60" s="65" t="str">
        <f>IF(V60&lt;&gt;"",IF($V60&lt;&gt;0,(($V60+(0.5*T60))/100+1+$AE$9),-1),"")</f>
        <v/>
      </c>
      <c r="Y60" s="81" t="str">
        <f>IF(AND(W60&lt;&gt;-1,X60&lt;&gt;-1,W60&lt;&gt;"",X60&lt;&gt;"",AA60&lt;&gt;-1,Z60&lt;&gt;-1,AA60&lt;&gt;"",Z60&lt;&gt;""),(W60+X60)/2+(AA60-Z60)/(4*COS(0.5)*$AE$5),"")</f>
        <v/>
      </c>
      <c r="Z60" s="70" t="str">
        <f>IF(S60&lt;&gt;"",IF($S60&lt;&gt;"",((($S60*COS(0.5))*$AE$5)/100),-1),"")</f>
        <v/>
      </c>
      <c r="AA60" s="65" t="str">
        <f>IF(T60&lt;&gt;"",IF($T60&lt;&gt;"",((($T60*COS(0.5))*$AE$5)/100),-1),"")</f>
        <v/>
      </c>
      <c r="AB60" s="66" t="str">
        <f>IF(Y60&lt;&gt;"",2*COS(0.5)*$AE$5*(X60-W60)/2+(AA60+Z60)/2,"")</f>
        <v/>
      </c>
      <c r="AC60" s="5"/>
      <c r="AE60" s="51"/>
      <c r="AF60" s="97" t="str">
        <f>IF(AND($AE$6&gt;0, $AE$7&gt;0, AF57&lt;1), AF57+$AE$6, "")</f>
        <v/>
      </c>
      <c r="AG60" s="58">
        <f>IF(AF60&lt;&gt;"", (AF60*0.5), AG57)</f>
        <v>0.49999999999999994</v>
      </c>
      <c r="AH60" s="59">
        <f>IF(AF60&lt;&gt;"", (AF60*COS(0.5)*$AE$5), AH57)</f>
        <v>0.87758256189037265</v>
      </c>
      <c r="AI60" s="58">
        <f>IF(AF60&lt;&gt;"", 1-(AF60*0.5), AI57)</f>
        <v>0.5</v>
      </c>
      <c r="AJ60" s="59">
        <f>IF(AF60&lt;&gt;"", (AF60*COS(0.5)*$AE$5), AJ57)</f>
        <v>0.87758256189037265</v>
      </c>
      <c r="AK60" s="58">
        <f>IF($AE$8=1, AI60, AK57)</f>
        <v>0.5</v>
      </c>
      <c r="AL60" s="59">
        <f>IF($AE$8=1, AJ60, AL57)</f>
        <v>0.87758256189037265</v>
      </c>
      <c r="AM60" s="58">
        <f>IF(AND($AE$8=1, AF60&lt;&gt;""), AI60, AM57)</f>
        <v>0.5</v>
      </c>
      <c r="AN60" s="59">
        <f>IF(AND($AE$8=1, AF60&lt;&gt;""), AJ60, AN57)</f>
        <v>0.87758256189037265</v>
      </c>
      <c r="AO60" s="58">
        <f>IF($AE$8=1,AQ60,AO57)</f>
        <v>0</v>
      </c>
      <c r="AP60" s="59">
        <v>0</v>
      </c>
      <c r="AQ60" s="58">
        <f>IF(AF60&lt;&gt;"", AF60, 0)</f>
        <v>0</v>
      </c>
      <c r="AR60" s="55">
        <v>0</v>
      </c>
      <c r="AS60" s="55">
        <f>AQ60</f>
        <v>0</v>
      </c>
      <c r="AT60" s="59">
        <f>AR60</f>
        <v>0</v>
      </c>
      <c r="AU60" s="58">
        <f>IF(AF60&lt;&gt;"",AG60+1+$AE$9, $AL$7)</f>
        <v>1.7</v>
      </c>
      <c r="AV60" s="59">
        <f>AJ60</f>
        <v>0.87758256189037265</v>
      </c>
      <c r="AW60" s="58">
        <f>AI60+1+$AE$9</f>
        <v>1.7</v>
      </c>
      <c r="AX60" s="59">
        <f>AH60</f>
        <v>0.87758256189037265</v>
      </c>
      <c r="AY60" s="58">
        <f>AK60+1+$AE$9</f>
        <v>1.7</v>
      </c>
      <c r="AZ60" s="59">
        <f>AL60</f>
        <v>0.87758256189037265</v>
      </c>
      <c r="BA60" s="58">
        <f>AM60+1+$AE$9</f>
        <v>1.7</v>
      </c>
      <c r="BB60" s="59">
        <f>AN60</f>
        <v>0.87758256189037265</v>
      </c>
      <c r="BC60" s="58">
        <f>AO60+1+$AE$9</f>
        <v>1.2</v>
      </c>
      <c r="BD60" s="59">
        <f>AP60</f>
        <v>0</v>
      </c>
      <c r="BE60" s="58">
        <f>AQ60+1+$AE$9</f>
        <v>1.2</v>
      </c>
      <c r="BF60" s="55">
        <f>AR60</f>
        <v>0</v>
      </c>
      <c r="BG60" s="55">
        <f>IF(AF60&lt;&gt;"",AS60+1+$AE$9,BC60)</f>
        <v>1.2</v>
      </c>
      <c r="BH60" s="59">
        <f>IF(AF60&lt;&gt;"",AT60,0)</f>
        <v>0</v>
      </c>
      <c r="BI60" s="58">
        <f>AU60-$AL$8+$AO$8</f>
        <v>1.1000000000000001</v>
      </c>
      <c r="BJ60" s="59">
        <f>AV60+$AP$9-$AM$7</f>
        <v>1.9306816361588202</v>
      </c>
      <c r="BK60" s="58">
        <f>AI60+$AO$10-$AI$9</f>
        <v>1.1000000000000001</v>
      </c>
      <c r="BL60" s="59">
        <f>AJ60+$AP$9-$AJ$7</f>
        <v>1.9306816361588202</v>
      </c>
      <c r="BM60" s="58">
        <f>IF(AND($AE$8=1,AF60&lt;&gt;""), BI60, $BI$15)</f>
        <v>0.60000000000000009</v>
      </c>
      <c r="BN60" s="59">
        <f>IF(AND($AE$8=1,AF60&lt;&gt;""), BJ60, $BJ$15)</f>
        <v>1.0530990742684474</v>
      </c>
      <c r="BO60" s="58">
        <f>IF(AND($AE$8=1,AF60&lt;&gt;""), BK60, $BK$15)</f>
        <v>1.6</v>
      </c>
      <c r="BP60" s="59">
        <f>IF(AND($AE$8=1,AF60&lt;&gt;""), BL60, $BJ$15)</f>
        <v>1.0530990742684474</v>
      </c>
    </row>
    <row r="61" spans="1:68" x14ac:dyDescent="0.25">
      <c r="A61" s="37"/>
      <c r="B61" s="38"/>
      <c r="C61" s="37"/>
      <c r="D61" s="2"/>
      <c r="E61" s="2"/>
      <c r="F61" s="38"/>
      <c r="G61" s="37"/>
      <c r="H61" s="2"/>
      <c r="I61" s="3"/>
      <c r="J61" s="90" t="str">
        <f>IF(C61&lt;&gt;"",$C61/'Elements and ions'!$B$12,"")</f>
        <v/>
      </c>
      <c r="K61" s="65" t="str">
        <f>IF(D61&lt;&gt;"",$D61/'Elements and ions'!$B$20,"")</f>
        <v/>
      </c>
      <c r="L61" s="65" t="str">
        <f>IF(E61&lt;&gt;"",$E61/'Elements and ions'!$B$21*2,"")</f>
        <v/>
      </c>
      <c r="M61" s="81" t="str">
        <f>IF(F61&lt;&gt;"",$F61/'Elements and ions'!$B$13*2,"")</f>
        <v/>
      </c>
      <c r="N61" s="80" t="str">
        <f>IF(G61&lt;&gt;"",-$G61/'Elements and ions'!$F$3,"")</f>
        <v/>
      </c>
      <c r="O61" s="65" t="str">
        <f>IF(H61&lt;&gt;"",-$H61/'Elements and ions'!$B$18,"")</f>
        <v/>
      </c>
      <c r="P61" s="81" t="str">
        <f>IF(I61&lt;&gt;"",-2*$I61/'Elements and ions'!$F$4,"")</f>
        <v/>
      </c>
      <c r="Q61" s="80" t="str">
        <f t="shared" si="0"/>
        <v/>
      </c>
      <c r="R61" s="65" t="str">
        <f t="shared" si="1"/>
        <v/>
      </c>
      <c r="S61" s="81" t="str">
        <f t="shared" si="2"/>
        <v/>
      </c>
      <c r="T61" s="80" t="str">
        <f t="shared" si="3"/>
        <v/>
      </c>
      <c r="U61" s="65" t="str">
        <f t="shared" si="4"/>
        <v/>
      </c>
      <c r="V61" s="91" t="str">
        <f t="shared" si="5"/>
        <v/>
      </c>
      <c r="W61" s="70" t="str">
        <f t="shared" si="6"/>
        <v/>
      </c>
      <c r="X61" s="65" t="str">
        <f>IF(V61&lt;&gt;"",IF($V61&lt;&gt;0,(($V61+(0.5*T61))/100+1+$AE$9),-1),"")</f>
        <v/>
      </c>
      <c r="Y61" s="81" t="str">
        <f>IF(AND(W61&lt;&gt;-1,X61&lt;&gt;-1,W61&lt;&gt;"",X61&lt;&gt;"",AA61&lt;&gt;-1,Z61&lt;&gt;-1,AA61&lt;&gt;"",Z61&lt;&gt;""),(W61+X61)/2+(AA61-Z61)/(4*COS(0.5)*$AE$5),"")</f>
        <v/>
      </c>
      <c r="Z61" s="70" t="str">
        <f>IF(S61&lt;&gt;"",IF($S61&lt;&gt;"",((($S61*COS(0.5))*$AE$5)/100),-1),"")</f>
        <v/>
      </c>
      <c r="AA61" s="65" t="str">
        <f>IF(T61&lt;&gt;"",IF($T61&lt;&gt;"",((($T61*COS(0.5))*$AE$5)/100),-1),"")</f>
        <v/>
      </c>
      <c r="AB61" s="66" t="str">
        <f>IF(Y61&lt;&gt;"",2*COS(0.5)*$AE$5*(X61-W61)/2+(AA61+Z61)/2,"")</f>
        <v/>
      </c>
      <c r="AC61" s="5"/>
      <c r="AE61" s="51"/>
      <c r="AF61" s="97" t="str">
        <f t="shared" si="7"/>
        <v/>
      </c>
      <c r="AG61" s="58">
        <f>IF(AF61&lt;&gt;"", ((AF61*0.5)-$AE$7), AG57)</f>
        <v>0.49999999999999994</v>
      </c>
      <c r="AH61" s="59">
        <f>IF(AF61&lt;&gt;"", (AF61*COS(0.5)*$AE$5), AH58)</f>
        <v>0.87758256189037265</v>
      </c>
      <c r="AI61" s="58">
        <f>IF(AF61&lt;&gt;"", AI60+($AE$7*0.5), AI57)</f>
        <v>0.5</v>
      </c>
      <c r="AJ61" s="59">
        <f>IF(AF61&lt;&gt;"", AJ60+($AE$7*COS(0.5)*$AE$5), AJ57)</f>
        <v>0.87758256189037265</v>
      </c>
      <c r="AK61" s="58">
        <f>IF($AE$8=1, AG60, AK57)</f>
        <v>0.49999999999999994</v>
      </c>
      <c r="AL61" s="59">
        <f>IF($AE$8=1, AJ60, AL57)</f>
        <v>0.87758256189037265</v>
      </c>
      <c r="AM61" s="58">
        <f>IF(AND($AE$8=1, AF60&lt;&gt;""), 1-AF60, AM60)</f>
        <v>0.5</v>
      </c>
      <c r="AN61" s="59">
        <f>IF(AND($AE$8=1, AF60&lt;&gt;""), 0, AN60)</f>
        <v>0.87758256189037265</v>
      </c>
      <c r="AO61" s="58">
        <f>IF($AE$8=1,AG60,AO60)</f>
        <v>0.49999999999999994</v>
      </c>
      <c r="AP61" s="59">
        <f>IF($AE$8=1,AH60,0)</f>
        <v>0.87758256189037265</v>
      </c>
      <c r="AQ61" s="58">
        <f>IF(AF60&lt;&gt;"",AQ60+(0.5*$AE$7),0)</f>
        <v>0</v>
      </c>
      <c r="AR61" s="55">
        <f>IF(AF60&lt;&gt;"",-COS(0.5)*$AE$7*$AE$5,0)</f>
        <v>0</v>
      </c>
      <c r="AS61" s="55">
        <f>AQ61</f>
        <v>0</v>
      </c>
      <c r="AT61" s="59">
        <f>AR61</f>
        <v>0</v>
      </c>
      <c r="AU61" s="58">
        <f>IF(AF61&lt;&gt;"",AG61+1+$AE$9+($AE$7*0.5), $AL$7)</f>
        <v>1.7</v>
      </c>
      <c r="AV61" s="59">
        <f>AJ61</f>
        <v>0.87758256189037265</v>
      </c>
      <c r="AW61" s="58">
        <f>AI61+1+$AE$9+0.5*$AE$7</f>
        <v>1.7149999999999999</v>
      </c>
      <c r="AX61" s="59">
        <f>AH61</f>
        <v>0.87758256189037265</v>
      </c>
      <c r="AY61" s="58">
        <f>AK61+1+$AE$9</f>
        <v>1.7</v>
      </c>
      <c r="AZ61" s="59">
        <f>AL61</f>
        <v>0.87758256189037265</v>
      </c>
      <c r="BA61" s="58">
        <f>AM61+1+$AE$9</f>
        <v>1.7</v>
      </c>
      <c r="BB61" s="59">
        <f>AN61</f>
        <v>0.87758256189037265</v>
      </c>
      <c r="BC61" s="58">
        <f>AO61+1+$AE$9</f>
        <v>1.7</v>
      </c>
      <c r="BD61" s="59">
        <f>AP61</f>
        <v>0.87758256189037265</v>
      </c>
      <c r="BE61" s="58">
        <f>AQ61+1+$AE$9</f>
        <v>1.2</v>
      </c>
      <c r="BF61" s="55">
        <f>AR61</f>
        <v>0</v>
      </c>
      <c r="BG61" s="55">
        <f>IF(AF61&lt;&gt;"",AS61+1+$AE$9-$AE$7,BC60)</f>
        <v>1.2</v>
      </c>
      <c r="BH61" s="59">
        <f>IF(AF61&lt;&gt;"",AT61,0)</f>
        <v>0</v>
      </c>
      <c r="BI61" s="58">
        <f>AU61-$AL$8+$AO$8</f>
        <v>1.1000000000000001</v>
      </c>
      <c r="BJ61" s="59">
        <f>AV61+$AP$9-$AM$7</f>
        <v>1.9306816361588202</v>
      </c>
      <c r="BK61" s="58">
        <f>AI61+$AO$10-$AI$9</f>
        <v>1.1000000000000001</v>
      </c>
      <c r="BL61" s="59">
        <f>AJ61+$AP$9-$AJ$7</f>
        <v>1.9306816361588202</v>
      </c>
      <c r="BM61" s="58">
        <f>IF(AND($AE$8=1,AF61&lt;&gt;""), BM60+0.5, $BI$15)</f>
        <v>0.60000000000000009</v>
      </c>
      <c r="BN61" s="59">
        <f>IF(AND($AE$8=1,AF61&lt;&gt;""), BN60-$AM$7, $BJ$15)</f>
        <v>1.0530990742684474</v>
      </c>
      <c r="BO61" s="58">
        <f>IF(AND($AE$8=1,AF61&lt;&gt;""), BO60-0.5, $BK$15)</f>
        <v>1.6</v>
      </c>
      <c r="BP61" s="59">
        <f>IF(AND($AE$8=1,AF61&lt;&gt;""), BP60-$AM$7, $BL$15)</f>
        <v>1.0530990742684474</v>
      </c>
    </row>
    <row r="62" spans="1:68" x14ac:dyDescent="0.25">
      <c r="A62" s="37"/>
      <c r="B62" s="38"/>
      <c r="C62" s="37"/>
      <c r="D62" s="2"/>
      <c r="E62" s="2"/>
      <c r="F62" s="38"/>
      <c r="G62" s="37"/>
      <c r="H62" s="2"/>
      <c r="I62" s="3"/>
      <c r="J62" s="90" t="str">
        <f>IF(C62&lt;&gt;"",$C62/'Elements and ions'!$B$12,"")</f>
        <v/>
      </c>
      <c r="K62" s="65" t="str">
        <f>IF(D62&lt;&gt;"",$D62/'Elements and ions'!$B$20,"")</f>
        <v/>
      </c>
      <c r="L62" s="65" t="str">
        <f>IF(E62&lt;&gt;"",$E62/'Elements and ions'!$B$21*2,"")</f>
        <v/>
      </c>
      <c r="M62" s="81" t="str">
        <f>IF(F62&lt;&gt;"",$F62/'Elements and ions'!$B$13*2,"")</f>
        <v/>
      </c>
      <c r="N62" s="80" t="str">
        <f>IF(G62&lt;&gt;"",-$G62/'Elements and ions'!$F$3,"")</f>
        <v/>
      </c>
      <c r="O62" s="65" t="str">
        <f>IF(H62&lt;&gt;"",-$H62/'Elements and ions'!$B$18,"")</f>
        <v/>
      </c>
      <c r="P62" s="81" t="str">
        <f>IF(I62&lt;&gt;"",-2*$I62/'Elements and ions'!$F$4,"")</f>
        <v/>
      </c>
      <c r="Q62" s="80" t="str">
        <f t="shared" si="0"/>
        <v/>
      </c>
      <c r="R62" s="65" t="str">
        <f t="shared" si="1"/>
        <v/>
      </c>
      <c r="S62" s="81" t="str">
        <f t="shared" si="2"/>
        <v/>
      </c>
      <c r="T62" s="80" t="str">
        <f t="shared" si="3"/>
        <v/>
      </c>
      <c r="U62" s="65" t="str">
        <f t="shared" si="4"/>
        <v/>
      </c>
      <c r="V62" s="91" t="str">
        <f t="shared" si="5"/>
        <v/>
      </c>
      <c r="W62" s="70" t="str">
        <f t="shared" si="6"/>
        <v/>
      </c>
      <c r="X62" s="65" t="str">
        <f>IF(V62&lt;&gt;"",IF($V62&lt;&gt;0,(($V62+(0.5*T62))/100+1+$AE$9),-1),"")</f>
        <v/>
      </c>
      <c r="Y62" s="81" t="str">
        <f>IF(AND(W62&lt;&gt;-1,X62&lt;&gt;-1,W62&lt;&gt;"",X62&lt;&gt;"",AA62&lt;&gt;-1,Z62&lt;&gt;-1,AA62&lt;&gt;"",Z62&lt;&gt;""),(W62+X62)/2+(AA62-Z62)/(4*COS(0.5)*$AE$5),"")</f>
        <v/>
      </c>
      <c r="Z62" s="70" t="str">
        <f>IF(S62&lt;&gt;"",IF($S62&lt;&gt;"",((($S62*COS(0.5))*$AE$5)/100),-1),"")</f>
        <v/>
      </c>
      <c r="AA62" s="65" t="str">
        <f>IF(T62&lt;&gt;"",IF($T62&lt;&gt;"",((($T62*COS(0.5))*$AE$5)/100),-1),"")</f>
        <v/>
      </c>
      <c r="AB62" s="66" t="str">
        <f>IF(Y62&lt;&gt;"",2*COS(0.5)*$AE$5*(X62-W62)/2+(AA62+Z62)/2,"")</f>
        <v/>
      </c>
      <c r="AC62" s="5"/>
      <c r="AE62" s="51"/>
      <c r="AF62" s="97" t="str">
        <f t="shared" si="7"/>
        <v/>
      </c>
      <c r="AG62" s="58">
        <f>IF(AF62&lt;&gt;"", (AF62*0.5), AG57)</f>
        <v>0.49999999999999994</v>
      </c>
      <c r="AH62" s="59">
        <f>IF(AF62&lt;&gt;"", (AF62*COS(0.5)*$AE$5), AH59)</f>
        <v>0.87758256189037265</v>
      </c>
      <c r="AI62" s="58">
        <f>IF(AF62&lt;&gt;"", 1-(AF62*0.5), AI57)</f>
        <v>0.5</v>
      </c>
      <c r="AJ62" s="59">
        <f>IF(AF62&lt;&gt;"", (AF62*COS(0.5)*$AE$5), AJ59)</f>
        <v>0.87758256189037265</v>
      </c>
      <c r="AK62" s="58"/>
      <c r="AL62" s="59"/>
      <c r="AM62" s="58"/>
      <c r="AN62" s="59"/>
      <c r="AO62" s="58"/>
      <c r="AP62" s="59"/>
      <c r="AQ62" s="58">
        <f>IF(AF60&lt;&gt;"", AF60, 0)</f>
        <v>0</v>
      </c>
      <c r="AR62" s="55">
        <v>0</v>
      </c>
      <c r="AS62" s="55">
        <f>AQ62</f>
        <v>0</v>
      </c>
      <c r="AT62" s="59">
        <f>AR62</f>
        <v>0</v>
      </c>
      <c r="AU62" s="58">
        <f>IF(AF62&lt;&gt;"",AG62+1+$AE$9, $AL$7)</f>
        <v>1.7</v>
      </c>
      <c r="AV62" s="59">
        <f>AJ62</f>
        <v>0.87758256189037265</v>
      </c>
      <c r="AW62" s="58">
        <f>AI62+1+$AE$9</f>
        <v>1.7</v>
      </c>
      <c r="AX62" s="59">
        <f>AH62</f>
        <v>0.87758256189037265</v>
      </c>
      <c r="AY62" s="58"/>
      <c r="AZ62" s="59"/>
      <c r="BA62" s="58"/>
      <c r="BB62" s="59"/>
      <c r="BC62" s="58"/>
      <c r="BD62" s="59"/>
      <c r="BE62" s="58">
        <f>AQ62+1+$AE$9</f>
        <v>1.2</v>
      </c>
      <c r="BF62" s="55">
        <f>AR62</f>
        <v>0</v>
      </c>
      <c r="BG62" s="55">
        <f t="shared" ref="BG62" si="22">BG60</f>
        <v>1.2</v>
      </c>
      <c r="BH62" s="59">
        <f>IF(AF62&lt;&gt;"",AT62,0)</f>
        <v>0</v>
      </c>
      <c r="BI62" s="58">
        <f>AU62-$AL$8+$AO$8</f>
        <v>1.1000000000000001</v>
      </c>
      <c r="BJ62" s="59">
        <f>AV62+$AP$9-$AM$7</f>
        <v>1.9306816361588202</v>
      </c>
      <c r="BK62" s="58">
        <f>AI62+$AO$10-$AI$9</f>
        <v>1.1000000000000001</v>
      </c>
      <c r="BL62" s="59">
        <f>AJ62+$AP$9-$AJ$7</f>
        <v>1.9306816361588202</v>
      </c>
      <c r="BM62" s="58"/>
      <c r="BN62" s="59"/>
      <c r="BO62" s="58"/>
      <c r="BP62" s="59"/>
    </row>
    <row r="63" spans="1:68" x14ac:dyDescent="0.25">
      <c r="A63" s="37"/>
      <c r="B63" s="38"/>
      <c r="C63" s="37"/>
      <c r="D63" s="2"/>
      <c r="E63" s="2"/>
      <c r="F63" s="38"/>
      <c r="G63" s="37"/>
      <c r="H63" s="2"/>
      <c r="I63" s="3"/>
      <c r="J63" s="90" t="str">
        <f>IF(C63&lt;&gt;"",$C63/'Elements and ions'!$B$12,"")</f>
        <v/>
      </c>
      <c r="K63" s="65" t="str">
        <f>IF(D63&lt;&gt;"",$D63/'Elements and ions'!$B$20,"")</f>
        <v/>
      </c>
      <c r="L63" s="65" t="str">
        <f>IF(E63&lt;&gt;"",$E63/'Elements and ions'!$B$21*2,"")</f>
        <v/>
      </c>
      <c r="M63" s="81" t="str">
        <f>IF(F63&lt;&gt;"",$F63/'Elements and ions'!$B$13*2,"")</f>
        <v/>
      </c>
      <c r="N63" s="80" t="str">
        <f>IF(G63&lt;&gt;"",-$G63/'Elements and ions'!$F$3,"")</f>
        <v/>
      </c>
      <c r="O63" s="65" t="str">
        <f>IF(H63&lt;&gt;"",-$H63/'Elements and ions'!$B$18,"")</f>
        <v/>
      </c>
      <c r="P63" s="81" t="str">
        <f>IF(I63&lt;&gt;"",-2*$I63/'Elements and ions'!$F$4,"")</f>
        <v/>
      </c>
      <c r="Q63" s="80" t="str">
        <f t="shared" si="0"/>
        <v/>
      </c>
      <c r="R63" s="65" t="str">
        <f t="shared" si="1"/>
        <v/>
      </c>
      <c r="S63" s="81" t="str">
        <f t="shared" si="2"/>
        <v/>
      </c>
      <c r="T63" s="80" t="str">
        <f t="shared" si="3"/>
        <v/>
      </c>
      <c r="U63" s="65" t="str">
        <f t="shared" si="4"/>
        <v/>
      </c>
      <c r="V63" s="91" t="str">
        <f t="shared" si="5"/>
        <v/>
      </c>
      <c r="W63" s="70" t="str">
        <f t="shared" si="6"/>
        <v/>
      </c>
      <c r="X63" s="65" t="str">
        <f>IF(V63&lt;&gt;"",IF($V63&lt;&gt;0,(($V63+(0.5*T63))/100+1+$AE$9),-1),"")</f>
        <v/>
      </c>
      <c r="Y63" s="81" t="str">
        <f>IF(AND(W63&lt;&gt;-1,X63&lt;&gt;-1,W63&lt;&gt;"",X63&lt;&gt;"",AA63&lt;&gt;-1,Z63&lt;&gt;-1,AA63&lt;&gt;"",Z63&lt;&gt;""),(W63+X63)/2+(AA63-Z63)/(4*COS(0.5)*$AE$5),"")</f>
        <v/>
      </c>
      <c r="Z63" s="70" t="str">
        <f>IF(S63&lt;&gt;"",IF($S63&lt;&gt;"",((($S63*COS(0.5))*$AE$5)/100),-1),"")</f>
        <v/>
      </c>
      <c r="AA63" s="65" t="str">
        <f>IF(T63&lt;&gt;"",IF($T63&lt;&gt;"",((($T63*COS(0.5))*$AE$5)/100),-1),"")</f>
        <v/>
      </c>
      <c r="AB63" s="66" t="str">
        <f>IF(Y63&lt;&gt;"",2*COS(0.5)*$AE$5*(X63-W63)/2+(AA63+Z63)/2,"")</f>
        <v/>
      </c>
      <c r="AC63" s="5"/>
      <c r="AE63" s="51"/>
      <c r="AF63" s="97" t="str">
        <f>IF(AND($AE$6&gt;0, $AE$7&gt;0, AF60&lt;1), AF60+$AE$6, "")</f>
        <v/>
      </c>
      <c r="AG63" s="58">
        <f>IF(AF63&lt;&gt;"", (AF63*0.5), AG60)</f>
        <v>0.49999999999999994</v>
      </c>
      <c r="AH63" s="59">
        <f>IF(AF63&lt;&gt;"", (AF63*COS(0.5)*$AE$5), AH60)</f>
        <v>0.87758256189037265</v>
      </c>
      <c r="AI63" s="58">
        <f>IF(AF63&lt;&gt;"", 1-(AF63*0.5), AI60)</f>
        <v>0.5</v>
      </c>
      <c r="AJ63" s="59">
        <f>IF(AF63&lt;&gt;"", (AF63*COS(0.5)*$AE$5), AJ60)</f>
        <v>0.87758256189037265</v>
      </c>
      <c r="AK63" s="58">
        <f>IF($AE$8=1, AI63, AK60)</f>
        <v>0.5</v>
      </c>
      <c r="AL63" s="59">
        <f>IF($AE$8=1, AJ63, AL60)</f>
        <v>0.87758256189037265</v>
      </c>
      <c r="AM63" s="58">
        <f>IF(AND($AE$8=1, AF63&lt;&gt;""), AI63, AM60)</f>
        <v>0.5</v>
      </c>
      <c r="AN63" s="59">
        <f>IF(AND($AE$8=1, AF63&lt;&gt;""), AJ63, AN60)</f>
        <v>0.87758256189037265</v>
      </c>
      <c r="AO63" s="58">
        <f>IF($AE$8=1,AQ63,AO60)</f>
        <v>0</v>
      </c>
      <c r="AP63" s="59">
        <v>0</v>
      </c>
      <c r="AQ63" s="58">
        <f>IF(AF63&lt;&gt;"", AF63, 0)</f>
        <v>0</v>
      </c>
      <c r="AR63" s="55">
        <v>0</v>
      </c>
      <c r="AS63" s="55">
        <f>AQ63</f>
        <v>0</v>
      </c>
      <c r="AT63" s="59">
        <f>AR63</f>
        <v>0</v>
      </c>
      <c r="AU63" s="58">
        <f>IF(AF63&lt;&gt;"",AG63+1+$AE$9, $AL$7)</f>
        <v>1.7</v>
      </c>
      <c r="AV63" s="59">
        <f>AJ63</f>
        <v>0.87758256189037265</v>
      </c>
      <c r="AW63" s="58">
        <f>AI63+1+$AE$9</f>
        <v>1.7</v>
      </c>
      <c r="AX63" s="59">
        <f>AH63</f>
        <v>0.87758256189037265</v>
      </c>
      <c r="AY63" s="58">
        <f>AK63+1+$AE$9</f>
        <v>1.7</v>
      </c>
      <c r="AZ63" s="59">
        <f>AL63</f>
        <v>0.87758256189037265</v>
      </c>
      <c r="BA63" s="58">
        <f>AM63+1+$AE$9</f>
        <v>1.7</v>
      </c>
      <c r="BB63" s="59">
        <f>AN63</f>
        <v>0.87758256189037265</v>
      </c>
      <c r="BC63" s="58">
        <f>AO63+1+$AE$9</f>
        <v>1.2</v>
      </c>
      <c r="BD63" s="59">
        <f>AP63</f>
        <v>0</v>
      </c>
      <c r="BE63" s="58">
        <f>AQ63+1+$AE$9</f>
        <v>1.2</v>
      </c>
      <c r="BF63" s="55">
        <f>AR63</f>
        <v>0</v>
      </c>
      <c r="BG63" s="55">
        <f>IF(AF63&lt;&gt;"",AS63+1+$AE$9,BC63)</f>
        <v>1.2</v>
      </c>
      <c r="BH63" s="59">
        <f>IF(AF63&lt;&gt;"",AT63,0)</f>
        <v>0</v>
      </c>
      <c r="BI63" s="58">
        <f>AU63-$AL$8+$AO$8</f>
        <v>1.1000000000000001</v>
      </c>
      <c r="BJ63" s="59">
        <f>AV63+$AP$9-$AM$7</f>
        <v>1.9306816361588202</v>
      </c>
      <c r="BK63" s="58">
        <f>AI63+$AO$10-$AI$9</f>
        <v>1.1000000000000001</v>
      </c>
      <c r="BL63" s="59">
        <f>AJ63+$AP$9-$AJ$7</f>
        <v>1.9306816361588202</v>
      </c>
      <c r="BM63" s="58">
        <f>IF(AND($AE$8=1,AF63&lt;&gt;""), BI63, $BI$15)</f>
        <v>0.60000000000000009</v>
      </c>
      <c r="BN63" s="59">
        <f>IF(AND($AE$8=1,AF63&lt;&gt;""), BJ63, $BJ$15)</f>
        <v>1.0530990742684474</v>
      </c>
      <c r="BO63" s="58">
        <f>IF(AND($AE$8=1,AF63&lt;&gt;""), BK63, $BK$15)</f>
        <v>1.6</v>
      </c>
      <c r="BP63" s="59">
        <f>IF(AND($AE$8=1,AF63&lt;&gt;""), BL63, $BJ$15)</f>
        <v>1.0530990742684474</v>
      </c>
    </row>
    <row r="64" spans="1:68" x14ac:dyDescent="0.25">
      <c r="A64" s="37"/>
      <c r="B64" s="38"/>
      <c r="C64" s="37"/>
      <c r="D64" s="2"/>
      <c r="E64" s="2"/>
      <c r="F64" s="38"/>
      <c r="G64" s="37"/>
      <c r="H64" s="2"/>
      <c r="I64" s="3"/>
      <c r="J64" s="90" t="str">
        <f>IF(C64&lt;&gt;"",$C64/'Elements and ions'!$B$12,"")</f>
        <v/>
      </c>
      <c r="K64" s="65" t="str">
        <f>IF(D64&lt;&gt;"",$D64/'Elements and ions'!$B$20,"")</f>
        <v/>
      </c>
      <c r="L64" s="65" t="str">
        <f>IF(E64&lt;&gt;"",$E64/'Elements and ions'!$B$21*2,"")</f>
        <v/>
      </c>
      <c r="M64" s="81" t="str">
        <f>IF(F64&lt;&gt;"",$F64/'Elements and ions'!$B$13*2,"")</f>
        <v/>
      </c>
      <c r="N64" s="80" t="str">
        <f>IF(G64&lt;&gt;"",-$G64/'Elements and ions'!$F$3,"")</f>
        <v/>
      </c>
      <c r="O64" s="65" t="str">
        <f>IF(H64&lt;&gt;"",-$H64/'Elements and ions'!$B$18,"")</f>
        <v/>
      </c>
      <c r="P64" s="81" t="str">
        <f>IF(I64&lt;&gt;"",-2*$I64/'Elements and ions'!$F$4,"")</f>
        <v/>
      </c>
      <c r="Q64" s="80" t="str">
        <f t="shared" si="0"/>
        <v/>
      </c>
      <c r="R64" s="65" t="str">
        <f t="shared" si="1"/>
        <v/>
      </c>
      <c r="S64" s="81" t="str">
        <f t="shared" si="2"/>
        <v/>
      </c>
      <c r="T64" s="80" t="str">
        <f t="shared" si="3"/>
        <v/>
      </c>
      <c r="U64" s="65" t="str">
        <f t="shared" si="4"/>
        <v/>
      </c>
      <c r="V64" s="91" t="str">
        <f t="shared" si="5"/>
        <v/>
      </c>
      <c r="W64" s="70" t="str">
        <f t="shared" si="6"/>
        <v/>
      </c>
      <c r="X64" s="65" t="str">
        <f>IF(V64&lt;&gt;"",IF($V64&lt;&gt;0,(($V64+(0.5*T64))/100+1+$AE$9),-1),"")</f>
        <v/>
      </c>
      <c r="Y64" s="81" t="str">
        <f>IF(AND(W64&lt;&gt;-1,X64&lt;&gt;-1,W64&lt;&gt;"",X64&lt;&gt;"",AA64&lt;&gt;-1,Z64&lt;&gt;-1,AA64&lt;&gt;"",Z64&lt;&gt;""),(W64+X64)/2+(AA64-Z64)/(4*COS(0.5)*$AE$5),"")</f>
        <v/>
      </c>
      <c r="Z64" s="70" t="str">
        <f>IF(S64&lt;&gt;"",IF($S64&lt;&gt;"",((($S64*COS(0.5))*$AE$5)/100),-1),"")</f>
        <v/>
      </c>
      <c r="AA64" s="65" t="str">
        <f>IF(T64&lt;&gt;"",IF($T64&lt;&gt;"",((($T64*COS(0.5))*$AE$5)/100),-1),"")</f>
        <v/>
      </c>
      <c r="AB64" s="66" t="str">
        <f>IF(Y64&lt;&gt;"",2*COS(0.5)*$AE$5*(X64-W64)/2+(AA64+Z64)/2,"")</f>
        <v/>
      </c>
      <c r="AC64" s="5"/>
      <c r="AE64" s="51"/>
      <c r="AF64" s="97" t="str">
        <f t="shared" si="7"/>
        <v/>
      </c>
      <c r="AG64" s="58">
        <f>IF(AF64&lt;&gt;"", ((AF64*0.5)-$AE$7), AG60)</f>
        <v>0.49999999999999994</v>
      </c>
      <c r="AH64" s="59">
        <f>IF(AF64&lt;&gt;"", (AF64*COS(0.5)*$AE$5), AH61)</f>
        <v>0.87758256189037265</v>
      </c>
      <c r="AI64" s="58">
        <f>IF(AF64&lt;&gt;"", AI63+($AE$7*0.5), AI60)</f>
        <v>0.5</v>
      </c>
      <c r="AJ64" s="59">
        <f>IF(AF64&lt;&gt;"", AJ63+($AE$7*COS(0.5)*$AE$5), AJ60)</f>
        <v>0.87758256189037265</v>
      </c>
      <c r="AK64" s="58">
        <f>IF($AE$8=1, AG63, AK60)</f>
        <v>0.49999999999999994</v>
      </c>
      <c r="AL64" s="59">
        <f>IF($AE$8=1, AJ63, AL60)</f>
        <v>0.87758256189037265</v>
      </c>
      <c r="AM64" s="58">
        <f>IF(AND($AE$8=1, AF63&lt;&gt;""), 1-AF63, AM63)</f>
        <v>0.5</v>
      </c>
      <c r="AN64" s="59">
        <f>IF(AND($AE$8=1, AF63&lt;&gt;""), 0, AN63)</f>
        <v>0.87758256189037265</v>
      </c>
      <c r="AO64" s="58">
        <f>IF($AE$8=1,AG63,AO63)</f>
        <v>0.49999999999999994</v>
      </c>
      <c r="AP64" s="59">
        <f>IF($AE$8=1,AH63,0)</f>
        <v>0.87758256189037265</v>
      </c>
      <c r="AQ64" s="58">
        <f>IF(AF63&lt;&gt;"",AQ63+(0.5*$AE$7),0)</f>
        <v>0</v>
      </c>
      <c r="AR64" s="55">
        <f>IF(AF63&lt;&gt;"",-COS(0.5)*$AE$7*$AE$5,0)</f>
        <v>0</v>
      </c>
      <c r="AS64" s="55">
        <f>AQ64</f>
        <v>0</v>
      </c>
      <c r="AT64" s="59">
        <f>AR64</f>
        <v>0</v>
      </c>
      <c r="AU64" s="58">
        <f>IF(AF64&lt;&gt;"",AG64+1+$AE$9+($AE$7*0.5), $AL$7)</f>
        <v>1.7</v>
      </c>
      <c r="AV64" s="59">
        <f>AJ64</f>
        <v>0.87758256189037265</v>
      </c>
      <c r="AW64" s="58">
        <f>AI64+1+$AE$9+0.5*$AE$7</f>
        <v>1.7149999999999999</v>
      </c>
      <c r="AX64" s="59">
        <f>AH64</f>
        <v>0.87758256189037265</v>
      </c>
      <c r="AY64" s="58">
        <f>AK64+1+$AE$9</f>
        <v>1.7</v>
      </c>
      <c r="AZ64" s="59">
        <f>AL64</f>
        <v>0.87758256189037265</v>
      </c>
      <c r="BA64" s="58">
        <f>AM64+1+$AE$9</f>
        <v>1.7</v>
      </c>
      <c r="BB64" s="59">
        <f>AN64</f>
        <v>0.87758256189037265</v>
      </c>
      <c r="BC64" s="58">
        <f>AO64+1+$AE$9</f>
        <v>1.7</v>
      </c>
      <c r="BD64" s="59">
        <f>AP64</f>
        <v>0.87758256189037265</v>
      </c>
      <c r="BE64" s="58">
        <f>AQ64+1+$AE$9</f>
        <v>1.2</v>
      </c>
      <c r="BF64" s="55">
        <f>AR64</f>
        <v>0</v>
      </c>
      <c r="BG64" s="55">
        <f>IF(AF64&lt;&gt;"",AS64+1+$AE$9-$AE$7,BC63)</f>
        <v>1.2</v>
      </c>
      <c r="BH64" s="59">
        <f>IF(AF64&lt;&gt;"",AT64,0)</f>
        <v>0</v>
      </c>
      <c r="BI64" s="58">
        <f>AU64-$AL$8+$AO$8</f>
        <v>1.1000000000000001</v>
      </c>
      <c r="BJ64" s="59">
        <f>AV64+$AP$9-$AM$7</f>
        <v>1.9306816361588202</v>
      </c>
      <c r="BK64" s="58">
        <f>AI64+$AO$10-$AI$9</f>
        <v>1.1000000000000001</v>
      </c>
      <c r="BL64" s="59">
        <f>AJ64+$AP$9-$AJ$7</f>
        <v>1.9306816361588202</v>
      </c>
      <c r="BM64" s="58">
        <f>IF(AND($AE$8=1,AF64&lt;&gt;""), BM63+0.5, $BI$15)</f>
        <v>0.60000000000000009</v>
      </c>
      <c r="BN64" s="59">
        <f>IF(AND($AE$8=1,AF64&lt;&gt;""), BN63-$AM$7, $BJ$15)</f>
        <v>1.0530990742684474</v>
      </c>
      <c r="BO64" s="58">
        <f>IF(AND($AE$8=1,AF64&lt;&gt;""), BO63-0.5, $BK$15)</f>
        <v>1.6</v>
      </c>
      <c r="BP64" s="59">
        <f>IF(AND($AE$8=1,AF64&lt;&gt;""), BP63-$AM$7, $BL$15)</f>
        <v>1.0530990742684474</v>
      </c>
    </row>
    <row r="65" spans="1:68" x14ac:dyDescent="0.25">
      <c r="A65" s="37"/>
      <c r="B65" s="38"/>
      <c r="C65" s="37"/>
      <c r="D65" s="2"/>
      <c r="E65" s="2"/>
      <c r="F65" s="38"/>
      <c r="G65" s="37"/>
      <c r="H65" s="2"/>
      <c r="I65" s="3"/>
      <c r="J65" s="90" t="str">
        <f>IF(C65&lt;&gt;"",$C65/'Elements and ions'!$B$12,"")</f>
        <v/>
      </c>
      <c r="K65" s="65" t="str">
        <f>IF(D65&lt;&gt;"",$D65/'Elements and ions'!$B$20,"")</f>
        <v/>
      </c>
      <c r="L65" s="65" t="str">
        <f>IF(E65&lt;&gt;"",$E65/'Elements and ions'!$B$21*2,"")</f>
        <v/>
      </c>
      <c r="M65" s="81" t="str">
        <f>IF(F65&lt;&gt;"",$F65/'Elements and ions'!$B$13*2,"")</f>
        <v/>
      </c>
      <c r="N65" s="80" t="str">
        <f>IF(G65&lt;&gt;"",-$G65/'Elements and ions'!$F$3,"")</f>
        <v/>
      </c>
      <c r="O65" s="65" t="str">
        <f>IF(H65&lt;&gt;"",-$H65/'Elements and ions'!$B$18,"")</f>
        <v/>
      </c>
      <c r="P65" s="81" t="str">
        <f>IF(I65&lt;&gt;"",-2*$I65/'Elements and ions'!$F$4,"")</f>
        <v/>
      </c>
      <c r="Q65" s="80" t="str">
        <f t="shared" si="0"/>
        <v/>
      </c>
      <c r="R65" s="65" t="str">
        <f t="shared" si="1"/>
        <v/>
      </c>
      <c r="S65" s="81" t="str">
        <f t="shared" si="2"/>
        <v/>
      </c>
      <c r="T65" s="80" t="str">
        <f t="shared" si="3"/>
        <v/>
      </c>
      <c r="U65" s="65" t="str">
        <f t="shared" si="4"/>
        <v/>
      </c>
      <c r="V65" s="91" t="str">
        <f t="shared" si="5"/>
        <v/>
      </c>
      <c r="W65" s="70" t="str">
        <f t="shared" si="6"/>
        <v/>
      </c>
      <c r="X65" s="65" t="str">
        <f>IF(V65&lt;&gt;"",IF($V65&lt;&gt;0,(($V65+(0.5*T65))/100+1+$AE$9),-1),"")</f>
        <v/>
      </c>
      <c r="Y65" s="81" t="str">
        <f>IF(AND(W65&lt;&gt;-1,X65&lt;&gt;-1,W65&lt;&gt;"",X65&lt;&gt;"",AA65&lt;&gt;-1,Z65&lt;&gt;-1,AA65&lt;&gt;"",Z65&lt;&gt;""),(W65+X65)/2+(AA65-Z65)/(4*COS(0.5)*$AE$5),"")</f>
        <v/>
      </c>
      <c r="Z65" s="70" t="str">
        <f>IF(S65&lt;&gt;"",IF($S65&lt;&gt;"",((($S65*COS(0.5))*$AE$5)/100),-1),"")</f>
        <v/>
      </c>
      <c r="AA65" s="65" t="str">
        <f>IF(T65&lt;&gt;"",IF($T65&lt;&gt;"",((($T65*COS(0.5))*$AE$5)/100),-1),"")</f>
        <v/>
      </c>
      <c r="AB65" s="66" t="str">
        <f>IF(Y65&lt;&gt;"",2*COS(0.5)*$AE$5*(X65-W65)/2+(AA65+Z65)/2,"")</f>
        <v/>
      </c>
      <c r="AC65" s="5"/>
      <c r="AE65" s="51"/>
      <c r="AF65" s="97" t="str">
        <f t="shared" si="7"/>
        <v/>
      </c>
      <c r="AG65" s="58">
        <f>IF(AF65&lt;&gt;"", (AF65*0.5), AG60)</f>
        <v>0.49999999999999994</v>
      </c>
      <c r="AH65" s="59">
        <f>IF(AF65&lt;&gt;"", (AF65*COS(0.5)*$AE$5), AH62)</f>
        <v>0.87758256189037265</v>
      </c>
      <c r="AI65" s="58">
        <f>IF(AF65&lt;&gt;"", 1-(AF65*0.5), AI60)</f>
        <v>0.5</v>
      </c>
      <c r="AJ65" s="59">
        <f>IF(AF65&lt;&gt;"", (AF65*COS(0.5)*$AE$5), AJ62)</f>
        <v>0.87758256189037265</v>
      </c>
      <c r="AK65" s="58"/>
      <c r="AL65" s="59"/>
      <c r="AM65" s="58"/>
      <c r="AN65" s="59"/>
      <c r="AO65" s="58"/>
      <c r="AP65" s="59"/>
      <c r="AQ65" s="58">
        <f>IF(AF63&lt;&gt;"", AF63, 0)</f>
        <v>0</v>
      </c>
      <c r="AR65" s="55">
        <v>0</v>
      </c>
      <c r="AS65" s="55">
        <f>AQ65</f>
        <v>0</v>
      </c>
      <c r="AT65" s="59">
        <f>AR65</f>
        <v>0</v>
      </c>
      <c r="AU65" s="58">
        <f>IF(AF65&lt;&gt;"",AG65+1+$AE$9, $AL$7)</f>
        <v>1.7</v>
      </c>
      <c r="AV65" s="59">
        <f>AJ65</f>
        <v>0.87758256189037265</v>
      </c>
      <c r="AW65" s="58">
        <f>AI65+1+$AE$9</f>
        <v>1.7</v>
      </c>
      <c r="AX65" s="59">
        <f>AH65</f>
        <v>0.87758256189037265</v>
      </c>
      <c r="AY65" s="58"/>
      <c r="AZ65" s="59"/>
      <c r="BA65" s="58"/>
      <c r="BB65" s="59"/>
      <c r="BC65" s="58"/>
      <c r="BD65" s="59"/>
      <c r="BE65" s="58">
        <f>AQ65+1+$AE$9</f>
        <v>1.2</v>
      </c>
      <c r="BF65" s="55">
        <f>AR65</f>
        <v>0</v>
      </c>
      <c r="BG65" s="55">
        <f t="shared" ref="BG65" si="23">BG63</f>
        <v>1.2</v>
      </c>
      <c r="BH65" s="59">
        <f>IF(AF65&lt;&gt;"",AT65,0)</f>
        <v>0</v>
      </c>
      <c r="BI65" s="58">
        <f>AU65-$AL$8+$AO$8</f>
        <v>1.1000000000000001</v>
      </c>
      <c r="BJ65" s="59">
        <f>AV65+$AP$9-$AM$7</f>
        <v>1.9306816361588202</v>
      </c>
      <c r="BK65" s="58">
        <f>AI65+$AO$10-$AI$9</f>
        <v>1.1000000000000001</v>
      </c>
      <c r="BL65" s="59">
        <f>AJ65+$AP$9-$AJ$7</f>
        <v>1.9306816361588202</v>
      </c>
      <c r="BM65" s="58"/>
      <c r="BN65" s="59"/>
      <c r="BO65" s="58"/>
      <c r="BP65" s="59"/>
    </row>
    <row r="66" spans="1:68" x14ac:dyDescent="0.25">
      <c r="A66" s="37"/>
      <c r="B66" s="38"/>
      <c r="C66" s="37"/>
      <c r="D66" s="2"/>
      <c r="E66" s="2"/>
      <c r="F66" s="38"/>
      <c r="G66" s="37"/>
      <c r="H66" s="2"/>
      <c r="I66" s="3"/>
      <c r="J66" s="90" t="str">
        <f>IF(C66&lt;&gt;"",$C66/'Elements and ions'!$B$12,"")</f>
        <v/>
      </c>
      <c r="K66" s="65" t="str">
        <f>IF(D66&lt;&gt;"",$D66/'Elements and ions'!$B$20,"")</f>
        <v/>
      </c>
      <c r="L66" s="65" t="str">
        <f>IF(E66&lt;&gt;"",$E66/'Elements and ions'!$B$21*2,"")</f>
        <v/>
      </c>
      <c r="M66" s="81" t="str">
        <f>IF(F66&lt;&gt;"",$F66/'Elements and ions'!$B$13*2,"")</f>
        <v/>
      </c>
      <c r="N66" s="80" t="str">
        <f>IF(G66&lt;&gt;"",-$G66/'Elements and ions'!$F$3,"")</f>
        <v/>
      </c>
      <c r="O66" s="65" t="str">
        <f>IF(H66&lt;&gt;"",-$H66/'Elements and ions'!$B$18,"")</f>
        <v/>
      </c>
      <c r="P66" s="81" t="str">
        <f>IF(I66&lt;&gt;"",-2*$I66/'Elements and ions'!$F$4,"")</f>
        <v/>
      </c>
      <c r="Q66" s="80" t="str">
        <f t="shared" si="0"/>
        <v/>
      </c>
      <c r="R66" s="65" t="str">
        <f t="shared" si="1"/>
        <v/>
      </c>
      <c r="S66" s="81" t="str">
        <f t="shared" si="2"/>
        <v/>
      </c>
      <c r="T66" s="80" t="str">
        <f t="shared" si="3"/>
        <v/>
      </c>
      <c r="U66" s="65" t="str">
        <f t="shared" si="4"/>
        <v/>
      </c>
      <c r="V66" s="91" t="str">
        <f t="shared" si="5"/>
        <v/>
      </c>
      <c r="W66" s="70" t="str">
        <f t="shared" si="6"/>
        <v/>
      </c>
      <c r="X66" s="65" t="str">
        <f>IF(V66&lt;&gt;"",IF($V66&lt;&gt;0,(($V66+(0.5*T66))/100+1+$AE$9),-1),"")</f>
        <v/>
      </c>
      <c r="Y66" s="81" t="str">
        <f>IF(AND(W66&lt;&gt;-1,X66&lt;&gt;-1,W66&lt;&gt;"",X66&lt;&gt;"",AA66&lt;&gt;-1,Z66&lt;&gt;-1,AA66&lt;&gt;"",Z66&lt;&gt;""),(W66+X66)/2+(AA66-Z66)/(4*COS(0.5)*$AE$5),"")</f>
        <v/>
      </c>
      <c r="Z66" s="70" t="str">
        <f>IF(S66&lt;&gt;"",IF($S66&lt;&gt;"",((($S66*COS(0.5))*$AE$5)/100),-1),"")</f>
        <v/>
      </c>
      <c r="AA66" s="65" t="str">
        <f>IF(T66&lt;&gt;"",IF($T66&lt;&gt;"",((($T66*COS(0.5))*$AE$5)/100),-1),"")</f>
        <v/>
      </c>
      <c r="AB66" s="66" t="str">
        <f>IF(Y66&lt;&gt;"",2*COS(0.5)*$AE$5*(X66-W66)/2+(AA66+Z66)/2,"")</f>
        <v/>
      </c>
      <c r="AC66" s="5"/>
      <c r="AE66" s="51"/>
      <c r="AF66" s="97" t="str">
        <f>IF(AND($AE$6&gt;0, $AE$7&gt;0, AF63&lt;1), AF63+$AE$6, "")</f>
        <v/>
      </c>
      <c r="AG66" s="58">
        <f>IF(AF66&lt;&gt;"", (AF66*0.5), AG63)</f>
        <v>0.49999999999999994</v>
      </c>
      <c r="AH66" s="59">
        <f>IF(AF66&lt;&gt;"", (AF66*COS(0.5)*$AE$5), AH63)</f>
        <v>0.87758256189037265</v>
      </c>
      <c r="AI66" s="58">
        <f>IF(AF66&lt;&gt;"", 1-(AF66*0.5), AI63)</f>
        <v>0.5</v>
      </c>
      <c r="AJ66" s="59">
        <f>IF(AF66&lt;&gt;"", (AF66*COS(0.5)*$AE$5), AJ63)</f>
        <v>0.87758256189037265</v>
      </c>
      <c r="AK66" s="58">
        <f>IF($AE$8=1, AI66, AK63)</f>
        <v>0.5</v>
      </c>
      <c r="AL66" s="59">
        <f>IF($AE$8=1, AJ66, AL63)</f>
        <v>0.87758256189037265</v>
      </c>
      <c r="AM66" s="58">
        <f>IF(AND($AE$8=1, AF66&lt;&gt;""), AI66, AM63)</f>
        <v>0.5</v>
      </c>
      <c r="AN66" s="59">
        <f>IF(AND($AE$8=1, AF66&lt;&gt;""), AJ66, AN63)</f>
        <v>0.87758256189037265</v>
      </c>
      <c r="AO66" s="58">
        <f>IF($AE$8=1,AQ66,AO63)</f>
        <v>0</v>
      </c>
      <c r="AP66" s="59">
        <v>0</v>
      </c>
      <c r="AQ66" s="58">
        <f>IF(AF66&lt;&gt;"", AF66, 0)</f>
        <v>0</v>
      </c>
      <c r="AR66" s="55">
        <v>0</v>
      </c>
      <c r="AS66" s="55">
        <f>AQ66</f>
        <v>0</v>
      </c>
      <c r="AT66" s="59">
        <f>AR66</f>
        <v>0</v>
      </c>
      <c r="AU66" s="58">
        <f>IF(AF66&lt;&gt;"",AG66+1+$AE$9, $AL$7)</f>
        <v>1.7</v>
      </c>
      <c r="AV66" s="59">
        <f>AJ66</f>
        <v>0.87758256189037265</v>
      </c>
      <c r="AW66" s="58">
        <f>AI66+1+$AE$9</f>
        <v>1.7</v>
      </c>
      <c r="AX66" s="59">
        <f>AH66</f>
        <v>0.87758256189037265</v>
      </c>
      <c r="AY66" s="58">
        <f>AK66+1+$AE$9</f>
        <v>1.7</v>
      </c>
      <c r="AZ66" s="59">
        <f>AL66</f>
        <v>0.87758256189037265</v>
      </c>
      <c r="BA66" s="58">
        <f>AM66+1+$AE$9</f>
        <v>1.7</v>
      </c>
      <c r="BB66" s="59">
        <f>AN66</f>
        <v>0.87758256189037265</v>
      </c>
      <c r="BC66" s="58">
        <f>AO66+1+$AE$9</f>
        <v>1.2</v>
      </c>
      <c r="BD66" s="59">
        <f>AP66</f>
        <v>0</v>
      </c>
      <c r="BE66" s="58">
        <f>AQ66+1+$AE$9</f>
        <v>1.2</v>
      </c>
      <c r="BF66" s="55">
        <f>AR66</f>
        <v>0</v>
      </c>
      <c r="BG66" s="55">
        <f>IF(AF66&lt;&gt;"",AS66+1+$AE$9,BC66)</f>
        <v>1.2</v>
      </c>
      <c r="BH66" s="59">
        <f>IF(AF66&lt;&gt;"",AT66,0)</f>
        <v>0</v>
      </c>
      <c r="BI66" s="58">
        <f>AU66-$AL$8+$AO$8</f>
        <v>1.1000000000000001</v>
      </c>
      <c r="BJ66" s="59">
        <f>AV66+$AP$9-$AM$7</f>
        <v>1.9306816361588202</v>
      </c>
      <c r="BK66" s="58">
        <f>AI66+$AO$10-$AI$9</f>
        <v>1.1000000000000001</v>
      </c>
      <c r="BL66" s="59">
        <f>AJ66+$AP$9-$AJ$7</f>
        <v>1.9306816361588202</v>
      </c>
      <c r="BM66" s="58">
        <f>IF(AND($AE$8=1,AF66&lt;&gt;""), BI66, $BI$15)</f>
        <v>0.60000000000000009</v>
      </c>
      <c r="BN66" s="59">
        <f>IF(AND($AE$8=1,AF66&lt;&gt;""), BJ66, $BJ$15)</f>
        <v>1.0530990742684474</v>
      </c>
      <c r="BO66" s="58">
        <f>IF(AND($AE$8=1,AF66&lt;&gt;""), BK66, $BK$15)</f>
        <v>1.6</v>
      </c>
      <c r="BP66" s="59">
        <f>IF(AND($AE$8=1,AF66&lt;&gt;""), BL66, $BJ$15)</f>
        <v>1.0530990742684474</v>
      </c>
    </row>
    <row r="67" spans="1:68" x14ac:dyDescent="0.25">
      <c r="A67" s="37"/>
      <c r="B67" s="38"/>
      <c r="C67" s="37"/>
      <c r="D67" s="2"/>
      <c r="E67" s="2"/>
      <c r="F67" s="38"/>
      <c r="G67" s="37"/>
      <c r="H67" s="2"/>
      <c r="I67" s="3"/>
      <c r="J67" s="90" t="str">
        <f>IF(C67&lt;&gt;"",$C67/'Elements and ions'!$B$12,"")</f>
        <v/>
      </c>
      <c r="K67" s="65" t="str">
        <f>IF(D67&lt;&gt;"",$D67/'Elements and ions'!$B$20,"")</f>
        <v/>
      </c>
      <c r="L67" s="65" t="str">
        <f>IF(E67&lt;&gt;"",$E67/'Elements and ions'!$B$21*2,"")</f>
        <v/>
      </c>
      <c r="M67" s="81" t="str">
        <f>IF(F67&lt;&gt;"",$F67/'Elements and ions'!$B$13*2,"")</f>
        <v/>
      </c>
      <c r="N67" s="80" t="str">
        <f>IF(G67&lt;&gt;"",-$G67/'Elements and ions'!$F$3,"")</f>
        <v/>
      </c>
      <c r="O67" s="65" t="str">
        <f>IF(H67&lt;&gt;"",-$H67/'Elements and ions'!$B$18,"")</f>
        <v/>
      </c>
      <c r="P67" s="81" t="str">
        <f>IF(I67&lt;&gt;"",-2*$I67/'Elements and ions'!$F$4,"")</f>
        <v/>
      </c>
      <c r="Q67" s="80" t="str">
        <f t="shared" si="0"/>
        <v/>
      </c>
      <c r="R67" s="65" t="str">
        <f t="shared" si="1"/>
        <v/>
      </c>
      <c r="S67" s="81" t="str">
        <f t="shared" si="2"/>
        <v/>
      </c>
      <c r="T67" s="80" t="str">
        <f t="shared" si="3"/>
        <v/>
      </c>
      <c r="U67" s="65" t="str">
        <f t="shared" si="4"/>
        <v/>
      </c>
      <c r="V67" s="91" t="str">
        <f t="shared" si="5"/>
        <v/>
      </c>
      <c r="W67" s="70" t="str">
        <f t="shared" si="6"/>
        <v/>
      </c>
      <c r="X67" s="65" t="str">
        <f>IF(V67&lt;&gt;"",IF($V67&lt;&gt;0,(($V67+(0.5*T67))/100+1+$AE$9),-1),"")</f>
        <v/>
      </c>
      <c r="Y67" s="81" t="str">
        <f>IF(AND(W67&lt;&gt;-1,X67&lt;&gt;-1,W67&lt;&gt;"",X67&lt;&gt;"",AA67&lt;&gt;-1,Z67&lt;&gt;-1,AA67&lt;&gt;"",Z67&lt;&gt;""),(W67+X67)/2+(AA67-Z67)/(4*COS(0.5)*$AE$5),"")</f>
        <v/>
      </c>
      <c r="Z67" s="70" t="str">
        <f>IF(S67&lt;&gt;"",IF($S67&lt;&gt;"",((($S67*COS(0.5))*$AE$5)/100),-1),"")</f>
        <v/>
      </c>
      <c r="AA67" s="65" t="str">
        <f>IF(T67&lt;&gt;"",IF($T67&lt;&gt;"",((($T67*COS(0.5))*$AE$5)/100),-1),"")</f>
        <v/>
      </c>
      <c r="AB67" s="66" t="str">
        <f>IF(Y67&lt;&gt;"",2*COS(0.5)*$AE$5*(X67-W67)/2+(AA67+Z67)/2,"")</f>
        <v/>
      </c>
      <c r="AC67" s="5"/>
      <c r="AE67" s="51"/>
      <c r="AF67" s="97" t="str">
        <f t="shared" si="7"/>
        <v/>
      </c>
      <c r="AG67" s="58">
        <f>IF(AF67&lt;&gt;"", ((AF67*0.5)-$AE$7), AG63)</f>
        <v>0.49999999999999994</v>
      </c>
      <c r="AH67" s="59">
        <f>IF(AF67&lt;&gt;"", (AF67*COS(0.5)*$AE$5), AH64)</f>
        <v>0.87758256189037265</v>
      </c>
      <c r="AI67" s="58">
        <f>IF(AF67&lt;&gt;"", AI66+($AE$7*0.5), AI63)</f>
        <v>0.5</v>
      </c>
      <c r="AJ67" s="59">
        <f>IF(AF67&lt;&gt;"", AJ66+($AE$7*COS(0.5)*$AE$5), AJ63)</f>
        <v>0.87758256189037265</v>
      </c>
      <c r="AK67" s="58">
        <f>IF($AE$8=1, AG66, AK63)</f>
        <v>0.49999999999999994</v>
      </c>
      <c r="AL67" s="59">
        <f>IF($AE$8=1, AJ66, AL63)</f>
        <v>0.87758256189037265</v>
      </c>
      <c r="AM67" s="58">
        <f>IF(AND($AE$8=1, AF66&lt;&gt;""), 1-AF66, AM66)</f>
        <v>0.5</v>
      </c>
      <c r="AN67" s="59">
        <f>IF(AND($AE$8=1, AF66&lt;&gt;""), 0, AN66)</f>
        <v>0.87758256189037265</v>
      </c>
      <c r="AO67" s="58">
        <f>IF($AE$8=1,AG66,AO66)</f>
        <v>0.49999999999999994</v>
      </c>
      <c r="AP67" s="59">
        <f>IF($AE$8=1,AH66,0)</f>
        <v>0.87758256189037265</v>
      </c>
      <c r="AQ67" s="58">
        <f>IF(AF66&lt;&gt;"",AQ66+(0.5*$AE$7),0)</f>
        <v>0</v>
      </c>
      <c r="AR67" s="55">
        <f>IF(AF66&lt;&gt;"",-COS(0.5)*$AE$7*$AE$5,0)</f>
        <v>0</v>
      </c>
      <c r="AS67" s="55">
        <f>AQ67</f>
        <v>0</v>
      </c>
      <c r="AT67" s="59">
        <f>AR67</f>
        <v>0</v>
      </c>
      <c r="AU67" s="58">
        <f>IF(AF67&lt;&gt;"",AG67+1+$AE$9+($AE$7*0.5), $AL$7)</f>
        <v>1.7</v>
      </c>
      <c r="AV67" s="59">
        <f>AJ67</f>
        <v>0.87758256189037265</v>
      </c>
      <c r="AW67" s="58">
        <f>AI67+1+$AE$9+0.5*$AE$7</f>
        <v>1.7149999999999999</v>
      </c>
      <c r="AX67" s="59">
        <f>AH67</f>
        <v>0.87758256189037265</v>
      </c>
      <c r="AY67" s="58">
        <f>AK67+1+$AE$9</f>
        <v>1.7</v>
      </c>
      <c r="AZ67" s="59">
        <f>AL67</f>
        <v>0.87758256189037265</v>
      </c>
      <c r="BA67" s="58">
        <f>AM67+1+$AE$9</f>
        <v>1.7</v>
      </c>
      <c r="BB67" s="59">
        <f>AN67</f>
        <v>0.87758256189037265</v>
      </c>
      <c r="BC67" s="58">
        <f>AO67+1+$AE$9</f>
        <v>1.7</v>
      </c>
      <c r="BD67" s="59">
        <f>AP67</f>
        <v>0.87758256189037265</v>
      </c>
      <c r="BE67" s="58">
        <f>AQ67+1+$AE$9</f>
        <v>1.2</v>
      </c>
      <c r="BF67" s="55">
        <f>AR67</f>
        <v>0</v>
      </c>
      <c r="BG67" s="55">
        <f>IF(AF67&lt;&gt;"",AS67+1+$AE$9-$AE$7,BC66)</f>
        <v>1.2</v>
      </c>
      <c r="BH67" s="59">
        <f>IF(AF67&lt;&gt;"",AT67,0)</f>
        <v>0</v>
      </c>
      <c r="BI67" s="58">
        <f>AU67-$AL$8+$AO$8</f>
        <v>1.1000000000000001</v>
      </c>
      <c r="BJ67" s="59">
        <f>AV67+$AP$9-$AM$7</f>
        <v>1.9306816361588202</v>
      </c>
      <c r="BK67" s="58">
        <f>AI67+$AO$10-$AI$9</f>
        <v>1.1000000000000001</v>
      </c>
      <c r="BL67" s="59">
        <f>AJ67+$AP$9-$AJ$7</f>
        <v>1.9306816361588202</v>
      </c>
      <c r="BM67" s="58">
        <f>IF(AND($AE$8=1,AF67&lt;&gt;""), BM66+0.5, $BI$15)</f>
        <v>0.60000000000000009</v>
      </c>
      <c r="BN67" s="59">
        <f>IF(AND($AE$8=1,AF67&lt;&gt;""), BN66-$AM$7, $BJ$15)</f>
        <v>1.0530990742684474</v>
      </c>
      <c r="BO67" s="58">
        <f>IF(AND($AE$8=1,AF67&lt;&gt;""), BO66-0.5, $BK$15)</f>
        <v>1.6</v>
      </c>
      <c r="BP67" s="59">
        <f>IF(AND($AE$8=1,AF67&lt;&gt;""), BP66-$AM$7, $BL$15)</f>
        <v>1.0530990742684474</v>
      </c>
    </row>
    <row r="68" spans="1:68" x14ac:dyDescent="0.25">
      <c r="A68" s="37"/>
      <c r="B68" s="38"/>
      <c r="C68" s="37"/>
      <c r="D68" s="2"/>
      <c r="E68" s="2"/>
      <c r="F68" s="38"/>
      <c r="G68" s="37"/>
      <c r="H68" s="2"/>
      <c r="I68" s="3"/>
      <c r="J68" s="90" t="str">
        <f>IF(C68&lt;&gt;"",$C68/'Elements and ions'!$B$12,"")</f>
        <v/>
      </c>
      <c r="K68" s="65" t="str">
        <f>IF(D68&lt;&gt;"",$D68/'Elements and ions'!$B$20,"")</f>
        <v/>
      </c>
      <c r="L68" s="65" t="str">
        <f>IF(E68&lt;&gt;"",$E68/'Elements and ions'!$B$21*2,"")</f>
        <v/>
      </c>
      <c r="M68" s="81" t="str">
        <f>IF(F68&lt;&gt;"",$F68/'Elements and ions'!$B$13*2,"")</f>
        <v/>
      </c>
      <c r="N68" s="80" t="str">
        <f>IF(G68&lt;&gt;"",-$G68/'Elements and ions'!$F$3,"")</f>
        <v/>
      </c>
      <c r="O68" s="65" t="str">
        <f>IF(H68&lt;&gt;"",-$H68/'Elements and ions'!$B$18,"")</f>
        <v/>
      </c>
      <c r="P68" s="81" t="str">
        <f>IF(I68&lt;&gt;"",-2*$I68/'Elements and ions'!$F$4,"")</f>
        <v/>
      </c>
      <c r="Q68" s="80" t="str">
        <f t="shared" si="0"/>
        <v/>
      </c>
      <c r="R68" s="65" t="str">
        <f t="shared" si="1"/>
        <v/>
      </c>
      <c r="S68" s="81" t="str">
        <f t="shared" si="2"/>
        <v/>
      </c>
      <c r="T68" s="80" t="str">
        <f t="shared" si="3"/>
        <v/>
      </c>
      <c r="U68" s="65" t="str">
        <f t="shared" si="4"/>
        <v/>
      </c>
      <c r="V68" s="91" t="str">
        <f t="shared" si="5"/>
        <v/>
      </c>
      <c r="W68" s="70" t="str">
        <f t="shared" si="6"/>
        <v/>
      </c>
      <c r="X68" s="65" t="str">
        <f>IF(V68&lt;&gt;"",IF($V68&lt;&gt;0,(($V68+(0.5*T68))/100+1+$AE$9),-1),"")</f>
        <v/>
      </c>
      <c r="Y68" s="81" t="str">
        <f>IF(AND(W68&lt;&gt;-1,X68&lt;&gt;-1,W68&lt;&gt;"",X68&lt;&gt;"",AA68&lt;&gt;-1,Z68&lt;&gt;-1,AA68&lt;&gt;"",Z68&lt;&gt;""),(W68+X68)/2+(AA68-Z68)/(4*COS(0.5)*$AE$5),"")</f>
        <v/>
      </c>
      <c r="Z68" s="70" t="str">
        <f>IF(S68&lt;&gt;"",IF($S68&lt;&gt;"",((($S68*COS(0.5))*$AE$5)/100),-1),"")</f>
        <v/>
      </c>
      <c r="AA68" s="65" t="str">
        <f>IF(T68&lt;&gt;"",IF($T68&lt;&gt;"",((($T68*COS(0.5))*$AE$5)/100),-1),"")</f>
        <v/>
      </c>
      <c r="AB68" s="66" t="str">
        <f>IF(Y68&lt;&gt;"",2*COS(0.5)*$AE$5*(X68-W68)/2+(AA68+Z68)/2,"")</f>
        <v/>
      </c>
      <c r="AC68" s="5"/>
      <c r="AE68" s="51"/>
      <c r="AF68" s="97" t="str">
        <f t="shared" si="7"/>
        <v/>
      </c>
      <c r="AG68" s="58">
        <f>IF(AF68&lt;&gt;"", (AF68*0.5), AG63)</f>
        <v>0.49999999999999994</v>
      </c>
      <c r="AH68" s="59">
        <f>IF(AF68&lt;&gt;"", (AF68*COS(0.5)*$AE$5), AH65)</f>
        <v>0.87758256189037265</v>
      </c>
      <c r="AI68" s="58">
        <f>IF(AF68&lt;&gt;"", 1-(AF68*0.5), AI63)</f>
        <v>0.5</v>
      </c>
      <c r="AJ68" s="59">
        <f>IF(AF68&lt;&gt;"", (AF68*COS(0.5)*$AE$5), AJ65)</f>
        <v>0.87758256189037265</v>
      </c>
      <c r="AK68" s="58"/>
      <c r="AL68" s="59"/>
      <c r="AM68" s="58"/>
      <c r="AN68" s="59"/>
      <c r="AO68" s="58"/>
      <c r="AP68" s="59"/>
      <c r="AQ68" s="58">
        <f>IF(AF66&lt;&gt;"", AF66, 0)</f>
        <v>0</v>
      </c>
      <c r="AR68" s="55">
        <v>0</v>
      </c>
      <c r="AS68" s="55">
        <f>AQ68</f>
        <v>0</v>
      </c>
      <c r="AT68" s="59">
        <f>AR68</f>
        <v>0</v>
      </c>
      <c r="AU68" s="58">
        <f>IF(AF68&lt;&gt;"",AG68+1+$AE$9, $AL$7)</f>
        <v>1.7</v>
      </c>
      <c r="AV68" s="59">
        <f>AJ68</f>
        <v>0.87758256189037265</v>
      </c>
      <c r="AW68" s="58">
        <f>AI68+1+$AE$9</f>
        <v>1.7</v>
      </c>
      <c r="AX68" s="59">
        <f>AH68</f>
        <v>0.87758256189037265</v>
      </c>
      <c r="AY68" s="58"/>
      <c r="AZ68" s="59"/>
      <c r="BA68" s="58"/>
      <c r="BB68" s="59"/>
      <c r="BC68" s="58"/>
      <c r="BD68" s="59"/>
      <c r="BE68" s="58">
        <f>AQ68+1+$AE$9</f>
        <v>1.2</v>
      </c>
      <c r="BF68" s="55">
        <f>AR68</f>
        <v>0</v>
      </c>
      <c r="BG68" s="55">
        <f t="shared" ref="BG68" si="24">BG66</f>
        <v>1.2</v>
      </c>
      <c r="BH68" s="59">
        <f>IF(AF68&lt;&gt;"",AT68,0)</f>
        <v>0</v>
      </c>
      <c r="BI68" s="58">
        <f>AU68-$AL$8+$AO$8</f>
        <v>1.1000000000000001</v>
      </c>
      <c r="BJ68" s="59">
        <f>AV68+$AP$9-$AM$7</f>
        <v>1.9306816361588202</v>
      </c>
      <c r="BK68" s="58">
        <f>AI68+$AO$10-$AI$9</f>
        <v>1.1000000000000001</v>
      </c>
      <c r="BL68" s="59">
        <f>AJ68+$AP$9-$AJ$7</f>
        <v>1.9306816361588202</v>
      </c>
      <c r="BM68" s="58"/>
      <c r="BN68" s="59"/>
      <c r="BO68" s="58"/>
      <c r="BP68" s="59"/>
    </row>
    <row r="69" spans="1:68" x14ac:dyDescent="0.25">
      <c r="A69" s="37"/>
      <c r="B69" s="38"/>
      <c r="C69" s="37"/>
      <c r="D69" s="2"/>
      <c r="E69" s="2"/>
      <c r="F69" s="38"/>
      <c r="G69" s="37"/>
      <c r="H69" s="2"/>
      <c r="I69" s="3"/>
      <c r="J69" s="90" t="str">
        <f>IF(C69&lt;&gt;"",$C69/'Elements and ions'!$B$12,"")</f>
        <v/>
      </c>
      <c r="K69" s="65" t="str">
        <f>IF(D69&lt;&gt;"",$D69/'Elements and ions'!$B$20,"")</f>
        <v/>
      </c>
      <c r="L69" s="65" t="str">
        <f>IF(E69&lt;&gt;"",$E69/'Elements and ions'!$B$21*2,"")</f>
        <v/>
      </c>
      <c r="M69" s="81" t="str">
        <f>IF(F69&lt;&gt;"",$F69/'Elements and ions'!$B$13*2,"")</f>
        <v/>
      </c>
      <c r="N69" s="80" t="str">
        <f>IF(G69&lt;&gt;"",-$G69/'Elements and ions'!$F$3,"")</f>
        <v/>
      </c>
      <c r="O69" s="65" t="str">
        <f>IF(H69&lt;&gt;"",-$H69/'Elements and ions'!$B$18,"")</f>
        <v/>
      </c>
      <c r="P69" s="81" t="str">
        <f>IF(I69&lt;&gt;"",-2*$I69/'Elements and ions'!$F$4,"")</f>
        <v/>
      </c>
      <c r="Q69" s="80" t="str">
        <f t="shared" ref="Q69:Q132" si="25">IF(OR(J69&lt;&gt;"",K69&lt;&gt;""),(J69+K69)/(J69+K69+L69+M69)*100,"")</f>
        <v/>
      </c>
      <c r="R69" s="65" t="str">
        <f t="shared" ref="R69:R132" si="26">IF(L69&lt;&gt;"",L69/(J69+K69+L69+M69)*100,"")</f>
        <v/>
      </c>
      <c r="S69" s="81" t="str">
        <f t="shared" ref="S69:S132" si="27">IF(M69&lt;&gt;"",M69/(K69+L69+M69+J69)*100,"")</f>
        <v/>
      </c>
      <c r="T69" s="80" t="str">
        <f t="shared" ref="T69:T132" si="28">IF(N69&lt;&gt;"",N69/(N69+O69+P69)*100,"")</f>
        <v/>
      </c>
      <c r="U69" s="65" t="str">
        <f t="shared" ref="U69:U132" si="29">IF(O69&lt;&gt;"",O69/(O69+P69+N69)*100,"")</f>
        <v/>
      </c>
      <c r="V69" s="91" t="str">
        <f t="shared" ref="V69:V132" si="30">IF(P69&lt;&gt;"",P69/(P69+N69+O69)*100,"")</f>
        <v/>
      </c>
      <c r="W69" s="70" t="str">
        <f t="shared" ref="W69:W132" si="31">IF(Q69&lt;&gt;"",IF(Q69&lt;&gt;0,((Q69+(0.5*S69))/100),-1),"")</f>
        <v/>
      </c>
      <c r="X69" s="65" t="str">
        <f>IF(V69&lt;&gt;"",IF($V69&lt;&gt;0,(($V69+(0.5*T69))/100+1+$AE$9),-1),"")</f>
        <v/>
      </c>
      <c r="Y69" s="81" t="str">
        <f>IF(AND(W69&lt;&gt;-1,X69&lt;&gt;-1,W69&lt;&gt;"",X69&lt;&gt;"",AA69&lt;&gt;-1,Z69&lt;&gt;-1,AA69&lt;&gt;"",Z69&lt;&gt;""),(W69+X69)/2+(AA69-Z69)/(4*COS(0.5)*$AE$5),"")</f>
        <v/>
      </c>
      <c r="Z69" s="70" t="str">
        <f>IF(S69&lt;&gt;"",IF($S69&lt;&gt;"",((($S69*COS(0.5))*$AE$5)/100),-1),"")</f>
        <v/>
      </c>
      <c r="AA69" s="65" t="str">
        <f>IF(T69&lt;&gt;"",IF($T69&lt;&gt;"",((($T69*COS(0.5))*$AE$5)/100),-1),"")</f>
        <v/>
      </c>
      <c r="AB69" s="66" t="str">
        <f>IF(Y69&lt;&gt;"",2*COS(0.5)*$AE$5*(X69-W69)/2+(AA69+Z69)/2,"")</f>
        <v/>
      </c>
      <c r="AC69" s="5"/>
      <c r="AE69" s="51" t="s">
        <v>138</v>
      </c>
      <c r="AF69" s="97" t="str">
        <f>IF(AND($AE$6&gt;0, $AE$7&gt;0, AF66&lt;1), AF66+$AE$6, "")</f>
        <v/>
      </c>
      <c r="AG69" s="58">
        <f>IF(AF69&lt;&gt;"", (AF69*0.5), AG66)</f>
        <v>0.49999999999999994</v>
      </c>
      <c r="AH69" s="59">
        <f>IF(AF69&lt;&gt;"", (AF69*COS(0.5)*$AE$5), AH66)</f>
        <v>0.87758256189037265</v>
      </c>
      <c r="AI69" s="58">
        <f>IF(AF69&lt;&gt;"", 1-(AF69*0.5), AI66)</f>
        <v>0.5</v>
      </c>
      <c r="AJ69" s="59">
        <f>IF(AF69&lt;&gt;"", (AF69*COS(0.5)*$AE$5), AJ66)</f>
        <v>0.87758256189037265</v>
      </c>
      <c r="AK69" s="58">
        <f>IF($AE$8=1, AI69, AK66)</f>
        <v>0.5</v>
      </c>
      <c r="AL69" s="59">
        <f>IF($AE$8=1, AJ69, AL66)</f>
        <v>0.87758256189037265</v>
      </c>
      <c r="AM69" s="58">
        <f>IF(AND($AE$8=1, AF69&lt;&gt;""), AI69, AM66)</f>
        <v>0.5</v>
      </c>
      <c r="AN69" s="59">
        <f>IF(AND($AE$8=1, AF69&lt;&gt;""), AJ69, AN66)</f>
        <v>0.87758256189037265</v>
      </c>
      <c r="AO69" s="58">
        <f>IF($AE$8=1,AQ69,AO66)</f>
        <v>0</v>
      </c>
      <c r="AP69" s="59">
        <v>0</v>
      </c>
      <c r="AQ69" s="58">
        <f>IF(AF69&lt;&gt;"", AF69, 0)</f>
        <v>0</v>
      </c>
      <c r="AR69" s="55">
        <v>0</v>
      </c>
      <c r="AS69" s="55">
        <f>AQ69</f>
        <v>0</v>
      </c>
      <c r="AT69" s="59">
        <f>AR69</f>
        <v>0</v>
      </c>
      <c r="AU69" s="58">
        <f>IF(AF69&lt;&gt;"",AG69+1+$AE$9, $AL$7)</f>
        <v>1.7</v>
      </c>
      <c r="AV69" s="59">
        <f>AJ69</f>
        <v>0.87758256189037265</v>
      </c>
      <c r="AW69" s="58">
        <f>AI69+1+$AE$9</f>
        <v>1.7</v>
      </c>
      <c r="AX69" s="59">
        <f>AH69</f>
        <v>0.87758256189037265</v>
      </c>
      <c r="AY69" s="58">
        <f>AK69+1+$AE$9</f>
        <v>1.7</v>
      </c>
      <c r="AZ69" s="59">
        <f>AL69</f>
        <v>0.87758256189037265</v>
      </c>
      <c r="BA69" s="58">
        <f>AM69+1+$AE$9</f>
        <v>1.7</v>
      </c>
      <c r="BB69" s="59">
        <f>AN69</f>
        <v>0.87758256189037265</v>
      </c>
      <c r="BC69" s="58">
        <f>AO69+1+$AE$9</f>
        <v>1.2</v>
      </c>
      <c r="BD69" s="59">
        <f>AP69</f>
        <v>0</v>
      </c>
      <c r="BE69" s="58">
        <f>AQ69+1+$AE$9</f>
        <v>1.2</v>
      </c>
      <c r="BF69" s="55">
        <f>AR69</f>
        <v>0</v>
      </c>
      <c r="BG69" s="55">
        <f>IF(AF69&lt;&gt;"",AS69+1+$AE$9,BC69)</f>
        <v>1.2</v>
      </c>
      <c r="BH69" s="59">
        <f>IF(AF69&lt;&gt;"",AT69,0)</f>
        <v>0</v>
      </c>
      <c r="BI69" s="58">
        <f>AU69-$AL$8+$AO$8</f>
        <v>1.1000000000000001</v>
      </c>
      <c r="BJ69" s="59">
        <f>AV69+$AP$9-$AM$7</f>
        <v>1.9306816361588202</v>
      </c>
      <c r="BK69" s="58">
        <f>AI69+$AO$10-$AI$9</f>
        <v>1.1000000000000001</v>
      </c>
      <c r="BL69" s="59">
        <f>AJ69+$AP$9-$AJ$7</f>
        <v>1.9306816361588202</v>
      </c>
      <c r="BM69" s="58">
        <f>IF(AND($AE$8=1,AF69&lt;&gt;""), BI69, $BI$15)</f>
        <v>0.60000000000000009</v>
      </c>
      <c r="BN69" s="59">
        <f>IF(AND($AE$8=1,AF69&lt;&gt;""), BJ69, $BJ$15)</f>
        <v>1.0530990742684474</v>
      </c>
      <c r="BO69" s="58">
        <f>IF(AND($AE$8=1,AF69&lt;&gt;""), BK69, $BK$15)</f>
        <v>1.6</v>
      </c>
      <c r="BP69" s="59">
        <f>IF(AND($AE$8=1,AF69&lt;&gt;""), BL69, $BJ$15)</f>
        <v>1.0530990742684474</v>
      </c>
    </row>
    <row r="70" spans="1:68" x14ac:dyDescent="0.25">
      <c r="A70" s="37"/>
      <c r="B70" s="38"/>
      <c r="C70" s="37"/>
      <c r="D70" s="2"/>
      <c r="E70" s="2"/>
      <c r="F70" s="38"/>
      <c r="G70" s="37"/>
      <c r="H70" s="2"/>
      <c r="I70" s="3"/>
      <c r="J70" s="90" t="str">
        <f>IF(C70&lt;&gt;"",$C70/'Elements and ions'!$B$12,"")</f>
        <v/>
      </c>
      <c r="K70" s="65" t="str">
        <f>IF(D70&lt;&gt;"",$D70/'Elements and ions'!$B$20,"")</f>
        <v/>
      </c>
      <c r="L70" s="65" t="str">
        <f>IF(E70&lt;&gt;"",$E70/'Elements and ions'!$B$21*2,"")</f>
        <v/>
      </c>
      <c r="M70" s="81" t="str">
        <f>IF(F70&lt;&gt;"",$F70/'Elements and ions'!$B$13*2,"")</f>
        <v/>
      </c>
      <c r="N70" s="80" t="str">
        <f>IF(G70&lt;&gt;"",-$G70/'Elements and ions'!$F$3,"")</f>
        <v/>
      </c>
      <c r="O70" s="65" t="str">
        <f>IF(H70&lt;&gt;"",-$H70/'Elements and ions'!$B$18,"")</f>
        <v/>
      </c>
      <c r="P70" s="81" t="str">
        <f>IF(I70&lt;&gt;"",-2*$I70/'Elements and ions'!$F$4,"")</f>
        <v/>
      </c>
      <c r="Q70" s="80" t="str">
        <f t="shared" si="25"/>
        <v/>
      </c>
      <c r="R70" s="65" t="str">
        <f t="shared" si="26"/>
        <v/>
      </c>
      <c r="S70" s="81" t="str">
        <f t="shared" si="27"/>
        <v/>
      </c>
      <c r="T70" s="80" t="str">
        <f t="shared" si="28"/>
        <v/>
      </c>
      <c r="U70" s="65" t="str">
        <f t="shared" si="29"/>
        <v/>
      </c>
      <c r="V70" s="91" t="str">
        <f t="shared" si="30"/>
        <v/>
      </c>
      <c r="W70" s="70" t="str">
        <f t="shared" si="31"/>
        <v/>
      </c>
      <c r="X70" s="65" t="str">
        <f>IF(V70&lt;&gt;"",IF($V70&lt;&gt;0,(($V70+(0.5*T70))/100+1+$AE$9),-1),"")</f>
        <v/>
      </c>
      <c r="Y70" s="81" t="str">
        <f>IF(AND(W70&lt;&gt;-1,X70&lt;&gt;-1,W70&lt;&gt;"",X70&lt;&gt;"",AA70&lt;&gt;-1,Z70&lt;&gt;-1,AA70&lt;&gt;"",Z70&lt;&gt;""),(W70+X70)/2+(AA70-Z70)/(4*COS(0.5)*$AE$5),"")</f>
        <v/>
      </c>
      <c r="Z70" s="70" t="str">
        <f>IF(S70&lt;&gt;"",IF($S70&lt;&gt;"",((($S70*COS(0.5))*$AE$5)/100),-1),"")</f>
        <v/>
      </c>
      <c r="AA70" s="65" t="str">
        <f>IF(T70&lt;&gt;"",IF($T70&lt;&gt;"",((($T70*COS(0.5))*$AE$5)/100),-1),"")</f>
        <v/>
      </c>
      <c r="AB70" s="66" t="str">
        <f>IF(Y70&lt;&gt;"",2*COS(0.5)*$AE$5*(X70-W70)/2+(AA70+Z70)/2,"")</f>
        <v/>
      </c>
      <c r="AC70" s="5"/>
      <c r="AE70" s="51"/>
      <c r="AF70" s="97" t="str">
        <f t="shared" si="7"/>
        <v/>
      </c>
      <c r="AG70" s="58">
        <f>IF(AF70&lt;&gt;"", ((AF70*0.5)-$AE$7), AG66)</f>
        <v>0.49999999999999994</v>
      </c>
      <c r="AH70" s="59">
        <f>IF(AF70&lt;&gt;"", (AF70*COS(0.5)*$AE$5), AH67)</f>
        <v>0.87758256189037265</v>
      </c>
      <c r="AI70" s="58">
        <f>IF(AF70&lt;&gt;"", AI69+($AE$7*0.5), AI66)</f>
        <v>0.5</v>
      </c>
      <c r="AJ70" s="59">
        <f>IF(AF70&lt;&gt;"", AJ69+($AE$7*COS(0.5)*$AE$5), AJ66)</f>
        <v>0.87758256189037265</v>
      </c>
      <c r="AK70" s="58">
        <f>IF($AE$8=1, AG69, AK66)</f>
        <v>0.49999999999999994</v>
      </c>
      <c r="AL70" s="59">
        <f>IF($AE$8=1, AJ69, AL66)</f>
        <v>0.87758256189037265</v>
      </c>
      <c r="AM70" s="58">
        <f>IF(AND($AE$8=1, AF69&lt;&gt;""), 1-AF69, AM69)</f>
        <v>0.5</v>
      </c>
      <c r="AN70" s="59">
        <f>IF(AND($AE$8=1, AF69&lt;&gt;""), 0, AN69)</f>
        <v>0.87758256189037265</v>
      </c>
      <c r="AO70" s="58">
        <f>IF($AE$8=1,AG69,AO69)</f>
        <v>0.49999999999999994</v>
      </c>
      <c r="AP70" s="59">
        <f>IF($AE$8=1,AH69,0)</f>
        <v>0.87758256189037265</v>
      </c>
      <c r="AQ70" s="58">
        <f>IF(AF69&lt;&gt;"",AQ69+(0.5*$AE$7),0)</f>
        <v>0</v>
      </c>
      <c r="AR70" s="55">
        <f>IF(AF69&lt;&gt;"",-COS(0.5)*$AE$7*$AE$5,0)</f>
        <v>0</v>
      </c>
      <c r="AS70" s="55">
        <f>AQ70</f>
        <v>0</v>
      </c>
      <c r="AT70" s="59">
        <f>AR70</f>
        <v>0</v>
      </c>
      <c r="AU70" s="58">
        <f>IF(AF70&lt;&gt;"",AG70+1+$AE$9+($AE$7*0.5), $AL$7)</f>
        <v>1.7</v>
      </c>
      <c r="AV70" s="59">
        <f>AJ70</f>
        <v>0.87758256189037265</v>
      </c>
      <c r="AW70" s="58">
        <f>AI70+1+$AE$9+0.5*$AE$7</f>
        <v>1.7149999999999999</v>
      </c>
      <c r="AX70" s="59">
        <f>AH70</f>
        <v>0.87758256189037265</v>
      </c>
      <c r="AY70" s="58">
        <f>AK70+1+$AE$9</f>
        <v>1.7</v>
      </c>
      <c r="AZ70" s="59">
        <f>AL70</f>
        <v>0.87758256189037265</v>
      </c>
      <c r="BA70" s="58">
        <f>AM70+1+$AE$9</f>
        <v>1.7</v>
      </c>
      <c r="BB70" s="59">
        <f>AN70</f>
        <v>0.87758256189037265</v>
      </c>
      <c r="BC70" s="58">
        <f>AO70+1+$AE$9</f>
        <v>1.7</v>
      </c>
      <c r="BD70" s="59">
        <f>AP70</f>
        <v>0.87758256189037265</v>
      </c>
      <c r="BE70" s="58">
        <f>AQ70+1+$AE$9</f>
        <v>1.2</v>
      </c>
      <c r="BF70" s="55">
        <f>AR70</f>
        <v>0</v>
      </c>
      <c r="BG70" s="55">
        <f>IF(AF70&lt;&gt;"",AS70+1+$AE$9-$AE$7,BC69)</f>
        <v>1.2</v>
      </c>
      <c r="BH70" s="59">
        <f>IF(AF70&lt;&gt;"",AT70,0)</f>
        <v>0</v>
      </c>
      <c r="BI70" s="58">
        <f>AU70-$AL$8+$AO$8</f>
        <v>1.1000000000000001</v>
      </c>
      <c r="BJ70" s="59">
        <f>AV70+$AP$9-$AM$7</f>
        <v>1.9306816361588202</v>
      </c>
      <c r="BK70" s="58">
        <f>AI70+$AO$10-$AI$9</f>
        <v>1.1000000000000001</v>
      </c>
      <c r="BL70" s="59">
        <f>AJ70+$AP$9-$AJ$7</f>
        <v>1.9306816361588202</v>
      </c>
      <c r="BM70" s="58">
        <f>IF(AND($AE$8=1,AF70&lt;&gt;""), BM69+0.5, $BI$15)</f>
        <v>0.60000000000000009</v>
      </c>
      <c r="BN70" s="59">
        <f>IF(AND($AE$8=1,AF70&lt;&gt;""), BN69-$AM$7, $BJ$15)</f>
        <v>1.0530990742684474</v>
      </c>
      <c r="BO70" s="58">
        <f>IF(AND($AE$8=1,AF70&lt;&gt;""), BO69-0.5, $BK$15)</f>
        <v>1.6</v>
      </c>
      <c r="BP70" s="59">
        <f>IF(AND($AE$8=1,AF70&lt;&gt;""), BP69-$AM$7, $BL$15)</f>
        <v>1.0530990742684474</v>
      </c>
    </row>
    <row r="71" spans="1:68" x14ac:dyDescent="0.25">
      <c r="A71" s="37"/>
      <c r="B71" s="38"/>
      <c r="C71" s="37"/>
      <c r="D71" s="2"/>
      <c r="E71" s="2"/>
      <c r="F71" s="38"/>
      <c r="G71" s="37"/>
      <c r="H71" s="2"/>
      <c r="I71" s="3"/>
      <c r="J71" s="90" t="str">
        <f>IF(C71&lt;&gt;"",$C71/'Elements and ions'!$B$12,"")</f>
        <v/>
      </c>
      <c r="K71" s="65" t="str">
        <f>IF(D71&lt;&gt;"",$D71/'Elements and ions'!$B$20,"")</f>
        <v/>
      </c>
      <c r="L71" s="65" t="str">
        <f>IF(E71&lt;&gt;"",$E71/'Elements and ions'!$B$21*2,"")</f>
        <v/>
      </c>
      <c r="M71" s="81" t="str">
        <f>IF(F71&lt;&gt;"",$F71/'Elements and ions'!$B$13*2,"")</f>
        <v/>
      </c>
      <c r="N71" s="80" t="str">
        <f>IF(G71&lt;&gt;"",-$G71/'Elements and ions'!$F$3,"")</f>
        <v/>
      </c>
      <c r="O71" s="65" t="str">
        <f>IF(H71&lt;&gt;"",-$H71/'Elements and ions'!$B$18,"")</f>
        <v/>
      </c>
      <c r="P71" s="81" t="str">
        <f>IF(I71&lt;&gt;"",-2*$I71/'Elements and ions'!$F$4,"")</f>
        <v/>
      </c>
      <c r="Q71" s="80" t="str">
        <f t="shared" si="25"/>
        <v/>
      </c>
      <c r="R71" s="65" t="str">
        <f t="shared" si="26"/>
        <v/>
      </c>
      <c r="S71" s="81" t="str">
        <f t="shared" si="27"/>
        <v/>
      </c>
      <c r="T71" s="80" t="str">
        <f t="shared" si="28"/>
        <v/>
      </c>
      <c r="U71" s="65" t="str">
        <f t="shared" si="29"/>
        <v/>
      </c>
      <c r="V71" s="91" t="str">
        <f t="shared" si="30"/>
        <v/>
      </c>
      <c r="W71" s="70" t="str">
        <f t="shared" si="31"/>
        <v/>
      </c>
      <c r="X71" s="65" t="str">
        <f>IF(V71&lt;&gt;"",IF($V71&lt;&gt;0,(($V71+(0.5*T71))/100+1+$AE$9),-1),"")</f>
        <v/>
      </c>
      <c r="Y71" s="81" t="str">
        <f>IF(AND(W71&lt;&gt;-1,X71&lt;&gt;-1,W71&lt;&gt;"",X71&lt;&gt;"",AA71&lt;&gt;-1,Z71&lt;&gt;-1,AA71&lt;&gt;"",Z71&lt;&gt;""),(W71+X71)/2+(AA71-Z71)/(4*COS(0.5)*$AE$5),"")</f>
        <v/>
      </c>
      <c r="Z71" s="70" t="str">
        <f>IF(S71&lt;&gt;"",IF($S71&lt;&gt;"",((($S71*COS(0.5))*$AE$5)/100),-1),"")</f>
        <v/>
      </c>
      <c r="AA71" s="65" t="str">
        <f>IF(T71&lt;&gt;"",IF($T71&lt;&gt;"",((($T71*COS(0.5))*$AE$5)/100),-1),"")</f>
        <v/>
      </c>
      <c r="AB71" s="66" t="str">
        <f>IF(Y71&lt;&gt;"",2*COS(0.5)*$AE$5*(X71-W71)/2+(AA71+Z71)/2,"")</f>
        <v/>
      </c>
      <c r="AC71" s="5"/>
      <c r="AE71" s="51"/>
      <c r="AF71" s="97" t="str">
        <f t="shared" si="7"/>
        <v/>
      </c>
      <c r="AG71" s="58">
        <f>IF(AF71&lt;&gt;"", (AF71*0.5), AG66)</f>
        <v>0.49999999999999994</v>
      </c>
      <c r="AH71" s="59">
        <f>IF(AF71&lt;&gt;"", (AF71*COS(0.5)*$AE$5), AH68)</f>
        <v>0.87758256189037265</v>
      </c>
      <c r="AI71" s="58">
        <f>IF(AF71&lt;&gt;"", 1-(AF71*0.5), AI66)</f>
        <v>0.5</v>
      </c>
      <c r="AJ71" s="59">
        <f>IF(AF71&lt;&gt;"", (AF71*COS(0.5)*$AE$5), AJ68)</f>
        <v>0.87758256189037265</v>
      </c>
      <c r="AK71" s="58"/>
      <c r="AL71" s="59"/>
      <c r="AM71" s="58"/>
      <c r="AN71" s="59"/>
      <c r="AO71" s="58"/>
      <c r="AP71" s="59"/>
      <c r="AQ71" s="58">
        <f>IF(AF69&lt;&gt;"", AF69, 0)</f>
        <v>0</v>
      </c>
      <c r="AR71" s="55">
        <v>0</v>
      </c>
      <c r="AS71" s="55">
        <f>AQ71</f>
        <v>0</v>
      </c>
      <c r="AT71" s="59">
        <f>AR71</f>
        <v>0</v>
      </c>
      <c r="AU71" s="58">
        <f>IF(AF71&lt;&gt;"",AG71+1+$AE$9, $AL$7)</f>
        <v>1.7</v>
      </c>
      <c r="AV71" s="59">
        <f>AJ71</f>
        <v>0.87758256189037265</v>
      </c>
      <c r="AW71" s="58">
        <f>AI71+1+$AE$9</f>
        <v>1.7</v>
      </c>
      <c r="AX71" s="59">
        <f>AH71</f>
        <v>0.87758256189037265</v>
      </c>
      <c r="AY71" s="58"/>
      <c r="AZ71" s="59"/>
      <c r="BA71" s="58"/>
      <c r="BB71" s="59"/>
      <c r="BC71" s="58"/>
      <c r="BD71" s="59"/>
      <c r="BE71" s="58">
        <f>AQ71+1+$AE$9</f>
        <v>1.2</v>
      </c>
      <c r="BF71" s="55">
        <f>AR71</f>
        <v>0</v>
      </c>
      <c r="BG71" s="55">
        <f t="shared" ref="BG71" si="32">BG69</f>
        <v>1.2</v>
      </c>
      <c r="BH71" s="59">
        <f>IF(AF71&lt;&gt;"",AT71,0)</f>
        <v>0</v>
      </c>
      <c r="BI71" s="58">
        <f>AU71-$AL$8+$AO$8</f>
        <v>1.1000000000000001</v>
      </c>
      <c r="BJ71" s="59">
        <f>AV71+$AP$9-$AM$7</f>
        <v>1.9306816361588202</v>
      </c>
      <c r="BK71" s="58">
        <f>AI71+$AO$10-$AI$9</f>
        <v>1.1000000000000001</v>
      </c>
      <c r="BL71" s="59">
        <f>AJ71+$AP$9-$AJ$7</f>
        <v>1.9306816361588202</v>
      </c>
      <c r="BM71" s="58"/>
      <c r="BN71" s="59"/>
      <c r="BO71" s="58"/>
      <c r="BP71" s="59"/>
    </row>
    <row r="72" spans="1:68" x14ac:dyDescent="0.25">
      <c r="A72" s="37"/>
      <c r="B72" s="38"/>
      <c r="C72" s="37"/>
      <c r="D72" s="2"/>
      <c r="E72" s="2"/>
      <c r="F72" s="38"/>
      <c r="G72" s="37"/>
      <c r="H72" s="2"/>
      <c r="I72" s="3"/>
      <c r="J72" s="90" t="str">
        <f>IF(C72&lt;&gt;"",$C72/'Elements and ions'!$B$12,"")</f>
        <v/>
      </c>
      <c r="K72" s="65" t="str">
        <f>IF(D72&lt;&gt;"",$D72/'Elements and ions'!$B$20,"")</f>
        <v/>
      </c>
      <c r="L72" s="65" t="str">
        <f>IF(E72&lt;&gt;"",$E72/'Elements and ions'!$B$21*2,"")</f>
        <v/>
      </c>
      <c r="M72" s="81" t="str">
        <f>IF(F72&lt;&gt;"",$F72/'Elements and ions'!$B$13*2,"")</f>
        <v/>
      </c>
      <c r="N72" s="80" t="str">
        <f>IF(G72&lt;&gt;"",-$G72/'Elements and ions'!$F$3,"")</f>
        <v/>
      </c>
      <c r="O72" s="65" t="str">
        <f>IF(H72&lt;&gt;"",-$H72/'Elements and ions'!$B$18,"")</f>
        <v/>
      </c>
      <c r="P72" s="81" t="str">
        <f>IF(I72&lt;&gt;"",-2*$I72/'Elements and ions'!$F$4,"")</f>
        <v/>
      </c>
      <c r="Q72" s="80" t="str">
        <f t="shared" si="25"/>
        <v/>
      </c>
      <c r="R72" s="65" t="str">
        <f t="shared" si="26"/>
        <v/>
      </c>
      <c r="S72" s="81" t="str">
        <f t="shared" si="27"/>
        <v/>
      </c>
      <c r="T72" s="80" t="str">
        <f t="shared" si="28"/>
        <v/>
      </c>
      <c r="U72" s="65" t="str">
        <f t="shared" si="29"/>
        <v/>
      </c>
      <c r="V72" s="91" t="str">
        <f t="shared" si="30"/>
        <v/>
      </c>
      <c r="W72" s="70" t="str">
        <f t="shared" si="31"/>
        <v/>
      </c>
      <c r="X72" s="65" t="str">
        <f>IF(V72&lt;&gt;"",IF($V72&lt;&gt;0,(($V72+(0.5*T72))/100+1+$AE$9),-1),"")</f>
        <v/>
      </c>
      <c r="Y72" s="81" t="str">
        <f>IF(AND(W72&lt;&gt;-1,X72&lt;&gt;-1,W72&lt;&gt;"",X72&lt;&gt;"",AA72&lt;&gt;-1,Z72&lt;&gt;-1,AA72&lt;&gt;"",Z72&lt;&gt;""),(W72+X72)/2+(AA72-Z72)/(4*COS(0.5)*$AE$5),"")</f>
        <v/>
      </c>
      <c r="Z72" s="70" t="str">
        <f>IF(S72&lt;&gt;"",IF($S72&lt;&gt;"",((($S72*COS(0.5))*$AE$5)/100),-1),"")</f>
        <v/>
      </c>
      <c r="AA72" s="65" t="str">
        <f>IF(T72&lt;&gt;"",IF($T72&lt;&gt;"",((($T72*COS(0.5))*$AE$5)/100),-1),"")</f>
        <v/>
      </c>
      <c r="AB72" s="66" t="str">
        <f>IF(Y72&lt;&gt;"",2*COS(0.5)*$AE$5*(X72-W72)/2+(AA72+Z72)/2,"")</f>
        <v/>
      </c>
      <c r="AC72" s="5"/>
      <c r="AE72" s="51"/>
      <c r="AF72" s="97" t="str">
        <f>IF(AND($AE$6&gt;0, $AE$7&gt;0, AF69&lt;1), AF69+$AE$6, "")</f>
        <v/>
      </c>
      <c r="AG72" s="58">
        <f>IF(AF72&lt;&gt;"", (AF72*0.5), AG69)</f>
        <v>0.49999999999999994</v>
      </c>
      <c r="AH72" s="59">
        <f>IF(AF72&lt;&gt;"", (AF72*COS(0.5)*$AE$5), AH69)</f>
        <v>0.87758256189037265</v>
      </c>
      <c r="AI72" s="58">
        <f>IF(AF72&lt;&gt;"", 1-(AF72*0.5), AI69)</f>
        <v>0.5</v>
      </c>
      <c r="AJ72" s="59">
        <f>IF(AF72&lt;&gt;"", (AF72*COS(0.5)*$AE$5), AJ69)</f>
        <v>0.87758256189037265</v>
      </c>
      <c r="AK72" s="58">
        <f>IF($AE$8=1, AI72, AK69)</f>
        <v>0.5</v>
      </c>
      <c r="AL72" s="59">
        <f>IF($AE$8=1, AJ72, AL69)</f>
        <v>0.87758256189037265</v>
      </c>
      <c r="AM72" s="58">
        <f>IF(AND($AE$8=1, AF72&lt;&gt;""), AI72, AM69)</f>
        <v>0.5</v>
      </c>
      <c r="AN72" s="59">
        <f>IF(AND($AE$8=1, AF72&lt;&gt;""), AJ72, AN69)</f>
        <v>0.87758256189037265</v>
      </c>
      <c r="AO72" s="58">
        <f>IF($AE$8=1,AQ72,AO69)</f>
        <v>0</v>
      </c>
      <c r="AP72" s="59">
        <v>0</v>
      </c>
      <c r="AQ72" s="58">
        <f>IF(AF72&lt;&gt;"", AF72, 0)</f>
        <v>0</v>
      </c>
      <c r="AR72" s="55">
        <v>0</v>
      </c>
      <c r="AS72" s="55">
        <f>AQ72</f>
        <v>0</v>
      </c>
      <c r="AT72" s="59">
        <f>AR72</f>
        <v>0</v>
      </c>
      <c r="AU72" s="58">
        <f>IF(AF72&lt;&gt;"",AG72+1+$AE$9, $AL$7)</f>
        <v>1.7</v>
      </c>
      <c r="AV72" s="59">
        <f>AJ72</f>
        <v>0.87758256189037265</v>
      </c>
      <c r="AW72" s="58">
        <f>AI72+1+$AE$9</f>
        <v>1.7</v>
      </c>
      <c r="AX72" s="59">
        <f>AH72</f>
        <v>0.87758256189037265</v>
      </c>
      <c r="AY72" s="58">
        <f>AK72+1+$AE$9</f>
        <v>1.7</v>
      </c>
      <c r="AZ72" s="59">
        <f>AL72</f>
        <v>0.87758256189037265</v>
      </c>
      <c r="BA72" s="58">
        <f>AM72+1+$AE$9</f>
        <v>1.7</v>
      </c>
      <c r="BB72" s="59">
        <f>AN72</f>
        <v>0.87758256189037265</v>
      </c>
      <c r="BC72" s="58">
        <f>AO72+1+$AE$9</f>
        <v>1.2</v>
      </c>
      <c r="BD72" s="59">
        <f>AP72</f>
        <v>0</v>
      </c>
      <c r="BE72" s="58">
        <f>AQ72+1+$AE$9</f>
        <v>1.2</v>
      </c>
      <c r="BF72" s="55">
        <f>AR72</f>
        <v>0</v>
      </c>
      <c r="BG72" s="55">
        <f>IF(AF72&lt;&gt;"",AS72+1+$AE$9,BC72)</f>
        <v>1.2</v>
      </c>
      <c r="BH72" s="59">
        <f>IF(AF72&lt;&gt;"",AT72,0)</f>
        <v>0</v>
      </c>
      <c r="BI72" s="58">
        <f>AU72-$AL$8+$AO$8</f>
        <v>1.1000000000000001</v>
      </c>
      <c r="BJ72" s="59">
        <f>AV72+$AP$9-$AM$7</f>
        <v>1.9306816361588202</v>
      </c>
      <c r="BK72" s="58">
        <f>AI72+$AO$10-$AI$9</f>
        <v>1.1000000000000001</v>
      </c>
      <c r="BL72" s="59">
        <f>AJ72+$AP$9-$AJ$7</f>
        <v>1.9306816361588202</v>
      </c>
      <c r="BM72" s="58">
        <f>IF(AND($AE$8=1,AF72&lt;&gt;""), BI72, $BI$15)</f>
        <v>0.60000000000000009</v>
      </c>
      <c r="BN72" s="59">
        <f>IF(AND($AE$8=1,AF72&lt;&gt;""), BJ72, $BJ$15)</f>
        <v>1.0530990742684474</v>
      </c>
      <c r="BO72" s="58">
        <f>IF(AND($AE$8=1,AF72&lt;&gt;""), BK72, $BK$15)</f>
        <v>1.6</v>
      </c>
      <c r="BP72" s="59">
        <f>IF(AND($AE$8=1,AF72&lt;&gt;""), BL72, $BJ$15)</f>
        <v>1.0530990742684474</v>
      </c>
    </row>
    <row r="73" spans="1:68" x14ac:dyDescent="0.25">
      <c r="A73" s="37"/>
      <c r="B73" s="38"/>
      <c r="C73" s="37"/>
      <c r="D73" s="2"/>
      <c r="E73" s="2"/>
      <c r="F73" s="38"/>
      <c r="G73" s="37"/>
      <c r="H73" s="2"/>
      <c r="I73" s="3"/>
      <c r="J73" s="90" t="str">
        <f>IF(C73&lt;&gt;"",$C73/'Elements and ions'!$B$12,"")</f>
        <v/>
      </c>
      <c r="K73" s="65" t="str">
        <f>IF(D73&lt;&gt;"",$D73/'Elements and ions'!$B$20,"")</f>
        <v/>
      </c>
      <c r="L73" s="65" t="str">
        <f>IF(E73&lt;&gt;"",$E73/'Elements and ions'!$B$21*2,"")</f>
        <v/>
      </c>
      <c r="M73" s="81" t="str">
        <f>IF(F73&lt;&gt;"",$F73/'Elements and ions'!$B$13*2,"")</f>
        <v/>
      </c>
      <c r="N73" s="80" t="str">
        <f>IF(G73&lt;&gt;"",-$G73/'Elements and ions'!$F$3,"")</f>
        <v/>
      </c>
      <c r="O73" s="65" t="str">
        <f>IF(H73&lt;&gt;"",-$H73/'Elements and ions'!$B$18,"")</f>
        <v/>
      </c>
      <c r="P73" s="81" t="str">
        <f>IF(I73&lt;&gt;"",-2*$I73/'Elements and ions'!$F$4,"")</f>
        <v/>
      </c>
      <c r="Q73" s="80" t="str">
        <f t="shared" si="25"/>
        <v/>
      </c>
      <c r="R73" s="65" t="str">
        <f t="shared" si="26"/>
        <v/>
      </c>
      <c r="S73" s="81" t="str">
        <f t="shared" si="27"/>
        <v/>
      </c>
      <c r="T73" s="80" t="str">
        <f t="shared" si="28"/>
        <v/>
      </c>
      <c r="U73" s="65" t="str">
        <f t="shared" si="29"/>
        <v/>
      </c>
      <c r="V73" s="91" t="str">
        <f t="shared" si="30"/>
        <v/>
      </c>
      <c r="W73" s="70" t="str">
        <f t="shared" si="31"/>
        <v/>
      </c>
      <c r="X73" s="65" t="str">
        <f>IF(V73&lt;&gt;"",IF($V73&lt;&gt;0,(($V73+(0.5*T73))/100+1+$AE$9),-1),"")</f>
        <v/>
      </c>
      <c r="Y73" s="81" t="str">
        <f>IF(AND(W73&lt;&gt;-1,X73&lt;&gt;-1,W73&lt;&gt;"",X73&lt;&gt;"",AA73&lt;&gt;-1,Z73&lt;&gt;-1,AA73&lt;&gt;"",Z73&lt;&gt;""),(W73+X73)/2+(AA73-Z73)/(4*COS(0.5)*$AE$5),"")</f>
        <v/>
      </c>
      <c r="Z73" s="70" t="str">
        <f>IF(S73&lt;&gt;"",IF($S73&lt;&gt;"",((($S73*COS(0.5))*$AE$5)/100),-1),"")</f>
        <v/>
      </c>
      <c r="AA73" s="65" t="str">
        <f>IF(T73&lt;&gt;"",IF($T73&lt;&gt;"",((($T73*COS(0.5))*$AE$5)/100),-1),"")</f>
        <v/>
      </c>
      <c r="AB73" s="66" t="str">
        <f>IF(Y73&lt;&gt;"",2*COS(0.5)*$AE$5*(X73-W73)/2+(AA73+Z73)/2,"")</f>
        <v/>
      </c>
      <c r="AC73" s="5"/>
      <c r="AE73" s="51"/>
      <c r="AF73" s="97" t="str">
        <f t="shared" si="7"/>
        <v/>
      </c>
      <c r="AG73" s="58">
        <f>IF(AF73&lt;&gt;"", ((AF73*0.5)-$AE$7), AG69)</f>
        <v>0.49999999999999994</v>
      </c>
      <c r="AH73" s="59">
        <f>IF(AF73&lt;&gt;"", (AF73*COS(0.5)*$AE$5), AH70)</f>
        <v>0.87758256189037265</v>
      </c>
      <c r="AI73" s="58">
        <f>IF(AF73&lt;&gt;"", AI72+($AE$7*0.5), AI69)</f>
        <v>0.5</v>
      </c>
      <c r="AJ73" s="59">
        <f>IF(AF73&lt;&gt;"", AJ72+($AE$7*COS(0.5)*$AE$5), AJ69)</f>
        <v>0.87758256189037265</v>
      </c>
      <c r="AK73" s="58">
        <f>IF($AE$8=1, AG72, AK69)</f>
        <v>0.49999999999999994</v>
      </c>
      <c r="AL73" s="59">
        <f>IF($AE$8=1, AJ72, AL69)</f>
        <v>0.87758256189037265</v>
      </c>
      <c r="AM73" s="58">
        <f>IF(AND($AE$8=1, AF72&lt;&gt;""), 1-AF72, AM72)</f>
        <v>0.5</v>
      </c>
      <c r="AN73" s="59">
        <f>IF(AND($AE$8=1, AF72&lt;&gt;""), 0, AN72)</f>
        <v>0.87758256189037265</v>
      </c>
      <c r="AO73" s="58">
        <f>IF($AE$8=1,AG72,AO72)</f>
        <v>0.49999999999999994</v>
      </c>
      <c r="AP73" s="59">
        <f>IF($AE$8=1,AH72,0)</f>
        <v>0.87758256189037265</v>
      </c>
      <c r="AQ73" s="58">
        <f>IF(AF72&lt;&gt;"",AQ72+(0.5*$AE$7),0)</f>
        <v>0</v>
      </c>
      <c r="AR73" s="55">
        <f>IF(AF72&lt;&gt;"",-COS(0.5)*$AE$7*$AE$5,0)</f>
        <v>0</v>
      </c>
      <c r="AS73" s="55">
        <f>AQ73</f>
        <v>0</v>
      </c>
      <c r="AT73" s="59">
        <f>AR73</f>
        <v>0</v>
      </c>
      <c r="AU73" s="58">
        <f>IF(AF73&lt;&gt;"",AG73+1+$AE$9+($AE$7*0.5), $AL$7)</f>
        <v>1.7</v>
      </c>
      <c r="AV73" s="59">
        <f>AJ73</f>
        <v>0.87758256189037265</v>
      </c>
      <c r="AW73" s="58">
        <f>AI73+1+$AE$9+0.5*$AE$7</f>
        <v>1.7149999999999999</v>
      </c>
      <c r="AX73" s="59">
        <f>AH73</f>
        <v>0.87758256189037265</v>
      </c>
      <c r="AY73" s="58">
        <f>AK73+1+$AE$9</f>
        <v>1.7</v>
      </c>
      <c r="AZ73" s="59">
        <f>AL73</f>
        <v>0.87758256189037265</v>
      </c>
      <c r="BA73" s="58">
        <f>AM73+1+$AE$9</f>
        <v>1.7</v>
      </c>
      <c r="BB73" s="59">
        <f>AN73</f>
        <v>0.87758256189037265</v>
      </c>
      <c r="BC73" s="58">
        <f>AO73+1+$AE$9</f>
        <v>1.7</v>
      </c>
      <c r="BD73" s="59">
        <f>AP73</f>
        <v>0.87758256189037265</v>
      </c>
      <c r="BE73" s="58">
        <f>AQ73+1+$AE$9</f>
        <v>1.2</v>
      </c>
      <c r="BF73" s="55">
        <f>AR73</f>
        <v>0</v>
      </c>
      <c r="BG73" s="55">
        <f>IF(AF73&lt;&gt;"",AS73+1+$AE$9-$AE$7,BC72)</f>
        <v>1.2</v>
      </c>
      <c r="BH73" s="59">
        <f>IF(AF73&lt;&gt;"",AT73,0)</f>
        <v>0</v>
      </c>
      <c r="BI73" s="58">
        <f>AU73-$AL$8+$AO$8</f>
        <v>1.1000000000000001</v>
      </c>
      <c r="BJ73" s="59">
        <f>AV73+$AP$9-$AM$7</f>
        <v>1.9306816361588202</v>
      </c>
      <c r="BK73" s="58">
        <f>AI73+$AO$10-$AI$9</f>
        <v>1.1000000000000001</v>
      </c>
      <c r="BL73" s="59">
        <f>AJ73+$AP$9-$AJ$7</f>
        <v>1.9306816361588202</v>
      </c>
      <c r="BM73" s="58">
        <f>IF(AND($AE$8=1,AF73&lt;&gt;""), BM72+0.5, $BI$15)</f>
        <v>0.60000000000000009</v>
      </c>
      <c r="BN73" s="59">
        <f>IF(AND($AE$8=1,AF73&lt;&gt;""), BN72-$AM$7, $BJ$15)</f>
        <v>1.0530990742684474</v>
      </c>
      <c r="BO73" s="58">
        <f>IF(AND($AE$8=1,AF73&lt;&gt;""), BO72-0.5, $BK$15)</f>
        <v>1.6</v>
      </c>
      <c r="BP73" s="59">
        <f>IF(AND($AE$8=1,AF73&lt;&gt;""), BP72-$AM$7, $BL$15)</f>
        <v>1.0530990742684474</v>
      </c>
    </row>
    <row r="74" spans="1:68" x14ac:dyDescent="0.25">
      <c r="A74" s="37"/>
      <c r="B74" s="38"/>
      <c r="C74" s="37"/>
      <c r="D74" s="2"/>
      <c r="E74" s="2"/>
      <c r="F74" s="38"/>
      <c r="G74" s="37"/>
      <c r="H74" s="2"/>
      <c r="I74" s="3"/>
      <c r="J74" s="90" t="str">
        <f>IF(C74&lt;&gt;"",$C74/'Elements and ions'!$B$12,"")</f>
        <v/>
      </c>
      <c r="K74" s="65" t="str">
        <f>IF(D74&lt;&gt;"",$D74/'Elements and ions'!$B$20,"")</f>
        <v/>
      </c>
      <c r="L74" s="65" t="str">
        <f>IF(E74&lt;&gt;"",$E74/'Elements and ions'!$B$21*2,"")</f>
        <v/>
      </c>
      <c r="M74" s="81" t="str">
        <f>IF(F74&lt;&gt;"",$F74/'Elements and ions'!$B$13*2,"")</f>
        <v/>
      </c>
      <c r="N74" s="80" t="str">
        <f>IF(G74&lt;&gt;"",-$G74/'Elements and ions'!$F$3,"")</f>
        <v/>
      </c>
      <c r="O74" s="65" t="str">
        <f>IF(H74&lt;&gt;"",-$H74/'Elements and ions'!$B$18,"")</f>
        <v/>
      </c>
      <c r="P74" s="81" t="str">
        <f>IF(I74&lt;&gt;"",-2*$I74/'Elements and ions'!$F$4,"")</f>
        <v/>
      </c>
      <c r="Q74" s="80" t="str">
        <f t="shared" si="25"/>
        <v/>
      </c>
      <c r="R74" s="65" t="str">
        <f t="shared" si="26"/>
        <v/>
      </c>
      <c r="S74" s="81" t="str">
        <f t="shared" si="27"/>
        <v/>
      </c>
      <c r="T74" s="80" t="str">
        <f t="shared" si="28"/>
        <v/>
      </c>
      <c r="U74" s="65" t="str">
        <f t="shared" si="29"/>
        <v/>
      </c>
      <c r="V74" s="91" t="str">
        <f t="shared" si="30"/>
        <v/>
      </c>
      <c r="W74" s="70" t="str">
        <f t="shared" si="31"/>
        <v/>
      </c>
      <c r="X74" s="65" t="str">
        <f>IF(V74&lt;&gt;"",IF($V74&lt;&gt;0,(($V74+(0.5*T74))/100+1+$AE$9),-1),"")</f>
        <v/>
      </c>
      <c r="Y74" s="81" t="str">
        <f>IF(AND(W74&lt;&gt;-1,X74&lt;&gt;-1,W74&lt;&gt;"",X74&lt;&gt;"",AA74&lt;&gt;-1,Z74&lt;&gt;-1,AA74&lt;&gt;"",Z74&lt;&gt;""),(W74+X74)/2+(AA74-Z74)/(4*COS(0.5)*$AE$5),"")</f>
        <v/>
      </c>
      <c r="Z74" s="70" t="str">
        <f>IF(S74&lt;&gt;"",IF($S74&lt;&gt;"",((($S74*COS(0.5))*$AE$5)/100),-1),"")</f>
        <v/>
      </c>
      <c r="AA74" s="65" t="str">
        <f>IF(T74&lt;&gt;"",IF($T74&lt;&gt;"",((($T74*COS(0.5))*$AE$5)/100),-1),"")</f>
        <v/>
      </c>
      <c r="AB74" s="66" t="str">
        <f>IF(Y74&lt;&gt;"",2*COS(0.5)*$AE$5*(X74-W74)/2+(AA74+Z74)/2,"")</f>
        <v/>
      </c>
      <c r="AC74" s="5"/>
      <c r="AE74" s="51"/>
      <c r="AF74" s="97" t="str">
        <f t="shared" si="7"/>
        <v/>
      </c>
      <c r="AG74" s="58">
        <f>IF(AF74&lt;&gt;"", (AF74*0.5), AG69)</f>
        <v>0.49999999999999994</v>
      </c>
      <c r="AH74" s="59">
        <f>IF(AF74&lt;&gt;"", (AF74*COS(0.5)*$AE$5), AH71)</f>
        <v>0.87758256189037265</v>
      </c>
      <c r="AI74" s="58">
        <f>IF(AF74&lt;&gt;"", 1-(AF74*0.5), AI69)</f>
        <v>0.5</v>
      </c>
      <c r="AJ74" s="59">
        <f>IF(AF74&lt;&gt;"", (AF74*COS(0.5)*$AE$5), AJ71)</f>
        <v>0.87758256189037265</v>
      </c>
      <c r="AK74" s="58"/>
      <c r="AL74" s="59"/>
      <c r="AM74" s="58"/>
      <c r="AN74" s="59"/>
      <c r="AO74" s="58"/>
      <c r="AP74" s="59"/>
      <c r="AQ74" s="58">
        <f>IF(AF72&lt;&gt;"", AF72, 0)</f>
        <v>0</v>
      </c>
      <c r="AR74" s="55">
        <v>0</v>
      </c>
      <c r="AS74" s="55">
        <f>AQ74</f>
        <v>0</v>
      </c>
      <c r="AT74" s="59">
        <f>AR74</f>
        <v>0</v>
      </c>
      <c r="AU74" s="58">
        <f>IF(AF74&lt;&gt;"",AG74+1+$AE$9, $AL$7)</f>
        <v>1.7</v>
      </c>
      <c r="AV74" s="59">
        <f>AJ74</f>
        <v>0.87758256189037265</v>
      </c>
      <c r="AW74" s="58">
        <f>AI74+1+$AE$9</f>
        <v>1.7</v>
      </c>
      <c r="AX74" s="59">
        <f>AH74</f>
        <v>0.87758256189037265</v>
      </c>
      <c r="AY74" s="58"/>
      <c r="AZ74" s="59"/>
      <c r="BA74" s="58"/>
      <c r="BB74" s="59"/>
      <c r="BC74" s="58"/>
      <c r="BD74" s="59"/>
      <c r="BE74" s="58">
        <f>AQ74+1+$AE$9</f>
        <v>1.2</v>
      </c>
      <c r="BF74" s="55">
        <f>AR74</f>
        <v>0</v>
      </c>
      <c r="BG74" s="55">
        <f t="shared" ref="BG74" si="33">BG72</f>
        <v>1.2</v>
      </c>
      <c r="BH74" s="59">
        <f>IF(AF74&lt;&gt;"",AT74,0)</f>
        <v>0</v>
      </c>
      <c r="BI74" s="58">
        <f>AU74-$AL$8+$AO$8</f>
        <v>1.1000000000000001</v>
      </c>
      <c r="BJ74" s="59">
        <f>AV74+$AP$9-$AM$7</f>
        <v>1.9306816361588202</v>
      </c>
      <c r="BK74" s="58">
        <f>AI74+$AO$10-$AI$9</f>
        <v>1.1000000000000001</v>
      </c>
      <c r="BL74" s="59">
        <f>AJ74+$AP$9-$AJ$7</f>
        <v>1.9306816361588202</v>
      </c>
      <c r="BM74" s="58"/>
      <c r="BN74" s="59"/>
      <c r="BO74" s="58"/>
      <c r="BP74" s="59"/>
    </row>
    <row r="75" spans="1:68" x14ac:dyDescent="0.25">
      <c r="A75" s="37"/>
      <c r="B75" s="38"/>
      <c r="C75" s="37"/>
      <c r="D75" s="2"/>
      <c r="E75" s="2"/>
      <c r="F75" s="38"/>
      <c r="G75" s="37"/>
      <c r="H75" s="2"/>
      <c r="I75" s="3"/>
      <c r="J75" s="90" t="str">
        <f>IF(C75&lt;&gt;"",$C75/'Elements and ions'!$B$12,"")</f>
        <v/>
      </c>
      <c r="K75" s="65" t="str">
        <f>IF(D75&lt;&gt;"",$D75/'Elements and ions'!$B$20,"")</f>
        <v/>
      </c>
      <c r="L75" s="65" t="str">
        <f>IF(E75&lt;&gt;"",$E75/'Elements and ions'!$B$21*2,"")</f>
        <v/>
      </c>
      <c r="M75" s="81" t="str">
        <f>IF(F75&lt;&gt;"",$F75/'Elements and ions'!$B$13*2,"")</f>
        <v/>
      </c>
      <c r="N75" s="80" t="str">
        <f>IF(G75&lt;&gt;"",-$G75/'Elements and ions'!$F$3,"")</f>
        <v/>
      </c>
      <c r="O75" s="65" t="str">
        <f>IF(H75&lt;&gt;"",-$H75/'Elements and ions'!$B$18,"")</f>
        <v/>
      </c>
      <c r="P75" s="81" t="str">
        <f>IF(I75&lt;&gt;"",-2*$I75/'Elements and ions'!$F$4,"")</f>
        <v/>
      </c>
      <c r="Q75" s="80" t="str">
        <f t="shared" si="25"/>
        <v/>
      </c>
      <c r="R75" s="65" t="str">
        <f t="shared" si="26"/>
        <v/>
      </c>
      <c r="S75" s="81" t="str">
        <f t="shared" si="27"/>
        <v/>
      </c>
      <c r="T75" s="80" t="str">
        <f t="shared" si="28"/>
        <v/>
      </c>
      <c r="U75" s="65" t="str">
        <f t="shared" si="29"/>
        <v/>
      </c>
      <c r="V75" s="91" t="str">
        <f t="shared" si="30"/>
        <v/>
      </c>
      <c r="W75" s="70" t="str">
        <f t="shared" si="31"/>
        <v/>
      </c>
      <c r="X75" s="65" t="str">
        <f>IF(V75&lt;&gt;"",IF($V75&lt;&gt;0,(($V75+(0.5*T75))/100+1+$AE$9),-1),"")</f>
        <v/>
      </c>
      <c r="Y75" s="81" t="str">
        <f>IF(AND(W75&lt;&gt;-1,X75&lt;&gt;-1,W75&lt;&gt;"",X75&lt;&gt;"",AA75&lt;&gt;-1,Z75&lt;&gt;-1,AA75&lt;&gt;"",Z75&lt;&gt;""),(W75+X75)/2+(AA75-Z75)/(4*COS(0.5)*$AE$5),"")</f>
        <v/>
      </c>
      <c r="Z75" s="70" t="str">
        <f>IF(S75&lt;&gt;"",IF($S75&lt;&gt;"",((($S75*COS(0.5))*$AE$5)/100),-1),"")</f>
        <v/>
      </c>
      <c r="AA75" s="65" t="str">
        <f>IF(T75&lt;&gt;"",IF($T75&lt;&gt;"",((($T75*COS(0.5))*$AE$5)/100),-1),"")</f>
        <v/>
      </c>
      <c r="AB75" s="66" t="str">
        <f>IF(Y75&lt;&gt;"",2*COS(0.5)*$AE$5*(X75-W75)/2+(AA75+Z75)/2,"")</f>
        <v/>
      </c>
      <c r="AC75" s="5"/>
      <c r="AE75" s="51"/>
      <c r="AF75" s="97" t="str">
        <f>IF(AND($AE$6&gt;0, $AE$7&gt;0, AF72&lt;1), AF72+$AE$6, "")</f>
        <v/>
      </c>
      <c r="AG75" s="58">
        <f>IF(AF75&lt;&gt;"", (AF75*0.5), AG72)</f>
        <v>0.49999999999999994</v>
      </c>
      <c r="AH75" s="59">
        <f>IF(AF75&lt;&gt;"", (AF75*COS(0.5)*$AE$5), AH72)</f>
        <v>0.87758256189037265</v>
      </c>
      <c r="AI75" s="58">
        <f>IF(AF75&lt;&gt;"", 1-(AF75*0.5), AI72)</f>
        <v>0.5</v>
      </c>
      <c r="AJ75" s="59">
        <f>IF(AF75&lt;&gt;"", (AF75*COS(0.5)*$AE$5), AJ72)</f>
        <v>0.87758256189037265</v>
      </c>
      <c r="AK75" s="58">
        <f>IF($AE$8=1, AI75, AK72)</f>
        <v>0.5</v>
      </c>
      <c r="AL75" s="59">
        <f>IF($AE$8=1, AJ75, AL72)</f>
        <v>0.87758256189037265</v>
      </c>
      <c r="AM75" s="58">
        <f>IF(AND($AE$8=1, AF75&lt;&gt;""), AI75, AM72)</f>
        <v>0.5</v>
      </c>
      <c r="AN75" s="59">
        <f>IF(AND($AE$8=1, AF75&lt;&gt;""), AJ75, AN72)</f>
        <v>0.87758256189037265</v>
      </c>
      <c r="AO75" s="58">
        <f>IF($AE$8=1,AQ75,AO72)</f>
        <v>0</v>
      </c>
      <c r="AP75" s="59">
        <v>0</v>
      </c>
      <c r="AQ75" s="58">
        <f>IF(AF75&lt;&gt;"", AF75, 0)</f>
        <v>0</v>
      </c>
      <c r="AR75" s="55">
        <v>0</v>
      </c>
      <c r="AS75" s="55">
        <f>AQ75</f>
        <v>0</v>
      </c>
      <c r="AT75" s="59">
        <f>AR75</f>
        <v>0</v>
      </c>
      <c r="AU75" s="58">
        <f>IF(AF75&lt;&gt;"",AG75+1+$AE$9, $AL$7)</f>
        <v>1.7</v>
      </c>
      <c r="AV75" s="59">
        <f>AJ75</f>
        <v>0.87758256189037265</v>
      </c>
      <c r="AW75" s="58">
        <f>AI75+1+$AE$9</f>
        <v>1.7</v>
      </c>
      <c r="AX75" s="59">
        <f>AH75</f>
        <v>0.87758256189037265</v>
      </c>
      <c r="AY75" s="58">
        <f>AK75+1+$AE$9</f>
        <v>1.7</v>
      </c>
      <c r="AZ75" s="59">
        <f>AL75</f>
        <v>0.87758256189037265</v>
      </c>
      <c r="BA75" s="58">
        <f>AM75+1+$AE$9</f>
        <v>1.7</v>
      </c>
      <c r="BB75" s="59">
        <f>AN75</f>
        <v>0.87758256189037265</v>
      </c>
      <c r="BC75" s="58">
        <f>AO75+1+$AE$9</f>
        <v>1.2</v>
      </c>
      <c r="BD75" s="59">
        <f>AP75</f>
        <v>0</v>
      </c>
      <c r="BE75" s="58">
        <f>AQ75+1+$AE$9</f>
        <v>1.2</v>
      </c>
      <c r="BF75" s="55">
        <f>AR75</f>
        <v>0</v>
      </c>
      <c r="BG75" s="55">
        <f>IF(AF75&lt;&gt;"",AS75+1+$AE$9,BC75)</f>
        <v>1.2</v>
      </c>
      <c r="BH75" s="59">
        <f>IF(AF75&lt;&gt;"",AT75,0)</f>
        <v>0</v>
      </c>
      <c r="BI75" s="58">
        <f>AU75-$AL$8+$AO$8</f>
        <v>1.1000000000000001</v>
      </c>
      <c r="BJ75" s="59">
        <f>AV75+$AP$9-$AM$7</f>
        <v>1.9306816361588202</v>
      </c>
      <c r="BK75" s="58">
        <f>AI75+$AO$10-$AI$9</f>
        <v>1.1000000000000001</v>
      </c>
      <c r="BL75" s="59">
        <f>AJ75+$AP$9-$AJ$7</f>
        <v>1.9306816361588202</v>
      </c>
      <c r="BM75" s="58">
        <f>IF(AND($AE$8=1,AF75&lt;&gt;""), BI75, $BI$15)</f>
        <v>0.60000000000000009</v>
      </c>
      <c r="BN75" s="59">
        <f>IF(AND($AE$8=1,AF75&lt;&gt;""), BJ75, $BJ$15)</f>
        <v>1.0530990742684474</v>
      </c>
      <c r="BO75" s="58">
        <f>IF(AND($AE$8=1,AF75&lt;&gt;""), BK75, $BK$15)</f>
        <v>1.6</v>
      </c>
      <c r="BP75" s="59">
        <f>IF(AND($AE$8=1,AF75&lt;&gt;""), BL75, $BJ$15)</f>
        <v>1.0530990742684474</v>
      </c>
    </row>
    <row r="76" spans="1:68" x14ac:dyDescent="0.25">
      <c r="A76" s="37"/>
      <c r="B76" s="38"/>
      <c r="C76" s="37"/>
      <c r="D76" s="2"/>
      <c r="E76" s="2"/>
      <c r="F76" s="38"/>
      <c r="G76" s="37"/>
      <c r="H76" s="2"/>
      <c r="I76" s="3"/>
      <c r="J76" s="90" t="str">
        <f>IF(C76&lt;&gt;"",$C76/'Elements and ions'!$B$12,"")</f>
        <v/>
      </c>
      <c r="K76" s="65" t="str">
        <f>IF(D76&lt;&gt;"",$D76/'Elements and ions'!$B$20,"")</f>
        <v/>
      </c>
      <c r="L76" s="65" t="str">
        <f>IF(E76&lt;&gt;"",$E76/'Elements and ions'!$B$21*2,"")</f>
        <v/>
      </c>
      <c r="M76" s="81" t="str">
        <f>IF(F76&lt;&gt;"",$F76/'Elements and ions'!$B$13*2,"")</f>
        <v/>
      </c>
      <c r="N76" s="80" t="str">
        <f>IF(G76&lt;&gt;"",-$G76/'Elements and ions'!$F$3,"")</f>
        <v/>
      </c>
      <c r="O76" s="65" t="str">
        <f>IF(H76&lt;&gt;"",-$H76/'Elements and ions'!$B$18,"")</f>
        <v/>
      </c>
      <c r="P76" s="81" t="str">
        <f>IF(I76&lt;&gt;"",-2*$I76/'Elements and ions'!$F$4,"")</f>
        <v/>
      </c>
      <c r="Q76" s="80" t="str">
        <f t="shared" si="25"/>
        <v/>
      </c>
      <c r="R76" s="65" t="str">
        <f t="shared" si="26"/>
        <v/>
      </c>
      <c r="S76" s="81" t="str">
        <f t="shared" si="27"/>
        <v/>
      </c>
      <c r="T76" s="80" t="str">
        <f t="shared" si="28"/>
        <v/>
      </c>
      <c r="U76" s="65" t="str">
        <f t="shared" si="29"/>
        <v/>
      </c>
      <c r="V76" s="91" t="str">
        <f t="shared" si="30"/>
        <v/>
      </c>
      <c r="W76" s="70" t="str">
        <f t="shared" si="31"/>
        <v/>
      </c>
      <c r="X76" s="65" t="str">
        <f>IF(V76&lt;&gt;"",IF($V76&lt;&gt;0,(($V76+(0.5*T76))/100+1+$AE$9),-1),"")</f>
        <v/>
      </c>
      <c r="Y76" s="81" t="str">
        <f>IF(AND(W76&lt;&gt;-1,X76&lt;&gt;-1,W76&lt;&gt;"",X76&lt;&gt;"",AA76&lt;&gt;-1,Z76&lt;&gt;-1,AA76&lt;&gt;"",Z76&lt;&gt;""),(W76+X76)/2+(AA76-Z76)/(4*COS(0.5)*$AE$5),"")</f>
        <v/>
      </c>
      <c r="Z76" s="70" t="str">
        <f>IF(S76&lt;&gt;"",IF($S76&lt;&gt;"",((($S76*COS(0.5))*$AE$5)/100),-1),"")</f>
        <v/>
      </c>
      <c r="AA76" s="65" t="str">
        <f>IF(T76&lt;&gt;"",IF($T76&lt;&gt;"",((($T76*COS(0.5))*$AE$5)/100),-1),"")</f>
        <v/>
      </c>
      <c r="AB76" s="66" t="str">
        <f>IF(Y76&lt;&gt;"",2*COS(0.5)*$AE$5*(X76-W76)/2+(AA76+Z76)/2,"")</f>
        <v/>
      </c>
      <c r="AC76" s="5"/>
      <c r="AE76" s="51"/>
      <c r="AF76" s="97" t="str">
        <f t="shared" si="7"/>
        <v/>
      </c>
      <c r="AG76" s="58">
        <f>IF(AF76&lt;&gt;"", ((AF76*0.5)-$AE$7), AG72)</f>
        <v>0.49999999999999994</v>
      </c>
      <c r="AH76" s="59">
        <f>IF(AF76&lt;&gt;"", (AF76*COS(0.5)*$AE$5), AH73)</f>
        <v>0.87758256189037265</v>
      </c>
      <c r="AI76" s="58">
        <f>IF(AF76&lt;&gt;"", AI75+($AE$7*0.5), AI72)</f>
        <v>0.5</v>
      </c>
      <c r="AJ76" s="59">
        <f>IF(AF76&lt;&gt;"", AJ75+($AE$7*COS(0.5)*$AE$5), AJ72)</f>
        <v>0.87758256189037265</v>
      </c>
      <c r="AK76" s="58">
        <f>IF($AE$8=1, AG75, AK72)</f>
        <v>0.49999999999999994</v>
      </c>
      <c r="AL76" s="59">
        <f>IF($AE$8=1, AJ75, AL72)</f>
        <v>0.87758256189037265</v>
      </c>
      <c r="AM76" s="58">
        <f>IF(AND($AE$8=1, AF75&lt;&gt;""), 1-AF75, AM75)</f>
        <v>0.5</v>
      </c>
      <c r="AN76" s="59">
        <f>IF(AND($AE$8=1, AF75&lt;&gt;""), 0, AN75)</f>
        <v>0.87758256189037265</v>
      </c>
      <c r="AO76" s="58">
        <f>IF($AE$8=1,AG75,AO75)</f>
        <v>0.49999999999999994</v>
      </c>
      <c r="AP76" s="59">
        <f>IF($AE$8=1,AH75,0)</f>
        <v>0.87758256189037265</v>
      </c>
      <c r="AQ76" s="58">
        <f>IF(AF75&lt;&gt;"",AQ75+(0.5*$AE$7),0)</f>
        <v>0</v>
      </c>
      <c r="AR76" s="55">
        <f>IF(AF75&lt;&gt;"",-COS(0.5)*$AE$7*$AE$5,0)</f>
        <v>0</v>
      </c>
      <c r="AS76" s="55">
        <f>AQ76</f>
        <v>0</v>
      </c>
      <c r="AT76" s="59">
        <f>AR76</f>
        <v>0</v>
      </c>
      <c r="AU76" s="58">
        <f>IF(AF76&lt;&gt;"",AG76+1+$AE$9+($AE$7*0.5), $AL$7)</f>
        <v>1.7</v>
      </c>
      <c r="AV76" s="59">
        <f>AJ76</f>
        <v>0.87758256189037265</v>
      </c>
      <c r="AW76" s="58">
        <f>AI76+1+$AE$9+0.5*$AE$7</f>
        <v>1.7149999999999999</v>
      </c>
      <c r="AX76" s="59">
        <f>AH76</f>
        <v>0.87758256189037265</v>
      </c>
      <c r="AY76" s="58">
        <f>AK76+1+$AE$9</f>
        <v>1.7</v>
      </c>
      <c r="AZ76" s="59">
        <f>AL76</f>
        <v>0.87758256189037265</v>
      </c>
      <c r="BA76" s="58">
        <f>AM76+1+$AE$9</f>
        <v>1.7</v>
      </c>
      <c r="BB76" s="59">
        <f>AN76</f>
        <v>0.87758256189037265</v>
      </c>
      <c r="BC76" s="58">
        <f>AO76+1+$AE$9</f>
        <v>1.7</v>
      </c>
      <c r="BD76" s="59">
        <f>AP76</f>
        <v>0.87758256189037265</v>
      </c>
      <c r="BE76" s="58">
        <f>AQ76+1+$AE$9</f>
        <v>1.2</v>
      </c>
      <c r="BF76" s="55">
        <f>AR76</f>
        <v>0</v>
      </c>
      <c r="BG76" s="55">
        <f>IF(AF76&lt;&gt;"",AS76+1+$AE$9-$AE$7,BC75)</f>
        <v>1.2</v>
      </c>
      <c r="BH76" s="59">
        <f>IF(AF76&lt;&gt;"",AT76,0)</f>
        <v>0</v>
      </c>
      <c r="BI76" s="58">
        <f>AU76-$AL$8+$AO$8</f>
        <v>1.1000000000000001</v>
      </c>
      <c r="BJ76" s="59">
        <f>AV76+$AP$9-$AM$7</f>
        <v>1.9306816361588202</v>
      </c>
      <c r="BK76" s="58">
        <f>AI76+$AO$10-$AI$9</f>
        <v>1.1000000000000001</v>
      </c>
      <c r="BL76" s="59">
        <f>AJ76+$AP$9-$AJ$7</f>
        <v>1.9306816361588202</v>
      </c>
      <c r="BM76" s="58">
        <f>IF(AND($AE$8=1,AF76&lt;&gt;""), BM75+0.5, $BI$15)</f>
        <v>0.60000000000000009</v>
      </c>
      <c r="BN76" s="59">
        <f>IF(AND($AE$8=1,AF76&lt;&gt;""), BN75-$AM$7, $BJ$15)</f>
        <v>1.0530990742684474</v>
      </c>
      <c r="BO76" s="58">
        <f>IF(AND($AE$8=1,AF76&lt;&gt;""), BO75-0.5, $BK$15)</f>
        <v>1.6</v>
      </c>
      <c r="BP76" s="59">
        <f>IF(AND($AE$8=1,AF76&lt;&gt;""), BP75-$AM$7, $BL$15)</f>
        <v>1.0530990742684474</v>
      </c>
    </row>
    <row r="77" spans="1:68" x14ac:dyDescent="0.25">
      <c r="A77" s="37"/>
      <c r="B77" s="38"/>
      <c r="C77" s="37"/>
      <c r="D77" s="2"/>
      <c r="E77" s="2"/>
      <c r="F77" s="38"/>
      <c r="G77" s="37"/>
      <c r="H77" s="2"/>
      <c r="I77" s="3"/>
      <c r="J77" s="90" t="str">
        <f>IF(C77&lt;&gt;"",$C77/'Elements and ions'!$B$12,"")</f>
        <v/>
      </c>
      <c r="K77" s="65" t="str">
        <f>IF(D77&lt;&gt;"",$D77/'Elements and ions'!$B$20,"")</f>
        <v/>
      </c>
      <c r="L77" s="65" t="str">
        <f>IF(E77&lt;&gt;"",$E77/'Elements and ions'!$B$21*2,"")</f>
        <v/>
      </c>
      <c r="M77" s="81" t="str">
        <f>IF(F77&lt;&gt;"",$F77/'Elements and ions'!$B$13*2,"")</f>
        <v/>
      </c>
      <c r="N77" s="80" t="str">
        <f>IF(G77&lt;&gt;"",-$G77/'Elements and ions'!$F$3,"")</f>
        <v/>
      </c>
      <c r="O77" s="65" t="str">
        <f>IF(H77&lt;&gt;"",-$H77/'Elements and ions'!$B$18,"")</f>
        <v/>
      </c>
      <c r="P77" s="81" t="str">
        <f>IF(I77&lt;&gt;"",-2*$I77/'Elements and ions'!$F$4,"")</f>
        <v/>
      </c>
      <c r="Q77" s="80" t="str">
        <f t="shared" si="25"/>
        <v/>
      </c>
      <c r="R77" s="65" t="str">
        <f t="shared" si="26"/>
        <v/>
      </c>
      <c r="S77" s="81" t="str">
        <f t="shared" si="27"/>
        <v/>
      </c>
      <c r="T77" s="80" t="str">
        <f t="shared" si="28"/>
        <v/>
      </c>
      <c r="U77" s="65" t="str">
        <f t="shared" si="29"/>
        <v/>
      </c>
      <c r="V77" s="91" t="str">
        <f t="shared" si="30"/>
        <v/>
      </c>
      <c r="W77" s="70" t="str">
        <f t="shared" si="31"/>
        <v/>
      </c>
      <c r="X77" s="65" t="str">
        <f>IF(V77&lt;&gt;"",IF($V77&lt;&gt;0,(($V77+(0.5*T77))/100+1+$AE$9),-1),"")</f>
        <v/>
      </c>
      <c r="Y77" s="81" t="str">
        <f>IF(AND(W77&lt;&gt;-1,X77&lt;&gt;-1,W77&lt;&gt;"",X77&lt;&gt;"",AA77&lt;&gt;-1,Z77&lt;&gt;-1,AA77&lt;&gt;"",Z77&lt;&gt;""),(W77+X77)/2+(AA77-Z77)/(4*COS(0.5)*$AE$5),"")</f>
        <v/>
      </c>
      <c r="Z77" s="70" t="str">
        <f>IF(S77&lt;&gt;"",IF($S77&lt;&gt;"",((($S77*COS(0.5))*$AE$5)/100),-1),"")</f>
        <v/>
      </c>
      <c r="AA77" s="65" t="str">
        <f>IF(T77&lt;&gt;"",IF($T77&lt;&gt;"",((($T77*COS(0.5))*$AE$5)/100),-1),"")</f>
        <v/>
      </c>
      <c r="AB77" s="66" t="str">
        <f>IF(Y77&lt;&gt;"",2*COS(0.5)*$AE$5*(X77-W77)/2+(AA77+Z77)/2,"")</f>
        <v/>
      </c>
      <c r="AC77" s="5"/>
      <c r="AE77" s="51"/>
      <c r="AF77" s="98" t="str">
        <f t="shared" si="7"/>
        <v/>
      </c>
      <c r="AG77" s="60">
        <f>IF(AF77&lt;&gt;"", (AF77*0.5), AG72)</f>
        <v>0.49999999999999994</v>
      </c>
      <c r="AH77" s="62">
        <f>IF(AF77&lt;&gt;"", (AF77*COS(0.5)*$AE$5), AH74)</f>
        <v>0.87758256189037265</v>
      </c>
      <c r="AI77" s="60">
        <f>IF(AF77&lt;&gt;"", 1-(AF77*0.5), AI72)</f>
        <v>0.5</v>
      </c>
      <c r="AJ77" s="62">
        <f>IF(AF77&lt;&gt;"", (AF77*COS(0.5)*$AE$5), AJ74)</f>
        <v>0.87758256189037265</v>
      </c>
      <c r="AK77" s="60"/>
      <c r="AL77" s="62"/>
      <c r="AM77" s="60"/>
      <c r="AN77" s="62"/>
      <c r="AO77" s="60"/>
      <c r="AP77" s="62"/>
      <c r="AQ77" s="60">
        <f>IF(AF75&lt;&gt;"", AF75, 0)</f>
        <v>0</v>
      </c>
      <c r="AR77" s="61">
        <v>0</v>
      </c>
      <c r="AS77" s="61">
        <f>AQ77</f>
        <v>0</v>
      </c>
      <c r="AT77" s="62">
        <f>AR77</f>
        <v>0</v>
      </c>
      <c r="AU77" s="60">
        <f>IF(AF77&lt;&gt;"",AG77+1+$AE$9, $AL$7)</f>
        <v>1.7</v>
      </c>
      <c r="AV77" s="62">
        <f>AJ77</f>
        <v>0.87758256189037265</v>
      </c>
      <c r="AW77" s="60">
        <f>AI77+1+$AE$9</f>
        <v>1.7</v>
      </c>
      <c r="AX77" s="62">
        <f>AH77</f>
        <v>0.87758256189037265</v>
      </c>
      <c r="AY77" s="60"/>
      <c r="AZ77" s="62"/>
      <c r="BA77" s="60"/>
      <c r="BB77" s="62"/>
      <c r="BC77" s="60"/>
      <c r="BD77" s="62"/>
      <c r="BE77" s="60">
        <f>AQ77+1+$AE$9</f>
        <v>1.2</v>
      </c>
      <c r="BF77" s="61">
        <f>AR77</f>
        <v>0</v>
      </c>
      <c r="BG77" s="61">
        <f t="shared" ref="BG77" si="34">BG75</f>
        <v>1.2</v>
      </c>
      <c r="BH77" s="62">
        <f>IF(AF77&lt;&gt;"",AT77,0)</f>
        <v>0</v>
      </c>
      <c r="BI77" s="60">
        <f>AU77-$AL$8+$AO$8</f>
        <v>1.1000000000000001</v>
      </c>
      <c r="BJ77" s="62">
        <f>AV77+$AP$9-$AM$7</f>
        <v>1.9306816361588202</v>
      </c>
      <c r="BK77" s="60">
        <f>AI77+$AO$10-$AI$9</f>
        <v>1.1000000000000001</v>
      </c>
      <c r="BL77" s="62">
        <f>AJ77+$AP$9-$AJ$7</f>
        <v>1.9306816361588202</v>
      </c>
      <c r="BM77" s="60"/>
      <c r="BN77" s="62"/>
      <c r="BO77" s="60"/>
      <c r="BP77" s="62"/>
    </row>
    <row r="78" spans="1:68" x14ac:dyDescent="0.25">
      <c r="A78" s="37"/>
      <c r="B78" s="38"/>
      <c r="C78" s="37"/>
      <c r="D78" s="2"/>
      <c r="E78" s="2"/>
      <c r="F78" s="38"/>
      <c r="G78" s="37"/>
      <c r="H78" s="2"/>
      <c r="I78" s="3"/>
      <c r="J78" s="90" t="str">
        <f>IF(C78&lt;&gt;"",$C78/'Elements and ions'!$B$12,"")</f>
        <v/>
      </c>
      <c r="K78" s="65" t="str">
        <f>IF(D78&lt;&gt;"",$D78/'Elements and ions'!$B$20,"")</f>
        <v/>
      </c>
      <c r="L78" s="65" t="str">
        <f>IF(E78&lt;&gt;"",$E78/'Elements and ions'!$B$21*2,"")</f>
        <v/>
      </c>
      <c r="M78" s="81" t="str">
        <f>IF(F78&lt;&gt;"",$F78/'Elements and ions'!$B$13*2,"")</f>
        <v/>
      </c>
      <c r="N78" s="80" t="str">
        <f>IF(G78&lt;&gt;"",-$G78/'Elements and ions'!$F$3,"")</f>
        <v/>
      </c>
      <c r="O78" s="65" t="str">
        <f>IF(H78&lt;&gt;"",-$H78/'Elements and ions'!$B$18,"")</f>
        <v/>
      </c>
      <c r="P78" s="81" t="str">
        <f>IF(I78&lt;&gt;"",-2*$I78/'Elements and ions'!$F$4,"")</f>
        <v/>
      </c>
      <c r="Q78" s="80" t="str">
        <f t="shared" si="25"/>
        <v/>
      </c>
      <c r="R78" s="65" t="str">
        <f t="shared" si="26"/>
        <v/>
      </c>
      <c r="S78" s="81" t="str">
        <f t="shared" si="27"/>
        <v/>
      </c>
      <c r="T78" s="80" t="str">
        <f t="shared" si="28"/>
        <v/>
      </c>
      <c r="U78" s="65" t="str">
        <f t="shared" si="29"/>
        <v/>
      </c>
      <c r="V78" s="91" t="str">
        <f t="shared" si="30"/>
        <v/>
      </c>
      <c r="W78" s="70" t="str">
        <f t="shared" si="31"/>
        <v/>
      </c>
      <c r="X78" s="65" t="str">
        <f>IF(V78&lt;&gt;"",IF($V78&lt;&gt;0,(($V78+(0.5*T78))/100+1+$AE$9),-1),"")</f>
        <v/>
      </c>
      <c r="Y78" s="81" t="str">
        <f>IF(AND(W78&lt;&gt;-1,X78&lt;&gt;-1,W78&lt;&gt;"",X78&lt;&gt;"",AA78&lt;&gt;-1,Z78&lt;&gt;-1,AA78&lt;&gt;"",Z78&lt;&gt;""),(W78+X78)/2+(AA78-Z78)/(4*COS(0.5)*$AE$5),"")</f>
        <v/>
      </c>
      <c r="Z78" s="70" t="str">
        <f>IF(S78&lt;&gt;"",IF($S78&lt;&gt;"",((($S78*COS(0.5))*$AE$5)/100),-1),"")</f>
        <v/>
      </c>
      <c r="AA78" s="65" t="str">
        <f>IF(T78&lt;&gt;"",IF($T78&lt;&gt;"",((($T78*COS(0.5))*$AE$5)/100),-1),"")</f>
        <v/>
      </c>
      <c r="AB78" s="66" t="str">
        <f>IF(Y78&lt;&gt;"",2*COS(0.5)*$AE$5*(X78-W78)/2+(AA78+Z78)/2,"")</f>
        <v/>
      </c>
      <c r="AC78" s="5"/>
      <c r="AE78" s="51"/>
      <c r="AF78" s="5"/>
      <c r="AI78" s="6"/>
    </row>
    <row r="79" spans="1:68" x14ac:dyDescent="0.25">
      <c r="A79" s="37"/>
      <c r="B79" s="38"/>
      <c r="C79" s="37"/>
      <c r="D79" s="2"/>
      <c r="E79" s="2"/>
      <c r="F79" s="38"/>
      <c r="G79" s="37"/>
      <c r="H79" s="2"/>
      <c r="I79" s="3"/>
      <c r="J79" s="90" t="str">
        <f>IF(C79&lt;&gt;"",$C79/'Elements and ions'!$B$12,"")</f>
        <v/>
      </c>
      <c r="K79" s="65" t="str">
        <f>IF(D79&lt;&gt;"",$D79/'Elements and ions'!$B$20,"")</f>
        <v/>
      </c>
      <c r="L79" s="65" t="str">
        <f>IF(E79&lt;&gt;"",$E79/'Elements and ions'!$B$21*2,"")</f>
        <v/>
      </c>
      <c r="M79" s="81" t="str">
        <f>IF(F79&lt;&gt;"",$F79/'Elements and ions'!$B$13*2,"")</f>
        <v/>
      </c>
      <c r="N79" s="80" t="str">
        <f>IF(G79&lt;&gt;"",-$G79/'Elements and ions'!$F$3,"")</f>
        <v/>
      </c>
      <c r="O79" s="65" t="str">
        <f>IF(H79&lt;&gt;"",-$H79/'Elements and ions'!$B$18,"")</f>
        <v/>
      </c>
      <c r="P79" s="81" t="str">
        <f>IF(I79&lt;&gt;"",-2*$I79/'Elements and ions'!$F$4,"")</f>
        <v/>
      </c>
      <c r="Q79" s="80" t="str">
        <f t="shared" si="25"/>
        <v/>
      </c>
      <c r="R79" s="65" t="str">
        <f t="shared" si="26"/>
        <v/>
      </c>
      <c r="S79" s="81" t="str">
        <f t="shared" si="27"/>
        <v/>
      </c>
      <c r="T79" s="80" t="str">
        <f t="shared" si="28"/>
        <v/>
      </c>
      <c r="U79" s="65" t="str">
        <f t="shared" si="29"/>
        <v/>
      </c>
      <c r="V79" s="91" t="str">
        <f t="shared" si="30"/>
        <v/>
      </c>
      <c r="W79" s="70" t="str">
        <f t="shared" si="31"/>
        <v/>
      </c>
      <c r="X79" s="65" t="str">
        <f>IF(V79&lt;&gt;"",IF($V79&lt;&gt;0,(($V79+(0.5*T79))/100+1+$AE$9),-1),"")</f>
        <v/>
      </c>
      <c r="Y79" s="81" t="str">
        <f>IF(AND(W79&lt;&gt;-1,X79&lt;&gt;-1,W79&lt;&gt;"",X79&lt;&gt;"",AA79&lt;&gt;-1,Z79&lt;&gt;-1,AA79&lt;&gt;"",Z79&lt;&gt;""),(W79+X79)/2+(AA79-Z79)/(4*COS(0.5)*$AE$5),"")</f>
        <v/>
      </c>
      <c r="Z79" s="70" t="str">
        <f>IF(S79&lt;&gt;"",IF($S79&lt;&gt;"",((($S79*COS(0.5))*$AE$5)/100),-1),"")</f>
        <v/>
      </c>
      <c r="AA79" s="65" t="str">
        <f>IF(T79&lt;&gt;"",IF($T79&lt;&gt;"",((($T79*COS(0.5))*$AE$5)/100),-1),"")</f>
        <v/>
      </c>
      <c r="AB79" s="66" t="str">
        <f>IF(Y79&lt;&gt;"",2*COS(0.5)*$AE$5*(X79-W79)/2+(AA79+Z79)/2,"")</f>
        <v/>
      </c>
      <c r="AC79" s="5"/>
      <c r="AE79" s="51"/>
      <c r="AF79" s="5"/>
    </row>
    <row r="80" spans="1:68" x14ac:dyDescent="0.25">
      <c r="A80" s="37"/>
      <c r="B80" s="38"/>
      <c r="C80" s="37"/>
      <c r="D80" s="2"/>
      <c r="E80" s="2"/>
      <c r="F80" s="38"/>
      <c r="G80" s="37"/>
      <c r="H80" s="2"/>
      <c r="I80" s="3"/>
      <c r="J80" s="90" t="str">
        <f>IF(C80&lt;&gt;"",$C80/'Elements and ions'!$B$12,"")</f>
        <v/>
      </c>
      <c r="K80" s="65" t="str">
        <f>IF(D80&lt;&gt;"",$D80/'Elements and ions'!$B$20,"")</f>
        <v/>
      </c>
      <c r="L80" s="65" t="str">
        <f>IF(E80&lt;&gt;"",$E80/'Elements and ions'!$B$21*2,"")</f>
        <v/>
      </c>
      <c r="M80" s="81" t="str">
        <f>IF(F80&lt;&gt;"",$F80/'Elements and ions'!$B$13*2,"")</f>
        <v/>
      </c>
      <c r="N80" s="80" t="str">
        <f>IF(G80&lt;&gt;"",-$G80/'Elements and ions'!$F$3,"")</f>
        <v/>
      </c>
      <c r="O80" s="65" t="str">
        <f>IF(H80&lt;&gt;"",-$H80/'Elements and ions'!$B$18,"")</f>
        <v/>
      </c>
      <c r="P80" s="81" t="str">
        <f>IF(I80&lt;&gt;"",-2*$I80/'Elements and ions'!$F$4,"")</f>
        <v/>
      </c>
      <c r="Q80" s="80" t="str">
        <f t="shared" si="25"/>
        <v/>
      </c>
      <c r="R80" s="65" t="str">
        <f t="shared" si="26"/>
        <v/>
      </c>
      <c r="S80" s="81" t="str">
        <f t="shared" si="27"/>
        <v/>
      </c>
      <c r="T80" s="80" t="str">
        <f t="shared" si="28"/>
        <v/>
      </c>
      <c r="U80" s="65" t="str">
        <f t="shared" si="29"/>
        <v/>
      </c>
      <c r="V80" s="91" t="str">
        <f t="shared" si="30"/>
        <v/>
      </c>
      <c r="W80" s="70" t="str">
        <f t="shared" si="31"/>
        <v/>
      </c>
      <c r="X80" s="65" t="str">
        <f>IF(V80&lt;&gt;"",IF($V80&lt;&gt;0,(($V80+(0.5*T80))/100+1+$AE$9),-1),"")</f>
        <v/>
      </c>
      <c r="Y80" s="81" t="str">
        <f>IF(AND(W80&lt;&gt;-1,X80&lt;&gt;-1,W80&lt;&gt;"",X80&lt;&gt;"",AA80&lt;&gt;-1,Z80&lt;&gt;-1,AA80&lt;&gt;"",Z80&lt;&gt;""),(W80+X80)/2+(AA80-Z80)/(4*COS(0.5)*$AE$5),"")</f>
        <v/>
      </c>
      <c r="Z80" s="70" t="str">
        <f>IF(S80&lt;&gt;"",IF($S80&lt;&gt;"",((($S80*COS(0.5))*$AE$5)/100),-1),"")</f>
        <v/>
      </c>
      <c r="AA80" s="65" t="str">
        <f>IF(T80&lt;&gt;"",IF($T80&lt;&gt;"",((($T80*COS(0.5))*$AE$5)/100),-1),"")</f>
        <v/>
      </c>
      <c r="AB80" s="66" t="str">
        <f>IF(Y80&lt;&gt;"",2*COS(0.5)*$AE$5*(X80-W80)/2+(AA80+Z80)/2,"")</f>
        <v/>
      </c>
      <c r="AC80" s="5"/>
      <c r="AE80" s="51"/>
      <c r="AF80" s="5"/>
    </row>
    <row r="81" spans="1:55" x14ac:dyDescent="0.25">
      <c r="A81" s="37"/>
      <c r="B81" s="38"/>
      <c r="C81" s="37"/>
      <c r="D81" s="2"/>
      <c r="E81" s="2"/>
      <c r="F81" s="38"/>
      <c r="G81" s="37"/>
      <c r="H81" s="2"/>
      <c r="I81" s="3"/>
      <c r="J81" s="90" t="str">
        <f>IF(C81&lt;&gt;"",$C81/'Elements and ions'!$B$12,"")</f>
        <v/>
      </c>
      <c r="K81" s="65" t="str">
        <f>IF(D81&lt;&gt;"",$D81/'Elements and ions'!$B$20,"")</f>
        <v/>
      </c>
      <c r="L81" s="65" t="str">
        <f>IF(E81&lt;&gt;"",$E81/'Elements and ions'!$B$21*2,"")</f>
        <v/>
      </c>
      <c r="M81" s="81" t="str">
        <f>IF(F81&lt;&gt;"",$F81/'Elements and ions'!$B$13*2,"")</f>
        <v/>
      </c>
      <c r="N81" s="80" t="str">
        <f>IF(G81&lt;&gt;"",-$G81/'Elements and ions'!$F$3,"")</f>
        <v/>
      </c>
      <c r="O81" s="65" t="str">
        <f>IF(H81&lt;&gt;"",-$H81/'Elements and ions'!$B$18,"")</f>
        <v/>
      </c>
      <c r="P81" s="81" t="str">
        <f>IF(I81&lt;&gt;"",-2*$I81/'Elements and ions'!$F$4,"")</f>
        <v/>
      </c>
      <c r="Q81" s="80" t="str">
        <f t="shared" si="25"/>
        <v/>
      </c>
      <c r="R81" s="65" t="str">
        <f t="shared" si="26"/>
        <v/>
      </c>
      <c r="S81" s="81" t="str">
        <f t="shared" si="27"/>
        <v/>
      </c>
      <c r="T81" s="80" t="str">
        <f t="shared" si="28"/>
        <v/>
      </c>
      <c r="U81" s="65" t="str">
        <f t="shared" si="29"/>
        <v/>
      </c>
      <c r="V81" s="91" t="str">
        <f t="shared" si="30"/>
        <v/>
      </c>
      <c r="W81" s="70" t="str">
        <f t="shared" si="31"/>
        <v/>
      </c>
      <c r="X81" s="65" t="str">
        <f>IF(V81&lt;&gt;"",IF($V81&lt;&gt;0,(($V81+(0.5*T81))/100+1+$AE$9),-1),"")</f>
        <v/>
      </c>
      <c r="Y81" s="81" t="str">
        <f>IF(AND(W81&lt;&gt;-1,X81&lt;&gt;-1,W81&lt;&gt;"",X81&lt;&gt;"",AA81&lt;&gt;-1,Z81&lt;&gt;-1,AA81&lt;&gt;"",Z81&lt;&gt;""),(W81+X81)/2+(AA81-Z81)/(4*COS(0.5)*$AE$5),"")</f>
        <v/>
      </c>
      <c r="Z81" s="70" t="str">
        <f>IF(S81&lt;&gt;"",IF($S81&lt;&gt;"",((($S81*COS(0.5))*$AE$5)/100),-1),"")</f>
        <v/>
      </c>
      <c r="AA81" s="65" t="str">
        <f>IF(T81&lt;&gt;"",IF($T81&lt;&gt;"",((($T81*COS(0.5))*$AE$5)/100),-1),"")</f>
        <v/>
      </c>
      <c r="AB81" s="66" t="str">
        <f>IF(Y81&lt;&gt;"",2*COS(0.5)*$AE$5*(X81-W81)/2+(AA81+Z81)/2,"")</f>
        <v/>
      </c>
      <c r="AC81" s="5"/>
      <c r="AE81" s="51"/>
      <c r="AF81" s="5"/>
    </row>
    <row r="82" spans="1:55" x14ac:dyDescent="0.25">
      <c r="A82" s="37"/>
      <c r="B82" s="38"/>
      <c r="C82" s="37"/>
      <c r="D82" s="2"/>
      <c r="E82" s="2"/>
      <c r="F82" s="38"/>
      <c r="G82" s="37"/>
      <c r="H82" s="2"/>
      <c r="I82" s="3"/>
      <c r="J82" s="90" t="str">
        <f>IF(C82&lt;&gt;"",$C82/'Elements and ions'!$B$12,"")</f>
        <v/>
      </c>
      <c r="K82" s="65" t="str">
        <f>IF(D82&lt;&gt;"",$D82/'Elements and ions'!$B$20,"")</f>
        <v/>
      </c>
      <c r="L82" s="65" t="str">
        <f>IF(E82&lt;&gt;"",$E82/'Elements and ions'!$B$21*2,"")</f>
        <v/>
      </c>
      <c r="M82" s="81" t="str">
        <f>IF(F82&lt;&gt;"",$F82/'Elements and ions'!$B$13*2,"")</f>
        <v/>
      </c>
      <c r="N82" s="80" t="str">
        <f>IF(G82&lt;&gt;"",-$G82/'Elements and ions'!$F$3,"")</f>
        <v/>
      </c>
      <c r="O82" s="65" t="str">
        <f>IF(H82&lt;&gt;"",-$H82/'Elements and ions'!$B$18,"")</f>
        <v/>
      </c>
      <c r="P82" s="81" t="str">
        <f>IF(I82&lt;&gt;"",-2*$I82/'Elements and ions'!$F$4,"")</f>
        <v/>
      </c>
      <c r="Q82" s="80" t="str">
        <f t="shared" si="25"/>
        <v/>
      </c>
      <c r="R82" s="65" t="str">
        <f t="shared" si="26"/>
        <v/>
      </c>
      <c r="S82" s="81" t="str">
        <f t="shared" si="27"/>
        <v/>
      </c>
      <c r="T82" s="80" t="str">
        <f t="shared" si="28"/>
        <v/>
      </c>
      <c r="U82" s="65" t="str">
        <f t="shared" si="29"/>
        <v/>
      </c>
      <c r="V82" s="91" t="str">
        <f t="shared" si="30"/>
        <v/>
      </c>
      <c r="W82" s="70" t="str">
        <f t="shared" si="31"/>
        <v/>
      </c>
      <c r="X82" s="65" t="str">
        <f>IF(V82&lt;&gt;"",IF($V82&lt;&gt;0,(($V82+(0.5*T82))/100+1+$AE$9),-1),"")</f>
        <v/>
      </c>
      <c r="Y82" s="81" t="str">
        <f>IF(AND(W82&lt;&gt;-1,X82&lt;&gt;-1,W82&lt;&gt;"",X82&lt;&gt;"",AA82&lt;&gt;-1,Z82&lt;&gt;-1,AA82&lt;&gt;"",Z82&lt;&gt;""),(W82+X82)/2+(AA82-Z82)/(4*COS(0.5)*$AE$5),"")</f>
        <v/>
      </c>
      <c r="Z82" s="70" t="str">
        <f>IF(S82&lt;&gt;"",IF($S82&lt;&gt;"",((($S82*COS(0.5))*$AE$5)/100),-1),"")</f>
        <v/>
      </c>
      <c r="AA82" s="65" t="str">
        <f>IF(T82&lt;&gt;"",IF($T82&lt;&gt;"",((($T82*COS(0.5))*$AE$5)/100),-1),"")</f>
        <v/>
      </c>
      <c r="AB82" s="66" t="str">
        <f>IF(Y82&lt;&gt;"",2*COS(0.5)*$AE$5*(X82-W82)/2+(AA82+Z82)/2,"")</f>
        <v/>
      </c>
      <c r="AC82" s="5"/>
      <c r="AE82" s="51"/>
      <c r="AF82" s="5"/>
    </row>
    <row r="83" spans="1:55" x14ac:dyDescent="0.25">
      <c r="A83" s="37"/>
      <c r="B83" s="38"/>
      <c r="C83" s="37"/>
      <c r="D83" s="2"/>
      <c r="E83" s="2"/>
      <c r="F83" s="38"/>
      <c r="G83" s="37"/>
      <c r="H83" s="2"/>
      <c r="I83" s="3"/>
      <c r="J83" s="90" t="str">
        <f>IF(C83&lt;&gt;"",$C83/'Elements and ions'!$B$12,"")</f>
        <v/>
      </c>
      <c r="K83" s="65" t="str">
        <f>IF(D83&lt;&gt;"",$D83/'Elements and ions'!$B$20,"")</f>
        <v/>
      </c>
      <c r="L83" s="65" t="str">
        <f>IF(E83&lt;&gt;"",$E83/'Elements and ions'!$B$21*2,"")</f>
        <v/>
      </c>
      <c r="M83" s="81" t="str">
        <f>IF(F83&lt;&gt;"",$F83/'Elements and ions'!$B$13*2,"")</f>
        <v/>
      </c>
      <c r="N83" s="80" t="str">
        <f>IF(G83&lt;&gt;"",-$G83/'Elements and ions'!$F$3,"")</f>
        <v/>
      </c>
      <c r="O83" s="65" t="str">
        <f>IF(H83&lt;&gt;"",-$H83/'Elements and ions'!$B$18,"")</f>
        <v/>
      </c>
      <c r="P83" s="81" t="str">
        <f>IF(I83&lt;&gt;"",-2*$I83/'Elements and ions'!$F$4,"")</f>
        <v/>
      </c>
      <c r="Q83" s="80" t="str">
        <f t="shared" si="25"/>
        <v/>
      </c>
      <c r="R83" s="65" t="str">
        <f t="shared" si="26"/>
        <v/>
      </c>
      <c r="S83" s="81" t="str">
        <f t="shared" si="27"/>
        <v/>
      </c>
      <c r="T83" s="80" t="str">
        <f t="shared" si="28"/>
        <v/>
      </c>
      <c r="U83" s="65" t="str">
        <f t="shared" si="29"/>
        <v/>
      </c>
      <c r="V83" s="91" t="str">
        <f t="shared" si="30"/>
        <v/>
      </c>
      <c r="W83" s="70" t="str">
        <f t="shared" si="31"/>
        <v/>
      </c>
      <c r="X83" s="65" t="str">
        <f>IF(V83&lt;&gt;"",IF($V83&lt;&gt;0,(($V83+(0.5*T83))/100+1+$AE$9),-1),"")</f>
        <v/>
      </c>
      <c r="Y83" s="81" t="str">
        <f>IF(AND(W83&lt;&gt;-1,X83&lt;&gt;-1,W83&lt;&gt;"",X83&lt;&gt;"",AA83&lt;&gt;-1,Z83&lt;&gt;-1,AA83&lt;&gt;"",Z83&lt;&gt;""),(W83+X83)/2+(AA83-Z83)/(4*COS(0.5)*$AE$5),"")</f>
        <v/>
      </c>
      <c r="Z83" s="70" t="str">
        <f>IF(S83&lt;&gt;"",IF($S83&lt;&gt;"",((($S83*COS(0.5))*$AE$5)/100),-1),"")</f>
        <v/>
      </c>
      <c r="AA83" s="65" t="str">
        <f>IF(T83&lt;&gt;"",IF($T83&lt;&gt;"",((($T83*COS(0.5))*$AE$5)/100),-1),"")</f>
        <v/>
      </c>
      <c r="AB83" s="66" t="str">
        <f>IF(Y83&lt;&gt;"",2*COS(0.5)*$AE$5*(X83-W83)/2+(AA83+Z83)/2,"")</f>
        <v/>
      </c>
      <c r="AC83" s="5"/>
      <c r="AE83" s="51" t="s">
        <v>138</v>
      </c>
      <c r="AF83" s="5"/>
    </row>
    <row r="84" spans="1:55" x14ac:dyDescent="0.25">
      <c r="A84" s="37"/>
      <c r="B84" s="38"/>
      <c r="C84" s="37"/>
      <c r="D84" s="2"/>
      <c r="E84" s="2"/>
      <c r="F84" s="38"/>
      <c r="G84" s="37"/>
      <c r="H84" s="2"/>
      <c r="I84" s="3"/>
      <c r="J84" s="90" t="str">
        <f>IF(C84&lt;&gt;"",$C84/'Elements and ions'!$B$12,"")</f>
        <v/>
      </c>
      <c r="K84" s="65" t="str">
        <f>IF(D84&lt;&gt;"",$D84/'Elements and ions'!$B$20,"")</f>
        <v/>
      </c>
      <c r="L84" s="65" t="str">
        <f>IF(E84&lt;&gt;"",$E84/'Elements and ions'!$B$21*2,"")</f>
        <v/>
      </c>
      <c r="M84" s="81" t="str">
        <f>IF(F84&lt;&gt;"",$F84/'Elements and ions'!$B$13*2,"")</f>
        <v/>
      </c>
      <c r="N84" s="80" t="str">
        <f>IF(G84&lt;&gt;"",-$G84/'Elements and ions'!$F$3,"")</f>
        <v/>
      </c>
      <c r="O84" s="65" t="str">
        <f>IF(H84&lt;&gt;"",-$H84/'Elements and ions'!$B$18,"")</f>
        <v/>
      </c>
      <c r="P84" s="81" t="str">
        <f>IF(I84&lt;&gt;"",-2*$I84/'Elements and ions'!$F$4,"")</f>
        <v/>
      </c>
      <c r="Q84" s="80" t="str">
        <f t="shared" si="25"/>
        <v/>
      </c>
      <c r="R84" s="65" t="str">
        <f t="shared" si="26"/>
        <v/>
      </c>
      <c r="S84" s="81" t="str">
        <f t="shared" si="27"/>
        <v/>
      </c>
      <c r="T84" s="80" t="str">
        <f t="shared" si="28"/>
        <v/>
      </c>
      <c r="U84" s="65" t="str">
        <f t="shared" si="29"/>
        <v/>
      </c>
      <c r="V84" s="91" t="str">
        <f t="shared" si="30"/>
        <v/>
      </c>
      <c r="W84" s="70" t="str">
        <f t="shared" si="31"/>
        <v/>
      </c>
      <c r="X84" s="65" t="str">
        <f>IF(V84&lt;&gt;"",IF($V84&lt;&gt;0,(($V84+(0.5*T84))/100+1+$AE$9),-1),"")</f>
        <v/>
      </c>
      <c r="Y84" s="81" t="str">
        <f>IF(AND(W84&lt;&gt;-1,X84&lt;&gt;-1,W84&lt;&gt;"",X84&lt;&gt;"",AA84&lt;&gt;-1,Z84&lt;&gt;-1,AA84&lt;&gt;"",Z84&lt;&gt;""),(W84+X84)/2+(AA84-Z84)/(4*COS(0.5)*$AE$5),"")</f>
        <v/>
      </c>
      <c r="Z84" s="70" t="str">
        <f>IF(S84&lt;&gt;"",IF($S84&lt;&gt;"",((($S84*COS(0.5))*$AE$5)/100),-1),"")</f>
        <v/>
      </c>
      <c r="AA84" s="65" t="str">
        <f>IF(T84&lt;&gt;"",IF($T84&lt;&gt;"",((($T84*COS(0.5))*$AE$5)/100),-1),"")</f>
        <v/>
      </c>
      <c r="AB84" s="66" t="str">
        <f>IF(Y84&lt;&gt;"",2*COS(0.5)*$AE$5*(X84-W84)/2+(AA84+Z84)/2,"")</f>
        <v/>
      </c>
      <c r="AC84" s="5"/>
      <c r="AE84" s="51"/>
    </row>
    <row r="85" spans="1:55" x14ac:dyDescent="0.25">
      <c r="A85" s="37"/>
      <c r="B85" s="38"/>
      <c r="C85" s="37"/>
      <c r="D85" s="2"/>
      <c r="E85" s="2"/>
      <c r="F85" s="38"/>
      <c r="G85" s="37"/>
      <c r="H85" s="2"/>
      <c r="I85" s="3"/>
      <c r="J85" s="90" t="str">
        <f>IF(C85&lt;&gt;"",$C85/'Elements and ions'!$B$12,"")</f>
        <v/>
      </c>
      <c r="K85" s="65" t="str">
        <f>IF(D85&lt;&gt;"",$D85/'Elements and ions'!$B$20,"")</f>
        <v/>
      </c>
      <c r="L85" s="65" t="str">
        <f>IF(E85&lt;&gt;"",$E85/'Elements and ions'!$B$21*2,"")</f>
        <v/>
      </c>
      <c r="M85" s="81" t="str">
        <f>IF(F85&lt;&gt;"",$F85/'Elements and ions'!$B$13*2,"")</f>
        <v/>
      </c>
      <c r="N85" s="80" t="str">
        <f>IF(G85&lt;&gt;"",-$G85/'Elements and ions'!$F$3,"")</f>
        <v/>
      </c>
      <c r="O85" s="65" t="str">
        <f>IF(H85&lt;&gt;"",-$H85/'Elements and ions'!$B$18,"")</f>
        <v/>
      </c>
      <c r="P85" s="81" t="str">
        <f>IF(I85&lt;&gt;"",-2*$I85/'Elements and ions'!$F$4,"")</f>
        <v/>
      </c>
      <c r="Q85" s="80" t="str">
        <f t="shared" si="25"/>
        <v/>
      </c>
      <c r="R85" s="65" t="str">
        <f t="shared" si="26"/>
        <v/>
      </c>
      <c r="S85" s="81" t="str">
        <f t="shared" si="27"/>
        <v/>
      </c>
      <c r="T85" s="80" t="str">
        <f t="shared" si="28"/>
        <v/>
      </c>
      <c r="U85" s="65" t="str">
        <f t="shared" si="29"/>
        <v/>
      </c>
      <c r="V85" s="91" t="str">
        <f t="shared" si="30"/>
        <v/>
      </c>
      <c r="W85" s="70" t="str">
        <f t="shared" si="31"/>
        <v/>
      </c>
      <c r="X85" s="65" t="str">
        <f>IF(V85&lt;&gt;"",IF($V85&lt;&gt;0,(($V85+(0.5*T85))/100+1+$AE$9),-1),"")</f>
        <v/>
      </c>
      <c r="Y85" s="81" t="str">
        <f>IF(AND(W85&lt;&gt;-1,X85&lt;&gt;-1,W85&lt;&gt;"",X85&lt;&gt;"",AA85&lt;&gt;-1,Z85&lt;&gt;-1,AA85&lt;&gt;"",Z85&lt;&gt;""),(W85+X85)/2+(AA85-Z85)/(4*COS(0.5)*$AE$5),"")</f>
        <v/>
      </c>
      <c r="Z85" s="70" t="str">
        <f>IF(S85&lt;&gt;"",IF($S85&lt;&gt;"",((($S85*COS(0.5))*$AE$5)/100),-1),"")</f>
        <v/>
      </c>
      <c r="AA85" s="65" t="str">
        <f>IF(T85&lt;&gt;"",IF($T85&lt;&gt;"",((($T85*COS(0.5))*$AE$5)/100),-1),"")</f>
        <v/>
      </c>
      <c r="AB85" s="66" t="str">
        <f>IF(Y85&lt;&gt;"",2*COS(0.5)*$AE$5*(X85-W85)/2+(AA85+Z85)/2,"")</f>
        <v/>
      </c>
      <c r="AC85" s="5"/>
      <c r="AE85" s="51"/>
    </row>
    <row r="86" spans="1:55" x14ac:dyDescent="0.25">
      <c r="A86" s="37"/>
      <c r="B86" s="38"/>
      <c r="C86" s="37"/>
      <c r="D86" s="2"/>
      <c r="E86" s="2"/>
      <c r="F86" s="38"/>
      <c r="G86" s="37"/>
      <c r="H86" s="2"/>
      <c r="I86" s="3"/>
      <c r="J86" s="90" t="str">
        <f>IF(C86&lt;&gt;"",$C86/'Elements and ions'!$B$12,"")</f>
        <v/>
      </c>
      <c r="K86" s="65" t="str">
        <f>IF(D86&lt;&gt;"",$D86/'Elements and ions'!$B$20,"")</f>
        <v/>
      </c>
      <c r="L86" s="65" t="str">
        <f>IF(E86&lt;&gt;"",$E86/'Elements and ions'!$B$21*2,"")</f>
        <v/>
      </c>
      <c r="M86" s="81" t="str">
        <f>IF(F86&lt;&gt;"",$F86/'Elements and ions'!$B$13*2,"")</f>
        <v/>
      </c>
      <c r="N86" s="80" t="str">
        <f>IF(G86&lt;&gt;"",-$G86/'Elements and ions'!$F$3,"")</f>
        <v/>
      </c>
      <c r="O86" s="65" t="str">
        <f>IF(H86&lt;&gt;"",-$H86/'Elements and ions'!$B$18,"")</f>
        <v/>
      </c>
      <c r="P86" s="81" t="str">
        <f>IF(I86&lt;&gt;"",-2*$I86/'Elements and ions'!$F$4,"")</f>
        <v/>
      </c>
      <c r="Q86" s="80" t="str">
        <f t="shared" si="25"/>
        <v/>
      </c>
      <c r="R86" s="65" t="str">
        <f t="shared" si="26"/>
        <v/>
      </c>
      <c r="S86" s="81" t="str">
        <f t="shared" si="27"/>
        <v/>
      </c>
      <c r="T86" s="80" t="str">
        <f t="shared" si="28"/>
        <v/>
      </c>
      <c r="U86" s="65" t="str">
        <f t="shared" si="29"/>
        <v/>
      </c>
      <c r="V86" s="91" t="str">
        <f t="shared" si="30"/>
        <v/>
      </c>
      <c r="W86" s="70" t="str">
        <f t="shared" si="31"/>
        <v/>
      </c>
      <c r="X86" s="65" t="str">
        <f>IF(V86&lt;&gt;"",IF($V86&lt;&gt;0,(($V86+(0.5*T86))/100+1+$AE$9),-1),"")</f>
        <v/>
      </c>
      <c r="Y86" s="81" t="str">
        <f>IF(AND(W86&lt;&gt;-1,X86&lt;&gt;-1,W86&lt;&gt;"",X86&lt;&gt;"",AA86&lt;&gt;-1,Z86&lt;&gt;-1,AA86&lt;&gt;"",Z86&lt;&gt;""),(W86+X86)/2+(AA86-Z86)/(4*COS(0.5)*$AE$5),"")</f>
        <v/>
      </c>
      <c r="Z86" s="70" t="str">
        <f>IF(S86&lt;&gt;"",IF($S86&lt;&gt;"",((($S86*COS(0.5))*$AE$5)/100),-1),"")</f>
        <v/>
      </c>
      <c r="AA86" s="65" t="str">
        <f>IF(T86&lt;&gt;"",IF($T86&lt;&gt;"",((($T86*COS(0.5))*$AE$5)/100),-1),"")</f>
        <v/>
      </c>
      <c r="AB86" s="66" t="str">
        <f>IF(Y86&lt;&gt;"",2*COS(0.5)*$AE$5*(X86-W86)/2+(AA86+Z86)/2,"")</f>
        <v/>
      </c>
      <c r="AC86" s="5"/>
      <c r="AE86" s="51"/>
      <c r="AI86" s="6"/>
      <c r="AJ86" s="6"/>
      <c r="AK86" s="6"/>
      <c r="AL86" s="21"/>
      <c r="AM86" s="21"/>
      <c r="AN86" s="21"/>
      <c r="AO86" s="21"/>
      <c r="AP86" s="21"/>
      <c r="AQ86" s="21"/>
      <c r="AR86" s="21"/>
      <c r="AS86" s="21"/>
      <c r="AV86" s="13"/>
      <c r="AW86" s="21"/>
      <c r="AX86" s="13"/>
      <c r="AY86" s="13"/>
      <c r="AZ86" s="21"/>
      <c r="BA86" s="13"/>
      <c r="BB86" s="13"/>
      <c r="BC86" s="21"/>
    </row>
    <row r="87" spans="1:55" x14ac:dyDescent="0.25">
      <c r="A87" s="37"/>
      <c r="B87" s="38"/>
      <c r="C87" s="37"/>
      <c r="D87" s="2"/>
      <c r="E87" s="2"/>
      <c r="F87" s="38"/>
      <c r="G87" s="37"/>
      <c r="H87" s="2"/>
      <c r="I87" s="3"/>
      <c r="J87" s="90" t="str">
        <f>IF(C87&lt;&gt;"",$C87/'Elements and ions'!$B$12,"")</f>
        <v/>
      </c>
      <c r="K87" s="65" t="str">
        <f>IF(D87&lt;&gt;"",$D87/'Elements and ions'!$B$20,"")</f>
        <v/>
      </c>
      <c r="L87" s="65" t="str">
        <f>IF(E87&lt;&gt;"",$E87/'Elements and ions'!$B$21*2,"")</f>
        <v/>
      </c>
      <c r="M87" s="81" t="str">
        <f>IF(F87&lt;&gt;"",$F87/'Elements and ions'!$B$13*2,"")</f>
        <v/>
      </c>
      <c r="N87" s="80" t="str">
        <f>IF(G87&lt;&gt;"",-$G87/'Elements and ions'!$F$3,"")</f>
        <v/>
      </c>
      <c r="O87" s="65" t="str">
        <f>IF(H87&lt;&gt;"",-$H87/'Elements and ions'!$B$18,"")</f>
        <v/>
      </c>
      <c r="P87" s="81" t="str">
        <f>IF(I87&lt;&gt;"",-2*$I87/'Elements and ions'!$F$4,"")</f>
        <v/>
      </c>
      <c r="Q87" s="80" t="str">
        <f t="shared" si="25"/>
        <v/>
      </c>
      <c r="R87" s="65" t="str">
        <f t="shared" si="26"/>
        <v/>
      </c>
      <c r="S87" s="81" t="str">
        <f t="shared" si="27"/>
        <v/>
      </c>
      <c r="T87" s="80" t="str">
        <f t="shared" si="28"/>
        <v/>
      </c>
      <c r="U87" s="65" t="str">
        <f t="shared" si="29"/>
        <v/>
      </c>
      <c r="V87" s="91" t="str">
        <f t="shared" si="30"/>
        <v/>
      </c>
      <c r="W87" s="70" t="str">
        <f t="shared" si="31"/>
        <v/>
      </c>
      <c r="X87" s="65" t="str">
        <f>IF(V87&lt;&gt;"",IF($V87&lt;&gt;0,(($V87+(0.5*T87))/100+1+$AE$9),-1),"")</f>
        <v/>
      </c>
      <c r="Y87" s="81" t="str">
        <f>IF(AND(W87&lt;&gt;-1,X87&lt;&gt;-1,W87&lt;&gt;"",X87&lt;&gt;"",AA87&lt;&gt;-1,Z87&lt;&gt;-1,AA87&lt;&gt;"",Z87&lt;&gt;""),(W87+X87)/2+(AA87-Z87)/(4*COS(0.5)*$AE$5),"")</f>
        <v/>
      </c>
      <c r="Z87" s="70" t="str">
        <f>IF(S87&lt;&gt;"",IF($S87&lt;&gt;"",((($S87*COS(0.5))*$AE$5)/100),-1),"")</f>
        <v/>
      </c>
      <c r="AA87" s="65" t="str">
        <f>IF(T87&lt;&gt;"",IF($T87&lt;&gt;"",((($T87*COS(0.5))*$AE$5)/100),-1),"")</f>
        <v/>
      </c>
      <c r="AB87" s="66" t="str">
        <f>IF(Y87&lt;&gt;"",2*COS(0.5)*$AE$5*(X87-W87)/2+(AA87+Z87)/2,"")</f>
        <v/>
      </c>
      <c r="AC87" s="5"/>
      <c r="AE87" s="51"/>
      <c r="AI87" s="6"/>
      <c r="AJ87" s="6"/>
      <c r="AK87" s="6"/>
      <c r="AL87" s="21"/>
      <c r="AM87" s="21"/>
      <c r="AN87" s="21"/>
      <c r="AO87" s="21"/>
      <c r="AP87" s="21"/>
      <c r="AQ87" s="21"/>
      <c r="AR87" s="21"/>
      <c r="AS87" s="21"/>
      <c r="AV87" s="13"/>
      <c r="AW87" s="21"/>
      <c r="AX87" s="13"/>
      <c r="AY87" s="13"/>
      <c r="AZ87" s="21"/>
      <c r="BA87" s="21"/>
      <c r="BB87" s="21"/>
      <c r="BC87" s="21"/>
    </row>
    <row r="88" spans="1:55" x14ac:dyDescent="0.25">
      <c r="A88" s="37"/>
      <c r="B88" s="38"/>
      <c r="C88" s="37"/>
      <c r="D88" s="2"/>
      <c r="E88" s="2"/>
      <c r="F88" s="38"/>
      <c r="G88" s="37"/>
      <c r="H88" s="2"/>
      <c r="I88" s="3"/>
      <c r="J88" s="90" t="str">
        <f>IF(C88&lt;&gt;"",$C88/'Elements and ions'!$B$12,"")</f>
        <v/>
      </c>
      <c r="K88" s="65" t="str">
        <f>IF(D88&lt;&gt;"",$D88/'Elements and ions'!$B$20,"")</f>
        <v/>
      </c>
      <c r="L88" s="65" t="str">
        <f>IF(E88&lt;&gt;"",$E88/'Elements and ions'!$B$21*2,"")</f>
        <v/>
      </c>
      <c r="M88" s="81" t="str">
        <f>IF(F88&lt;&gt;"",$F88/'Elements and ions'!$B$13*2,"")</f>
        <v/>
      </c>
      <c r="N88" s="80" t="str">
        <f>IF(G88&lt;&gt;"",-$G88/'Elements and ions'!$F$3,"")</f>
        <v/>
      </c>
      <c r="O88" s="65" t="str">
        <f>IF(H88&lt;&gt;"",-$H88/'Elements and ions'!$B$18,"")</f>
        <v/>
      </c>
      <c r="P88" s="81" t="str">
        <f>IF(I88&lt;&gt;"",-2*$I88/'Elements and ions'!$F$4,"")</f>
        <v/>
      </c>
      <c r="Q88" s="80" t="str">
        <f t="shared" si="25"/>
        <v/>
      </c>
      <c r="R88" s="65" t="str">
        <f t="shared" si="26"/>
        <v/>
      </c>
      <c r="S88" s="81" t="str">
        <f t="shared" si="27"/>
        <v/>
      </c>
      <c r="T88" s="80" t="str">
        <f t="shared" si="28"/>
        <v/>
      </c>
      <c r="U88" s="65" t="str">
        <f t="shared" si="29"/>
        <v/>
      </c>
      <c r="V88" s="91" t="str">
        <f t="shared" si="30"/>
        <v/>
      </c>
      <c r="W88" s="70" t="str">
        <f t="shared" si="31"/>
        <v/>
      </c>
      <c r="X88" s="65" t="str">
        <f>IF(V88&lt;&gt;"",IF($V88&lt;&gt;0,(($V88+(0.5*T88))/100+1+$AE$9),-1),"")</f>
        <v/>
      </c>
      <c r="Y88" s="81" t="str">
        <f>IF(AND(W88&lt;&gt;-1,X88&lt;&gt;-1,W88&lt;&gt;"",X88&lt;&gt;"",AA88&lt;&gt;-1,Z88&lt;&gt;-1,AA88&lt;&gt;"",Z88&lt;&gt;""),(W88+X88)/2+(AA88-Z88)/(4*COS(0.5)*$AE$5),"")</f>
        <v/>
      </c>
      <c r="Z88" s="70" t="str">
        <f>IF(S88&lt;&gt;"",IF($S88&lt;&gt;"",((($S88*COS(0.5))*$AE$5)/100),-1),"")</f>
        <v/>
      </c>
      <c r="AA88" s="65" t="str">
        <f>IF(T88&lt;&gt;"",IF($T88&lt;&gt;"",((($T88*COS(0.5))*$AE$5)/100),-1),"")</f>
        <v/>
      </c>
      <c r="AB88" s="66" t="str">
        <f>IF(Y88&lt;&gt;"",2*COS(0.5)*$AE$5*(X88-W88)/2+(AA88+Z88)/2,"")</f>
        <v/>
      </c>
      <c r="AC88" s="5"/>
      <c r="AE88" s="51"/>
      <c r="AI88" s="6"/>
      <c r="AJ88" s="6"/>
      <c r="AK88" s="6"/>
      <c r="AL88" s="21"/>
      <c r="AM88" s="21"/>
      <c r="AN88" s="21"/>
      <c r="AO88" s="21"/>
      <c r="AP88" s="21"/>
      <c r="AQ88" s="21"/>
      <c r="AR88" s="21"/>
      <c r="AS88" s="21"/>
      <c r="AV88" s="21"/>
      <c r="AW88" s="21"/>
      <c r="AX88" s="21"/>
      <c r="AY88" s="21"/>
      <c r="AZ88" s="21"/>
      <c r="BA88" s="21"/>
      <c r="BB88" s="21"/>
      <c r="BC88" s="21"/>
    </row>
    <row r="89" spans="1:55" x14ac:dyDescent="0.25">
      <c r="A89" s="37"/>
      <c r="B89" s="38"/>
      <c r="C89" s="37"/>
      <c r="D89" s="2"/>
      <c r="E89" s="2"/>
      <c r="F89" s="38"/>
      <c r="G89" s="37"/>
      <c r="H89" s="2"/>
      <c r="I89" s="3"/>
      <c r="J89" s="90" t="str">
        <f>IF(C89&lt;&gt;"",$C89/'Elements and ions'!$B$12,"")</f>
        <v/>
      </c>
      <c r="K89" s="65" t="str">
        <f>IF(D89&lt;&gt;"",$D89/'Elements and ions'!$B$20,"")</f>
        <v/>
      </c>
      <c r="L89" s="65" t="str">
        <f>IF(E89&lt;&gt;"",$E89/'Elements and ions'!$B$21*2,"")</f>
        <v/>
      </c>
      <c r="M89" s="81" t="str">
        <f>IF(F89&lt;&gt;"",$F89/'Elements and ions'!$B$13*2,"")</f>
        <v/>
      </c>
      <c r="N89" s="80" t="str">
        <f>IF(G89&lt;&gt;"",-$G89/'Elements and ions'!$F$3,"")</f>
        <v/>
      </c>
      <c r="O89" s="65" t="str">
        <f>IF(H89&lt;&gt;"",-$H89/'Elements and ions'!$B$18,"")</f>
        <v/>
      </c>
      <c r="P89" s="81" t="str">
        <f>IF(I89&lt;&gt;"",-2*$I89/'Elements and ions'!$F$4,"")</f>
        <v/>
      </c>
      <c r="Q89" s="80" t="str">
        <f t="shared" si="25"/>
        <v/>
      </c>
      <c r="R89" s="65" t="str">
        <f t="shared" si="26"/>
        <v/>
      </c>
      <c r="S89" s="81" t="str">
        <f t="shared" si="27"/>
        <v/>
      </c>
      <c r="T89" s="80" t="str">
        <f t="shared" si="28"/>
        <v/>
      </c>
      <c r="U89" s="65" t="str">
        <f t="shared" si="29"/>
        <v/>
      </c>
      <c r="V89" s="91" t="str">
        <f t="shared" si="30"/>
        <v/>
      </c>
      <c r="W89" s="70" t="str">
        <f t="shared" si="31"/>
        <v/>
      </c>
      <c r="X89" s="65" t="str">
        <f>IF(V89&lt;&gt;"",IF($V89&lt;&gt;0,(($V89+(0.5*T89))/100+1+$AE$9),-1),"")</f>
        <v/>
      </c>
      <c r="Y89" s="81" t="str">
        <f>IF(AND(W89&lt;&gt;-1,X89&lt;&gt;-1,W89&lt;&gt;"",X89&lt;&gt;"",AA89&lt;&gt;-1,Z89&lt;&gt;-1,AA89&lt;&gt;"",Z89&lt;&gt;""),(W89+X89)/2+(AA89-Z89)/(4*COS(0.5)*$AE$5),"")</f>
        <v/>
      </c>
      <c r="Z89" s="70" t="str">
        <f>IF(S89&lt;&gt;"",IF($S89&lt;&gt;"",((($S89*COS(0.5))*$AE$5)/100),-1),"")</f>
        <v/>
      </c>
      <c r="AA89" s="65" t="str">
        <f>IF(T89&lt;&gt;"",IF($T89&lt;&gt;"",((($T89*COS(0.5))*$AE$5)/100),-1),"")</f>
        <v/>
      </c>
      <c r="AB89" s="66" t="str">
        <f>IF(Y89&lt;&gt;"",2*COS(0.5)*$AE$5*(X89-W89)/2+(AA89+Z89)/2,"")</f>
        <v/>
      </c>
      <c r="AC89" s="5"/>
      <c r="AE89" s="51"/>
      <c r="AI89" s="6"/>
      <c r="AJ89" s="6"/>
      <c r="AK89" s="6"/>
      <c r="AL89" s="21"/>
      <c r="AM89" s="21"/>
      <c r="AN89" s="21"/>
      <c r="AO89" s="21"/>
      <c r="AP89" s="21"/>
      <c r="AQ89" s="21"/>
      <c r="AR89" s="21"/>
      <c r="AS89" s="21"/>
      <c r="AV89" s="21"/>
      <c r="AW89" s="21"/>
      <c r="AX89" s="21"/>
      <c r="AY89" s="21"/>
      <c r="AZ89" s="21"/>
      <c r="BA89" s="21"/>
      <c r="BB89" s="21"/>
      <c r="BC89" s="21"/>
    </row>
    <row r="90" spans="1:55" x14ac:dyDescent="0.25">
      <c r="A90" s="37"/>
      <c r="B90" s="38"/>
      <c r="C90" s="37"/>
      <c r="D90" s="2"/>
      <c r="E90" s="2"/>
      <c r="F90" s="38"/>
      <c r="G90" s="37"/>
      <c r="H90" s="2"/>
      <c r="I90" s="3"/>
      <c r="J90" s="90" t="str">
        <f>IF(C90&lt;&gt;"",$C90/'Elements and ions'!$B$12,"")</f>
        <v/>
      </c>
      <c r="K90" s="65" t="str">
        <f>IF(D90&lt;&gt;"",$D90/'Elements and ions'!$B$20,"")</f>
        <v/>
      </c>
      <c r="L90" s="65" t="str">
        <f>IF(E90&lt;&gt;"",$E90/'Elements and ions'!$B$21*2,"")</f>
        <v/>
      </c>
      <c r="M90" s="81" t="str">
        <f>IF(F90&lt;&gt;"",$F90/'Elements and ions'!$B$13*2,"")</f>
        <v/>
      </c>
      <c r="N90" s="80" t="str">
        <f>IF(G90&lt;&gt;"",-$G90/'Elements and ions'!$F$3,"")</f>
        <v/>
      </c>
      <c r="O90" s="65" t="str">
        <f>IF(H90&lt;&gt;"",-$H90/'Elements and ions'!$B$18,"")</f>
        <v/>
      </c>
      <c r="P90" s="81" t="str">
        <f>IF(I90&lt;&gt;"",-2*$I90/'Elements and ions'!$F$4,"")</f>
        <v/>
      </c>
      <c r="Q90" s="80" t="str">
        <f t="shared" si="25"/>
        <v/>
      </c>
      <c r="R90" s="65" t="str">
        <f t="shared" si="26"/>
        <v/>
      </c>
      <c r="S90" s="81" t="str">
        <f t="shared" si="27"/>
        <v/>
      </c>
      <c r="T90" s="80" t="str">
        <f t="shared" si="28"/>
        <v/>
      </c>
      <c r="U90" s="65" t="str">
        <f t="shared" si="29"/>
        <v/>
      </c>
      <c r="V90" s="91" t="str">
        <f t="shared" si="30"/>
        <v/>
      </c>
      <c r="W90" s="70" t="str">
        <f t="shared" si="31"/>
        <v/>
      </c>
      <c r="X90" s="65" t="str">
        <f>IF(V90&lt;&gt;"",IF($V90&lt;&gt;0,(($V90+(0.5*T90))/100+1+$AE$9),-1),"")</f>
        <v/>
      </c>
      <c r="Y90" s="81" t="str">
        <f>IF(AND(W90&lt;&gt;-1,X90&lt;&gt;-1,W90&lt;&gt;"",X90&lt;&gt;"",AA90&lt;&gt;-1,Z90&lt;&gt;-1,AA90&lt;&gt;"",Z90&lt;&gt;""),(W90+X90)/2+(AA90-Z90)/(4*COS(0.5)*$AE$5),"")</f>
        <v/>
      </c>
      <c r="Z90" s="70" t="str">
        <f>IF(S90&lt;&gt;"",IF($S90&lt;&gt;"",((($S90*COS(0.5))*$AE$5)/100),-1),"")</f>
        <v/>
      </c>
      <c r="AA90" s="65" t="str">
        <f>IF(T90&lt;&gt;"",IF($T90&lt;&gt;"",((($T90*COS(0.5))*$AE$5)/100),-1),"")</f>
        <v/>
      </c>
      <c r="AB90" s="66" t="str">
        <f>IF(Y90&lt;&gt;"",2*COS(0.5)*$AE$5*(X90-W90)/2+(AA90+Z90)/2,"")</f>
        <v/>
      </c>
      <c r="AC90" s="5"/>
      <c r="AE90" s="51"/>
      <c r="AI90" s="6"/>
      <c r="AJ90" s="6"/>
      <c r="AK90" s="6"/>
      <c r="AL90" s="21"/>
      <c r="AM90" s="21"/>
      <c r="AN90" s="21"/>
      <c r="AO90" s="21"/>
      <c r="AP90" s="21"/>
      <c r="AQ90" s="21"/>
      <c r="AR90" s="21"/>
      <c r="AS90" s="21"/>
      <c r="AV90" s="21"/>
      <c r="AW90" s="21"/>
      <c r="AX90" s="21"/>
      <c r="AY90" s="21"/>
      <c r="AZ90" s="21"/>
      <c r="BA90" s="21"/>
      <c r="BB90" s="21"/>
      <c r="BC90" s="21"/>
    </row>
    <row r="91" spans="1:55" x14ac:dyDescent="0.25">
      <c r="A91" s="37"/>
      <c r="B91" s="38"/>
      <c r="C91" s="37"/>
      <c r="D91" s="2"/>
      <c r="E91" s="2"/>
      <c r="F91" s="38"/>
      <c r="G91" s="37"/>
      <c r="H91" s="2"/>
      <c r="I91" s="3"/>
      <c r="J91" s="90" t="str">
        <f>IF(C91&lt;&gt;"",$C91/'Elements and ions'!$B$12,"")</f>
        <v/>
      </c>
      <c r="K91" s="65" t="str">
        <f>IF(D91&lt;&gt;"",$D91/'Elements and ions'!$B$20,"")</f>
        <v/>
      </c>
      <c r="L91" s="65" t="str">
        <f>IF(E91&lt;&gt;"",$E91/'Elements and ions'!$B$21*2,"")</f>
        <v/>
      </c>
      <c r="M91" s="81" t="str">
        <f>IF(F91&lt;&gt;"",$F91/'Elements and ions'!$B$13*2,"")</f>
        <v/>
      </c>
      <c r="N91" s="80" t="str">
        <f>IF(G91&lt;&gt;"",-$G91/'Elements and ions'!$F$3,"")</f>
        <v/>
      </c>
      <c r="O91" s="65" t="str">
        <f>IF(H91&lt;&gt;"",-$H91/'Elements and ions'!$B$18,"")</f>
        <v/>
      </c>
      <c r="P91" s="81" t="str">
        <f>IF(I91&lt;&gt;"",-2*$I91/'Elements and ions'!$F$4,"")</f>
        <v/>
      </c>
      <c r="Q91" s="80" t="str">
        <f t="shared" si="25"/>
        <v/>
      </c>
      <c r="R91" s="65" t="str">
        <f t="shared" si="26"/>
        <v/>
      </c>
      <c r="S91" s="81" t="str">
        <f t="shared" si="27"/>
        <v/>
      </c>
      <c r="T91" s="80" t="str">
        <f t="shared" si="28"/>
        <v/>
      </c>
      <c r="U91" s="65" t="str">
        <f t="shared" si="29"/>
        <v/>
      </c>
      <c r="V91" s="91" t="str">
        <f t="shared" si="30"/>
        <v/>
      </c>
      <c r="W91" s="70" t="str">
        <f t="shared" si="31"/>
        <v/>
      </c>
      <c r="X91" s="65" t="str">
        <f>IF(V91&lt;&gt;"",IF($V91&lt;&gt;0,(($V91+(0.5*T91))/100+1+$AE$9),-1),"")</f>
        <v/>
      </c>
      <c r="Y91" s="81" t="str">
        <f>IF(AND(W91&lt;&gt;-1,X91&lt;&gt;-1,W91&lt;&gt;"",X91&lt;&gt;"",AA91&lt;&gt;-1,Z91&lt;&gt;-1,AA91&lt;&gt;"",Z91&lt;&gt;""),(W91+X91)/2+(AA91-Z91)/(4*COS(0.5)*$AE$5),"")</f>
        <v/>
      </c>
      <c r="Z91" s="70" t="str">
        <f>IF(S91&lt;&gt;"",IF($S91&lt;&gt;"",((($S91*COS(0.5))*$AE$5)/100),-1),"")</f>
        <v/>
      </c>
      <c r="AA91" s="65" t="str">
        <f>IF(T91&lt;&gt;"",IF($T91&lt;&gt;"",((($T91*COS(0.5))*$AE$5)/100),-1),"")</f>
        <v/>
      </c>
      <c r="AB91" s="66" t="str">
        <f>IF(Y91&lt;&gt;"",2*COS(0.5)*$AE$5*(X91-W91)/2+(AA91+Z91)/2,"")</f>
        <v/>
      </c>
      <c r="AC91" s="5"/>
      <c r="AE91" s="51"/>
      <c r="AI91" s="6"/>
      <c r="AJ91" s="6"/>
      <c r="AK91" s="6"/>
      <c r="AL91" s="21"/>
      <c r="AM91" s="21"/>
      <c r="AN91" s="21"/>
      <c r="AO91" s="21"/>
      <c r="AP91" s="21"/>
      <c r="AQ91" s="21"/>
      <c r="AR91" s="21"/>
      <c r="AS91" s="21"/>
      <c r="AV91" s="21"/>
      <c r="AW91" s="21"/>
      <c r="AX91" s="21"/>
      <c r="AY91" s="21"/>
      <c r="AZ91" s="21"/>
      <c r="BA91" s="21"/>
      <c r="BB91" s="21"/>
      <c r="BC91" s="21"/>
    </row>
    <row r="92" spans="1:55" x14ac:dyDescent="0.25">
      <c r="A92" s="37"/>
      <c r="B92" s="38"/>
      <c r="C92" s="37"/>
      <c r="D92" s="2"/>
      <c r="E92" s="2"/>
      <c r="F92" s="38"/>
      <c r="G92" s="37"/>
      <c r="H92" s="2"/>
      <c r="I92" s="3"/>
      <c r="J92" s="90" t="str">
        <f>IF(C92&lt;&gt;"",$C92/'Elements and ions'!$B$12,"")</f>
        <v/>
      </c>
      <c r="K92" s="65" t="str">
        <f>IF(D92&lt;&gt;"",$D92/'Elements and ions'!$B$20,"")</f>
        <v/>
      </c>
      <c r="L92" s="65" t="str">
        <f>IF(E92&lt;&gt;"",$E92/'Elements and ions'!$B$21*2,"")</f>
        <v/>
      </c>
      <c r="M92" s="81" t="str">
        <f>IF(F92&lt;&gt;"",$F92/'Elements and ions'!$B$13*2,"")</f>
        <v/>
      </c>
      <c r="N92" s="80" t="str">
        <f>IF(G92&lt;&gt;"",-$G92/'Elements and ions'!$F$3,"")</f>
        <v/>
      </c>
      <c r="O92" s="65" t="str">
        <f>IF(H92&lt;&gt;"",-$H92/'Elements and ions'!$B$18,"")</f>
        <v/>
      </c>
      <c r="P92" s="81" t="str">
        <f>IF(I92&lt;&gt;"",-2*$I92/'Elements and ions'!$F$4,"")</f>
        <v/>
      </c>
      <c r="Q92" s="80" t="str">
        <f t="shared" si="25"/>
        <v/>
      </c>
      <c r="R92" s="65" t="str">
        <f t="shared" si="26"/>
        <v/>
      </c>
      <c r="S92" s="81" t="str">
        <f t="shared" si="27"/>
        <v/>
      </c>
      <c r="T92" s="80" t="str">
        <f t="shared" si="28"/>
        <v/>
      </c>
      <c r="U92" s="65" t="str">
        <f t="shared" si="29"/>
        <v/>
      </c>
      <c r="V92" s="91" t="str">
        <f t="shared" si="30"/>
        <v/>
      </c>
      <c r="W92" s="70" t="str">
        <f t="shared" si="31"/>
        <v/>
      </c>
      <c r="X92" s="65" t="str">
        <f>IF(V92&lt;&gt;"",IF($V92&lt;&gt;0,(($V92+(0.5*T92))/100+1+$AE$9),-1),"")</f>
        <v/>
      </c>
      <c r="Y92" s="81" t="str">
        <f>IF(AND(W92&lt;&gt;-1,X92&lt;&gt;-1,W92&lt;&gt;"",X92&lt;&gt;"",AA92&lt;&gt;-1,Z92&lt;&gt;-1,AA92&lt;&gt;"",Z92&lt;&gt;""),(W92+X92)/2+(AA92-Z92)/(4*COS(0.5)*$AE$5),"")</f>
        <v/>
      </c>
      <c r="Z92" s="70" t="str">
        <f>IF(S92&lt;&gt;"",IF($S92&lt;&gt;"",((($S92*COS(0.5))*$AE$5)/100),-1),"")</f>
        <v/>
      </c>
      <c r="AA92" s="65" t="str">
        <f>IF(T92&lt;&gt;"",IF($T92&lt;&gt;"",((($T92*COS(0.5))*$AE$5)/100),-1),"")</f>
        <v/>
      </c>
      <c r="AB92" s="66" t="str">
        <f>IF(Y92&lt;&gt;"",2*COS(0.5)*$AE$5*(X92-W92)/2+(AA92+Z92)/2,"")</f>
        <v/>
      </c>
      <c r="AC92" s="5"/>
      <c r="AE92" s="51"/>
      <c r="AI92" s="6"/>
      <c r="AJ92" s="6"/>
      <c r="AK92" s="6"/>
      <c r="AL92" s="21"/>
      <c r="AM92" s="21"/>
      <c r="AN92" s="21"/>
      <c r="AO92" s="21"/>
      <c r="AP92" s="21"/>
      <c r="AQ92" s="21"/>
      <c r="AR92" s="21"/>
      <c r="AS92" s="21"/>
      <c r="AV92" s="21"/>
      <c r="AW92" s="21"/>
      <c r="AX92" s="21"/>
      <c r="AY92" s="21"/>
      <c r="AZ92" s="21"/>
      <c r="BA92" s="21"/>
      <c r="BB92" s="21"/>
      <c r="BC92" s="21"/>
    </row>
    <row r="93" spans="1:55" x14ac:dyDescent="0.25">
      <c r="A93" s="37"/>
      <c r="B93" s="38"/>
      <c r="C93" s="37"/>
      <c r="D93" s="2"/>
      <c r="E93" s="2"/>
      <c r="F93" s="38"/>
      <c r="G93" s="37"/>
      <c r="H93" s="2"/>
      <c r="I93" s="3"/>
      <c r="J93" s="90" t="str">
        <f>IF(C93&lt;&gt;"",$C93/'Elements and ions'!$B$12,"")</f>
        <v/>
      </c>
      <c r="K93" s="65" t="str">
        <f>IF(D93&lt;&gt;"",$D93/'Elements and ions'!$B$20,"")</f>
        <v/>
      </c>
      <c r="L93" s="65" t="str">
        <f>IF(E93&lt;&gt;"",$E93/'Elements and ions'!$B$21*2,"")</f>
        <v/>
      </c>
      <c r="M93" s="81" t="str">
        <f>IF(F93&lt;&gt;"",$F93/'Elements and ions'!$B$13*2,"")</f>
        <v/>
      </c>
      <c r="N93" s="80" t="str">
        <f>IF(G93&lt;&gt;"",-$G93/'Elements and ions'!$F$3,"")</f>
        <v/>
      </c>
      <c r="O93" s="65" t="str">
        <f>IF(H93&lt;&gt;"",-$H93/'Elements and ions'!$B$18,"")</f>
        <v/>
      </c>
      <c r="P93" s="81" t="str">
        <f>IF(I93&lt;&gt;"",-2*$I93/'Elements and ions'!$F$4,"")</f>
        <v/>
      </c>
      <c r="Q93" s="80" t="str">
        <f t="shared" si="25"/>
        <v/>
      </c>
      <c r="R93" s="65" t="str">
        <f t="shared" si="26"/>
        <v/>
      </c>
      <c r="S93" s="81" t="str">
        <f t="shared" si="27"/>
        <v/>
      </c>
      <c r="T93" s="80" t="str">
        <f t="shared" si="28"/>
        <v/>
      </c>
      <c r="U93" s="65" t="str">
        <f t="shared" si="29"/>
        <v/>
      </c>
      <c r="V93" s="91" t="str">
        <f t="shared" si="30"/>
        <v/>
      </c>
      <c r="W93" s="70" t="str">
        <f t="shared" si="31"/>
        <v/>
      </c>
      <c r="X93" s="65" t="str">
        <f>IF(V93&lt;&gt;"",IF($V93&lt;&gt;0,(($V93+(0.5*T93))/100+1+$AE$9),-1),"")</f>
        <v/>
      </c>
      <c r="Y93" s="81" t="str">
        <f>IF(AND(W93&lt;&gt;-1,X93&lt;&gt;-1,W93&lt;&gt;"",X93&lt;&gt;"",AA93&lt;&gt;-1,Z93&lt;&gt;-1,AA93&lt;&gt;"",Z93&lt;&gt;""),(W93+X93)/2+(AA93-Z93)/(4*COS(0.5)*$AE$5),"")</f>
        <v/>
      </c>
      <c r="Z93" s="70" t="str">
        <f>IF(S93&lt;&gt;"",IF($S93&lt;&gt;"",((($S93*COS(0.5))*$AE$5)/100),-1),"")</f>
        <v/>
      </c>
      <c r="AA93" s="65" t="str">
        <f>IF(T93&lt;&gt;"",IF($T93&lt;&gt;"",((($T93*COS(0.5))*$AE$5)/100),-1),"")</f>
        <v/>
      </c>
      <c r="AB93" s="66" t="str">
        <f>IF(Y93&lt;&gt;"",2*COS(0.5)*$AE$5*(X93-W93)/2+(AA93+Z93)/2,"")</f>
        <v/>
      </c>
      <c r="AC93" s="5"/>
      <c r="AE93" s="51"/>
      <c r="AI93" s="6"/>
      <c r="AJ93" s="6"/>
      <c r="AK93" s="6"/>
      <c r="AL93" s="21"/>
      <c r="AM93" s="21"/>
      <c r="AN93" s="21"/>
      <c r="AO93" s="21"/>
      <c r="AP93" s="21"/>
      <c r="AQ93" s="21"/>
      <c r="AR93" s="21"/>
      <c r="AS93" s="21"/>
      <c r="AV93" s="21"/>
      <c r="AW93" s="21"/>
      <c r="AX93" s="21"/>
      <c r="AY93" s="21"/>
      <c r="AZ93" s="21"/>
      <c r="BA93" s="21"/>
      <c r="BB93" s="21"/>
      <c r="BC93" s="21"/>
    </row>
    <row r="94" spans="1:55" x14ac:dyDescent="0.25">
      <c r="A94" s="37"/>
      <c r="B94" s="38"/>
      <c r="C94" s="37"/>
      <c r="D94" s="2"/>
      <c r="E94" s="2"/>
      <c r="F94" s="38"/>
      <c r="G94" s="37"/>
      <c r="H94" s="2"/>
      <c r="I94" s="3"/>
      <c r="J94" s="90" t="str">
        <f>IF(C94&lt;&gt;"",$C94/'Elements and ions'!$B$12,"")</f>
        <v/>
      </c>
      <c r="K94" s="65" t="str">
        <f>IF(D94&lt;&gt;"",$D94/'Elements and ions'!$B$20,"")</f>
        <v/>
      </c>
      <c r="L94" s="65" t="str">
        <f>IF(E94&lt;&gt;"",$E94/'Elements and ions'!$B$21*2,"")</f>
        <v/>
      </c>
      <c r="M94" s="81" t="str">
        <f>IF(F94&lt;&gt;"",$F94/'Elements and ions'!$B$13*2,"")</f>
        <v/>
      </c>
      <c r="N94" s="80" t="str">
        <f>IF(G94&lt;&gt;"",-$G94/'Elements and ions'!$F$3,"")</f>
        <v/>
      </c>
      <c r="O94" s="65" t="str">
        <f>IF(H94&lt;&gt;"",-$H94/'Elements and ions'!$B$18,"")</f>
        <v/>
      </c>
      <c r="P94" s="81" t="str">
        <f>IF(I94&lt;&gt;"",-2*$I94/'Elements and ions'!$F$4,"")</f>
        <v/>
      </c>
      <c r="Q94" s="80" t="str">
        <f t="shared" si="25"/>
        <v/>
      </c>
      <c r="R94" s="65" t="str">
        <f t="shared" si="26"/>
        <v/>
      </c>
      <c r="S94" s="81" t="str">
        <f t="shared" si="27"/>
        <v/>
      </c>
      <c r="T94" s="80" t="str">
        <f t="shared" si="28"/>
        <v/>
      </c>
      <c r="U94" s="65" t="str">
        <f t="shared" si="29"/>
        <v/>
      </c>
      <c r="V94" s="91" t="str">
        <f t="shared" si="30"/>
        <v/>
      </c>
      <c r="W94" s="70" t="str">
        <f t="shared" si="31"/>
        <v/>
      </c>
      <c r="X94" s="65" t="str">
        <f>IF(V94&lt;&gt;"",IF($V94&lt;&gt;0,(($V94+(0.5*T94))/100+1+$AE$9),-1),"")</f>
        <v/>
      </c>
      <c r="Y94" s="81" t="str">
        <f>IF(AND(W94&lt;&gt;-1,X94&lt;&gt;-1,W94&lt;&gt;"",X94&lt;&gt;"",AA94&lt;&gt;-1,Z94&lt;&gt;-1,AA94&lt;&gt;"",Z94&lt;&gt;""),(W94+X94)/2+(AA94-Z94)/(4*COS(0.5)*$AE$5),"")</f>
        <v/>
      </c>
      <c r="Z94" s="70" t="str">
        <f>IF(S94&lt;&gt;"",IF($S94&lt;&gt;"",((($S94*COS(0.5))*$AE$5)/100),-1),"")</f>
        <v/>
      </c>
      <c r="AA94" s="65" t="str">
        <f>IF(T94&lt;&gt;"",IF($T94&lt;&gt;"",((($T94*COS(0.5))*$AE$5)/100),-1),"")</f>
        <v/>
      </c>
      <c r="AB94" s="66" t="str">
        <f>IF(Y94&lt;&gt;"",2*COS(0.5)*$AE$5*(X94-W94)/2+(AA94+Z94)/2,"")</f>
        <v/>
      </c>
      <c r="AC94" s="5"/>
      <c r="AE94" s="51"/>
      <c r="AI94" s="6"/>
      <c r="AJ94" s="6"/>
      <c r="AK94" s="6"/>
      <c r="AL94" s="21"/>
      <c r="AM94" s="21"/>
      <c r="AN94" s="21"/>
      <c r="AO94" s="21"/>
      <c r="AP94" s="21"/>
      <c r="AQ94" s="21"/>
      <c r="AR94" s="21"/>
      <c r="AS94" s="21"/>
      <c r="AV94" s="21"/>
      <c r="AW94" s="21"/>
      <c r="AX94" s="21"/>
      <c r="AY94" s="21"/>
      <c r="AZ94" s="21"/>
      <c r="BA94" s="21"/>
      <c r="BB94" s="21"/>
      <c r="BC94" s="21"/>
    </row>
    <row r="95" spans="1:55" x14ac:dyDescent="0.25">
      <c r="A95" s="37"/>
      <c r="B95" s="38"/>
      <c r="C95" s="37"/>
      <c r="D95" s="2"/>
      <c r="E95" s="2"/>
      <c r="F95" s="38"/>
      <c r="G95" s="37"/>
      <c r="H95" s="2"/>
      <c r="I95" s="3"/>
      <c r="J95" s="90" t="str">
        <f>IF(C95&lt;&gt;"",$C95/'Elements and ions'!$B$12,"")</f>
        <v/>
      </c>
      <c r="K95" s="65" t="str">
        <f>IF(D95&lt;&gt;"",$D95/'Elements and ions'!$B$20,"")</f>
        <v/>
      </c>
      <c r="L95" s="65" t="str">
        <f>IF(E95&lt;&gt;"",$E95/'Elements and ions'!$B$21*2,"")</f>
        <v/>
      </c>
      <c r="M95" s="81" t="str">
        <f>IF(F95&lt;&gt;"",$F95/'Elements and ions'!$B$13*2,"")</f>
        <v/>
      </c>
      <c r="N95" s="80" t="str">
        <f>IF(G95&lt;&gt;"",-$G95/'Elements and ions'!$F$3,"")</f>
        <v/>
      </c>
      <c r="O95" s="65" t="str">
        <f>IF(H95&lt;&gt;"",-$H95/'Elements and ions'!$B$18,"")</f>
        <v/>
      </c>
      <c r="P95" s="81" t="str">
        <f>IF(I95&lt;&gt;"",-2*$I95/'Elements and ions'!$F$4,"")</f>
        <v/>
      </c>
      <c r="Q95" s="80" t="str">
        <f t="shared" si="25"/>
        <v/>
      </c>
      <c r="R95" s="65" t="str">
        <f t="shared" si="26"/>
        <v/>
      </c>
      <c r="S95" s="81" t="str">
        <f t="shared" si="27"/>
        <v/>
      </c>
      <c r="T95" s="80" t="str">
        <f t="shared" si="28"/>
        <v/>
      </c>
      <c r="U95" s="65" t="str">
        <f t="shared" si="29"/>
        <v/>
      </c>
      <c r="V95" s="91" t="str">
        <f t="shared" si="30"/>
        <v/>
      </c>
      <c r="W95" s="70" t="str">
        <f t="shared" si="31"/>
        <v/>
      </c>
      <c r="X95" s="65" t="str">
        <f>IF(V95&lt;&gt;"",IF($V95&lt;&gt;0,(($V95+(0.5*T95))/100+1+$AE$9),-1),"")</f>
        <v/>
      </c>
      <c r="Y95" s="81" t="str">
        <f>IF(AND(W95&lt;&gt;-1,X95&lt;&gt;-1,W95&lt;&gt;"",X95&lt;&gt;"",AA95&lt;&gt;-1,Z95&lt;&gt;-1,AA95&lt;&gt;"",Z95&lt;&gt;""),(W95+X95)/2+(AA95-Z95)/(4*COS(0.5)*$AE$5),"")</f>
        <v/>
      </c>
      <c r="Z95" s="70" t="str">
        <f>IF(S95&lt;&gt;"",IF($S95&lt;&gt;"",((($S95*COS(0.5))*$AE$5)/100),-1),"")</f>
        <v/>
      </c>
      <c r="AA95" s="65" t="str">
        <f>IF(T95&lt;&gt;"",IF($T95&lt;&gt;"",((($T95*COS(0.5))*$AE$5)/100),-1),"")</f>
        <v/>
      </c>
      <c r="AB95" s="66" t="str">
        <f>IF(Y95&lt;&gt;"",2*COS(0.5)*$AE$5*(X95-W95)/2+(AA95+Z95)/2,"")</f>
        <v/>
      </c>
      <c r="AC95" s="5"/>
      <c r="AE95" s="51"/>
      <c r="AI95" s="6"/>
      <c r="AJ95" s="6"/>
      <c r="AK95" s="6"/>
      <c r="AL95" s="21"/>
      <c r="AM95" s="21"/>
      <c r="AN95" s="21"/>
      <c r="AO95" s="21"/>
      <c r="AP95" s="21"/>
      <c r="AQ95" s="21"/>
      <c r="AR95" s="21"/>
      <c r="AS95" s="21"/>
      <c r="AV95" s="21"/>
      <c r="AW95" s="21"/>
      <c r="AX95" s="21"/>
      <c r="AY95" s="21"/>
      <c r="AZ95" s="21"/>
      <c r="BA95" s="21"/>
      <c r="BB95" s="21"/>
      <c r="BC95" s="21"/>
    </row>
    <row r="96" spans="1:55" x14ac:dyDescent="0.25">
      <c r="A96" s="37"/>
      <c r="B96" s="38"/>
      <c r="C96" s="37"/>
      <c r="D96" s="2"/>
      <c r="E96" s="2"/>
      <c r="F96" s="38"/>
      <c r="G96" s="37"/>
      <c r="H96" s="2"/>
      <c r="I96" s="3"/>
      <c r="J96" s="90" t="str">
        <f>IF(C96&lt;&gt;"",$C96/'Elements and ions'!$B$12,"")</f>
        <v/>
      </c>
      <c r="K96" s="65" t="str">
        <f>IF(D96&lt;&gt;"",$D96/'Elements and ions'!$B$20,"")</f>
        <v/>
      </c>
      <c r="L96" s="65" t="str">
        <f>IF(E96&lt;&gt;"",$E96/'Elements and ions'!$B$21*2,"")</f>
        <v/>
      </c>
      <c r="M96" s="81" t="str">
        <f>IF(F96&lt;&gt;"",$F96/'Elements and ions'!$B$13*2,"")</f>
        <v/>
      </c>
      <c r="N96" s="80" t="str">
        <f>IF(G96&lt;&gt;"",-$G96/'Elements and ions'!$F$3,"")</f>
        <v/>
      </c>
      <c r="O96" s="65" t="str">
        <f>IF(H96&lt;&gt;"",-$H96/'Elements and ions'!$B$18,"")</f>
        <v/>
      </c>
      <c r="P96" s="81" t="str">
        <f>IF(I96&lt;&gt;"",-2*$I96/'Elements and ions'!$F$4,"")</f>
        <v/>
      </c>
      <c r="Q96" s="80" t="str">
        <f t="shared" si="25"/>
        <v/>
      </c>
      <c r="R96" s="65" t="str">
        <f t="shared" si="26"/>
        <v/>
      </c>
      <c r="S96" s="81" t="str">
        <f t="shared" si="27"/>
        <v/>
      </c>
      <c r="T96" s="80" t="str">
        <f t="shared" si="28"/>
        <v/>
      </c>
      <c r="U96" s="65" t="str">
        <f t="shared" si="29"/>
        <v/>
      </c>
      <c r="V96" s="91" t="str">
        <f t="shared" si="30"/>
        <v/>
      </c>
      <c r="W96" s="70" t="str">
        <f t="shared" si="31"/>
        <v/>
      </c>
      <c r="X96" s="65" t="str">
        <f>IF(V96&lt;&gt;"",IF($V96&lt;&gt;0,(($V96+(0.5*T96))/100+1+$AE$9),-1),"")</f>
        <v/>
      </c>
      <c r="Y96" s="81" t="str">
        <f>IF(AND(W96&lt;&gt;-1,X96&lt;&gt;-1,W96&lt;&gt;"",X96&lt;&gt;"",AA96&lt;&gt;-1,Z96&lt;&gt;-1,AA96&lt;&gt;"",Z96&lt;&gt;""),(W96+X96)/2+(AA96-Z96)/(4*COS(0.5)*$AE$5),"")</f>
        <v/>
      </c>
      <c r="Z96" s="70" t="str">
        <f>IF(S96&lt;&gt;"",IF($S96&lt;&gt;"",((($S96*COS(0.5))*$AE$5)/100),-1),"")</f>
        <v/>
      </c>
      <c r="AA96" s="65" t="str">
        <f>IF(T96&lt;&gt;"",IF($T96&lt;&gt;"",((($T96*COS(0.5))*$AE$5)/100),-1),"")</f>
        <v/>
      </c>
      <c r="AB96" s="66" t="str">
        <f>IF(Y96&lt;&gt;"",2*COS(0.5)*$AE$5*(X96-W96)/2+(AA96+Z96)/2,"")</f>
        <v/>
      </c>
      <c r="AC96" s="5"/>
      <c r="AE96" s="51"/>
      <c r="AI96" s="6"/>
      <c r="AJ96" s="6"/>
      <c r="AK96" s="6"/>
      <c r="AL96" s="21"/>
      <c r="AM96" s="21"/>
      <c r="AN96" s="21"/>
      <c r="AO96" s="21"/>
      <c r="AP96" s="21"/>
      <c r="AQ96" s="21"/>
      <c r="AR96" s="21"/>
      <c r="AS96" s="21"/>
      <c r="AV96" s="21"/>
      <c r="AW96" s="21"/>
      <c r="AX96" s="21"/>
      <c r="AY96" s="21"/>
      <c r="AZ96" s="21"/>
      <c r="BA96" s="21"/>
      <c r="BB96" s="21"/>
      <c r="BC96" s="21"/>
    </row>
    <row r="97" spans="1:55" x14ac:dyDescent="0.25">
      <c r="A97" s="37"/>
      <c r="B97" s="38"/>
      <c r="C97" s="37"/>
      <c r="D97" s="2"/>
      <c r="E97" s="2"/>
      <c r="F97" s="38"/>
      <c r="G97" s="37"/>
      <c r="H97" s="2"/>
      <c r="I97" s="3"/>
      <c r="J97" s="90" t="str">
        <f>IF(C97&lt;&gt;"",$C97/'Elements and ions'!$B$12,"")</f>
        <v/>
      </c>
      <c r="K97" s="65" t="str">
        <f>IF(D97&lt;&gt;"",$D97/'Elements and ions'!$B$20,"")</f>
        <v/>
      </c>
      <c r="L97" s="65" t="str">
        <f>IF(E97&lt;&gt;"",$E97/'Elements and ions'!$B$21*2,"")</f>
        <v/>
      </c>
      <c r="M97" s="81" t="str">
        <f>IF(F97&lt;&gt;"",$F97/'Elements and ions'!$B$13*2,"")</f>
        <v/>
      </c>
      <c r="N97" s="80" t="str">
        <f>IF(G97&lt;&gt;"",-$G97/'Elements and ions'!$F$3,"")</f>
        <v/>
      </c>
      <c r="O97" s="65" t="str">
        <f>IF(H97&lt;&gt;"",-$H97/'Elements and ions'!$B$18,"")</f>
        <v/>
      </c>
      <c r="P97" s="81" t="str">
        <f>IF(I97&lt;&gt;"",-2*$I97/'Elements and ions'!$F$4,"")</f>
        <v/>
      </c>
      <c r="Q97" s="80" t="str">
        <f t="shared" si="25"/>
        <v/>
      </c>
      <c r="R97" s="65" t="str">
        <f t="shared" si="26"/>
        <v/>
      </c>
      <c r="S97" s="81" t="str">
        <f t="shared" si="27"/>
        <v/>
      </c>
      <c r="T97" s="80" t="str">
        <f t="shared" si="28"/>
        <v/>
      </c>
      <c r="U97" s="65" t="str">
        <f t="shared" si="29"/>
        <v/>
      </c>
      <c r="V97" s="91" t="str">
        <f t="shared" si="30"/>
        <v/>
      </c>
      <c r="W97" s="70" t="str">
        <f t="shared" si="31"/>
        <v/>
      </c>
      <c r="X97" s="65" t="str">
        <f>IF(V97&lt;&gt;"",IF($V97&lt;&gt;0,(($V97+(0.5*T97))/100+1+$AE$9),-1),"")</f>
        <v/>
      </c>
      <c r="Y97" s="81" t="str">
        <f>IF(AND(W97&lt;&gt;-1,X97&lt;&gt;-1,W97&lt;&gt;"",X97&lt;&gt;"",AA97&lt;&gt;-1,Z97&lt;&gt;-1,AA97&lt;&gt;"",Z97&lt;&gt;""),(W97+X97)/2+(AA97-Z97)/(4*COS(0.5)*$AE$5),"")</f>
        <v/>
      </c>
      <c r="Z97" s="70" t="str">
        <f>IF(S97&lt;&gt;"",IF($S97&lt;&gt;"",((($S97*COS(0.5))*$AE$5)/100),-1),"")</f>
        <v/>
      </c>
      <c r="AA97" s="65" t="str">
        <f>IF(T97&lt;&gt;"",IF($T97&lt;&gt;"",((($T97*COS(0.5))*$AE$5)/100),-1),"")</f>
        <v/>
      </c>
      <c r="AB97" s="66" t="str">
        <f>IF(Y97&lt;&gt;"",2*COS(0.5)*$AE$5*(X97-W97)/2+(AA97+Z97)/2,"")</f>
        <v/>
      </c>
      <c r="AC97" s="5"/>
      <c r="AE97" s="51" t="s">
        <v>138</v>
      </c>
      <c r="AI97" s="6"/>
      <c r="AJ97" s="6"/>
      <c r="AK97" s="6"/>
      <c r="AL97" s="21"/>
      <c r="AM97" s="21"/>
      <c r="AN97" s="21"/>
      <c r="AO97" s="21"/>
      <c r="AP97" s="21"/>
      <c r="AQ97" s="21"/>
      <c r="AR97" s="21"/>
      <c r="AS97" s="21"/>
      <c r="AV97" s="21"/>
      <c r="AW97" s="21"/>
      <c r="AX97" s="21"/>
      <c r="AY97" s="21"/>
      <c r="AZ97" s="21"/>
      <c r="BA97" s="21"/>
      <c r="BB97" s="21"/>
      <c r="BC97" s="21"/>
    </row>
    <row r="98" spans="1:55" x14ac:dyDescent="0.25">
      <c r="A98" s="37"/>
      <c r="B98" s="38"/>
      <c r="C98" s="37"/>
      <c r="D98" s="2"/>
      <c r="E98" s="2"/>
      <c r="F98" s="38"/>
      <c r="G98" s="37"/>
      <c r="H98" s="2"/>
      <c r="I98" s="3"/>
      <c r="J98" s="90" t="str">
        <f>IF(C98&lt;&gt;"",$C98/'Elements and ions'!$B$12,"")</f>
        <v/>
      </c>
      <c r="K98" s="65" t="str">
        <f>IF(D98&lt;&gt;"",$D98/'Elements and ions'!$B$20,"")</f>
        <v/>
      </c>
      <c r="L98" s="65" t="str">
        <f>IF(E98&lt;&gt;"",$E98/'Elements and ions'!$B$21*2,"")</f>
        <v/>
      </c>
      <c r="M98" s="81" t="str">
        <f>IF(F98&lt;&gt;"",$F98/'Elements and ions'!$B$13*2,"")</f>
        <v/>
      </c>
      <c r="N98" s="80" t="str">
        <f>IF(G98&lt;&gt;"",-$G98/'Elements and ions'!$F$3,"")</f>
        <v/>
      </c>
      <c r="O98" s="65" t="str">
        <f>IF(H98&lt;&gt;"",-$H98/'Elements and ions'!$B$18,"")</f>
        <v/>
      </c>
      <c r="P98" s="81" t="str">
        <f>IF(I98&lt;&gt;"",-2*$I98/'Elements and ions'!$F$4,"")</f>
        <v/>
      </c>
      <c r="Q98" s="80" t="str">
        <f t="shared" si="25"/>
        <v/>
      </c>
      <c r="R98" s="65" t="str">
        <f t="shared" si="26"/>
        <v/>
      </c>
      <c r="S98" s="81" t="str">
        <f t="shared" si="27"/>
        <v/>
      </c>
      <c r="T98" s="80" t="str">
        <f t="shared" si="28"/>
        <v/>
      </c>
      <c r="U98" s="65" t="str">
        <f t="shared" si="29"/>
        <v/>
      </c>
      <c r="V98" s="91" t="str">
        <f t="shared" si="30"/>
        <v/>
      </c>
      <c r="W98" s="70" t="str">
        <f t="shared" si="31"/>
        <v/>
      </c>
      <c r="X98" s="65" t="str">
        <f>IF(V98&lt;&gt;"",IF($V98&lt;&gt;0,(($V98+(0.5*T98))/100+1+$AE$9),-1),"")</f>
        <v/>
      </c>
      <c r="Y98" s="81" t="str">
        <f>IF(AND(W98&lt;&gt;-1,X98&lt;&gt;-1,W98&lt;&gt;"",X98&lt;&gt;"",AA98&lt;&gt;-1,Z98&lt;&gt;-1,AA98&lt;&gt;"",Z98&lt;&gt;""),(W98+X98)/2+(AA98-Z98)/(4*COS(0.5)*$AE$5),"")</f>
        <v/>
      </c>
      <c r="Z98" s="70" t="str">
        <f>IF(S98&lt;&gt;"",IF($S98&lt;&gt;"",((($S98*COS(0.5))*$AE$5)/100),-1),"")</f>
        <v/>
      </c>
      <c r="AA98" s="65" t="str">
        <f>IF(T98&lt;&gt;"",IF($T98&lt;&gt;"",((($T98*COS(0.5))*$AE$5)/100),-1),"")</f>
        <v/>
      </c>
      <c r="AB98" s="66" t="str">
        <f>IF(Y98&lt;&gt;"",2*COS(0.5)*$AE$5*(X98-W98)/2+(AA98+Z98)/2,"")</f>
        <v/>
      </c>
      <c r="AC98" s="5"/>
      <c r="AE98" s="51"/>
      <c r="AI98" s="6"/>
      <c r="AJ98" s="6"/>
      <c r="AK98" s="6"/>
      <c r="AL98" s="21"/>
      <c r="AM98" s="21"/>
      <c r="AN98" s="21"/>
      <c r="AO98" s="21"/>
      <c r="AP98" s="21"/>
      <c r="AQ98" s="21"/>
      <c r="AR98" s="21"/>
      <c r="AS98" s="21"/>
      <c r="AV98" s="21"/>
      <c r="AW98" s="21"/>
      <c r="AX98" s="21"/>
      <c r="AY98" s="21"/>
      <c r="AZ98" s="21"/>
      <c r="BA98" s="21"/>
      <c r="BB98" s="21"/>
      <c r="BC98" s="21"/>
    </row>
    <row r="99" spans="1:55" x14ac:dyDescent="0.25">
      <c r="A99" s="37"/>
      <c r="B99" s="38"/>
      <c r="C99" s="37"/>
      <c r="D99" s="2"/>
      <c r="E99" s="2"/>
      <c r="F99" s="38"/>
      <c r="G99" s="37"/>
      <c r="H99" s="2"/>
      <c r="I99" s="3"/>
      <c r="J99" s="90" t="str">
        <f>IF(C99&lt;&gt;"",$C99/'Elements and ions'!$B$12,"")</f>
        <v/>
      </c>
      <c r="K99" s="65" t="str">
        <f>IF(D99&lt;&gt;"",$D99/'Elements and ions'!$B$20,"")</f>
        <v/>
      </c>
      <c r="L99" s="65" t="str">
        <f>IF(E99&lt;&gt;"",$E99/'Elements and ions'!$B$21*2,"")</f>
        <v/>
      </c>
      <c r="M99" s="81" t="str">
        <f>IF(F99&lt;&gt;"",$F99/'Elements and ions'!$B$13*2,"")</f>
        <v/>
      </c>
      <c r="N99" s="80" t="str">
        <f>IF(G99&lt;&gt;"",-$G99/'Elements and ions'!$F$3,"")</f>
        <v/>
      </c>
      <c r="O99" s="65" t="str">
        <f>IF(H99&lt;&gt;"",-$H99/'Elements and ions'!$B$18,"")</f>
        <v/>
      </c>
      <c r="P99" s="81" t="str">
        <f>IF(I99&lt;&gt;"",-2*$I99/'Elements and ions'!$F$4,"")</f>
        <v/>
      </c>
      <c r="Q99" s="80" t="str">
        <f t="shared" si="25"/>
        <v/>
      </c>
      <c r="R99" s="65" t="str">
        <f t="shared" si="26"/>
        <v/>
      </c>
      <c r="S99" s="81" t="str">
        <f t="shared" si="27"/>
        <v/>
      </c>
      <c r="T99" s="80" t="str">
        <f t="shared" si="28"/>
        <v/>
      </c>
      <c r="U99" s="65" t="str">
        <f t="shared" si="29"/>
        <v/>
      </c>
      <c r="V99" s="91" t="str">
        <f t="shared" si="30"/>
        <v/>
      </c>
      <c r="W99" s="70" t="str">
        <f t="shared" si="31"/>
        <v/>
      </c>
      <c r="X99" s="65" t="str">
        <f>IF(V99&lt;&gt;"",IF($V99&lt;&gt;0,(($V99+(0.5*T99))/100+1+$AE$9),-1),"")</f>
        <v/>
      </c>
      <c r="Y99" s="81" t="str">
        <f>IF(AND(W99&lt;&gt;-1,X99&lt;&gt;-1,W99&lt;&gt;"",X99&lt;&gt;"",AA99&lt;&gt;-1,Z99&lt;&gt;-1,AA99&lt;&gt;"",Z99&lt;&gt;""),(W99+X99)/2+(AA99-Z99)/(4*COS(0.5)*$AE$5),"")</f>
        <v/>
      </c>
      <c r="Z99" s="70" t="str">
        <f>IF(S99&lt;&gt;"",IF($S99&lt;&gt;"",((($S99*COS(0.5))*$AE$5)/100),-1),"")</f>
        <v/>
      </c>
      <c r="AA99" s="65" t="str">
        <f>IF(T99&lt;&gt;"",IF($T99&lt;&gt;"",((($T99*COS(0.5))*$AE$5)/100),-1),"")</f>
        <v/>
      </c>
      <c r="AB99" s="66" t="str">
        <f>IF(Y99&lt;&gt;"",2*COS(0.5)*$AE$5*(X99-W99)/2+(AA99+Z99)/2,"")</f>
        <v/>
      </c>
      <c r="AC99" s="5"/>
      <c r="AE99" s="51"/>
      <c r="AI99" s="6"/>
      <c r="AJ99" s="6"/>
      <c r="AK99" s="6"/>
      <c r="AL99" s="21"/>
      <c r="AM99" s="21"/>
      <c r="AN99" s="21"/>
      <c r="AO99" s="21"/>
      <c r="AP99" s="21"/>
      <c r="AQ99" s="21"/>
      <c r="AR99" s="21"/>
      <c r="AS99" s="21"/>
      <c r="AV99" s="21"/>
      <c r="AW99" s="21"/>
      <c r="AX99" s="21"/>
      <c r="AY99" s="21"/>
      <c r="AZ99" s="21"/>
      <c r="BA99" s="21"/>
      <c r="BB99" s="21"/>
      <c r="BC99" s="21"/>
    </row>
    <row r="100" spans="1:55" x14ac:dyDescent="0.25">
      <c r="A100" s="37"/>
      <c r="B100" s="38"/>
      <c r="C100" s="37"/>
      <c r="D100" s="2"/>
      <c r="E100" s="2"/>
      <c r="F100" s="38"/>
      <c r="G100" s="37"/>
      <c r="H100" s="2"/>
      <c r="I100" s="3"/>
      <c r="J100" s="90" t="str">
        <f>IF(C100&lt;&gt;"",$C100/'Elements and ions'!$B$12,"")</f>
        <v/>
      </c>
      <c r="K100" s="65" t="str">
        <f>IF(D100&lt;&gt;"",$D100/'Elements and ions'!$B$20,"")</f>
        <v/>
      </c>
      <c r="L100" s="65" t="str">
        <f>IF(E100&lt;&gt;"",$E100/'Elements and ions'!$B$21*2,"")</f>
        <v/>
      </c>
      <c r="M100" s="81" t="str">
        <f>IF(F100&lt;&gt;"",$F100/'Elements and ions'!$B$13*2,"")</f>
        <v/>
      </c>
      <c r="N100" s="80" t="str">
        <f>IF(G100&lt;&gt;"",-$G100/'Elements and ions'!$F$3,"")</f>
        <v/>
      </c>
      <c r="O100" s="65" t="str">
        <f>IF(H100&lt;&gt;"",-$H100/'Elements and ions'!$B$18,"")</f>
        <v/>
      </c>
      <c r="P100" s="81" t="str">
        <f>IF(I100&lt;&gt;"",-2*$I100/'Elements and ions'!$F$4,"")</f>
        <v/>
      </c>
      <c r="Q100" s="80" t="str">
        <f t="shared" si="25"/>
        <v/>
      </c>
      <c r="R100" s="65" t="str">
        <f t="shared" si="26"/>
        <v/>
      </c>
      <c r="S100" s="81" t="str">
        <f t="shared" si="27"/>
        <v/>
      </c>
      <c r="T100" s="80" t="str">
        <f t="shared" si="28"/>
        <v/>
      </c>
      <c r="U100" s="65" t="str">
        <f t="shared" si="29"/>
        <v/>
      </c>
      <c r="V100" s="91" t="str">
        <f t="shared" si="30"/>
        <v/>
      </c>
      <c r="W100" s="70" t="str">
        <f t="shared" si="31"/>
        <v/>
      </c>
      <c r="X100" s="65" t="str">
        <f>IF(V100&lt;&gt;"",IF($V100&lt;&gt;0,(($V100+(0.5*T100))/100+1+$AE$9),-1),"")</f>
        <v/>
      </c>
      <c r="Y100" s="81" t="str">
        <f>IF(AND(W100&lt;&gt;-1,X100&lt;&gt;-1,W100&lt;&gt;"",X100&lt;&gt;"",AA100&lt;&gt;-1,Z100&lt;&gt;-1,AA100&lt;&gt;"",Z100&lt;&gt;""),(W100+X100)/2+(AA100-Z100)/(4*COS(0.5)*$AE$5),"")</f>
        <v/>
      </c>
      <c r="Z100" s="70" t="str">
        <f>IF(S100&lt;&gt;"",IF($S100&lt;&gt;"",((($S100*COS(0.5))*$AE$5)/100),-1),"")</f>
        <v/>
      </c>
      <c r="AA100" s="65" t="str">
        <f>IF(T100&lt;&gt;"",IF($T100&lt;&gt;"",((($T100*COS(0.5))*$AE$5)/100),-1),"")</f>
        <v/>
      </c>
      <c r="AB100" s="66" t="str">
        <f>IF(Y100&lt;&gt;"",2*COS(0.5)*$AE$5*(X100-W100)/2+(AA100+Z100)/2,"")</f>
        <v/>
      </c>
      <c r="AC100" s="5"/>
      <c r="AE100" s="51"/>
      <c r="AI100" s="6"/>
      <c r="AJ100" s="6"/>
      <c r="AK100" s="6"/>
      <c r="AL100" s="21"/>
      <c r="AM100" s="21"/>
      <c r="AN100" s="21"/>
      <c r="AO100" s="21"/>
      <c r="AP100" s="21"/>
      <c r="AQ100" s="21"/>
      <c r="AR100" s="21"/>
      <c r="AS100" s="21"/>
      <c r="AV100" s="21"/>
      <c r="AW100" s="21"/>
      <c r="AX100" s="21"/>
      <c r="AY100" s="21"/>
      <c r="AZ100" s="21"/>
      <c r="BA100" s="21"/>
      <c r="BB100" s="21"/>
      <c r="BC100" s="21"/>
    </row>
    <row r="101" spans="1:55" x14ac:dyDescent="0.25">
      <c r="A101" s="37"/>
      <c r="B101" s="38"/>
      <c r="C101" s="37"/>
      <c r="D101" s="2"/>
      <c r="E101" s="2"/>
      <c r="F101" s="38"/>
      <c r="G101" s="37"/>
      <c r="H101" s="2"/>
      <c r="I101" s="3"/>
      <c r="J101" s="90" t="str">
        <f>IF(C101&lt;&gt;"",$C101/'Elements and ions'!$B$12,"")</f>
        <v/>
      </c>
      <c r="K101" s="65" t="str">
        <f>IF(D101&lt;&gt;"",$D101/'Elements and ions'!$B$20,"")</f>
        <v/>
      </c>
      <c r="L101" s="65" t="str">
        <f>IF(E101&lt;&gt;"",$E101/'Elements and ions'!$B$21*2,"")</f>
        <v/>
      </c>
      <c r="M101" s="81" t="str">
        <f>IF(F101&lt;&gt;"",$F101/'Elements and ions'!$B$13*2,"")</f>
        <v/>
      </c>
      <c r="N101" s="80" t="str">
        <f>IF(G101&lt;&gt;"",-$G101/'Elements and ions'!$F$3,"")</f>
        <v/>
      </c>
      <c r="O101" s="65" t="str">
        <f>IF(H101&lt;&gt;"",-$H101/'Elements and ions'!$B$18,"")</f>
        <v/>
      </c>
      <c r="P101" s="81" t="str">
        <f>IF(I101&lt;&gt;"",-2*$I101/'Elements and ions'!$F$4,"")</f>
        <v/>
      </c>
      <c r="Q101" s="80" t="str">
        <f t="shared" si="25"/>
        <v/>
      </c>
      <c r="R101" s="65" t="str">
        <f t="shared" si="26"/>
        <v/>
      </c>
      <c r="S101" s="81" t="str">
        <f t="shared" si="27"/>
        <v/>
      </c>
      <c r="T101" s="80" t="str">
        <f t="shared" si="28"/>
        <v/>
      </c>
      <c r="U101" s="65" t="str">
        <f t="shared" si="29"/>
        <v/>
      </c>
      <c r="V101" s="91" t="str">
        <f t="shared" si="30"/>
        <v/>
      </c>
      <c r="W101" s="70" t="str">
        <f t="shared" si="31"/>
        <v/>
      </c>
      <c r="X101" s="65" t="str">
        <f>IF(V101&lt;&gt;"",IF($V101&lt;&gt;0,(($V101+(0.5*T101))/100+1+$AE$9),-1),"")</f>
        <v/>
      </c>
      <c r="Y101" s="81" t="str">
        <f>IF(AND(W101&lt;&gt;-1,X101&lt;&gt;-1,W101&lt;&gt;"",X101&lt;&gt;"",AA101&lt;&gt;-1,Z101&lt;&gt;-1,AA101&lt;&gt;"",Z101&lt;&gt;""),(W101+X101)/2+(AA101-Z101)/(4*COS(0.5)*$AE$5),"")</f>
        <v/>
      </c>
      <c r="Z101" s="70" t="str">
        <f>IF(S101&lt;&gt;"",IF($S101&lt;&gt;"",((($S101*COS(0.5))*$AE$5)/100),-1),"")</f>
        <v/>
      </c>
      <c r="AA101" s="65" t="str">
        <f>IF(T101&lt;&gt;"",IF($T101&lt;&gt;"",((($T101*COS(0.5))*$AE$5)/100),-1),"")</f>
        <v/>
      </c>
      <c r="AB101" s="66" t="str">
        <f>IF(Y101&lt;&gt;"",2*COS(0.5)*$AE$5*(X101-W101)/2+(AA101+Z101)/2,"")</f>
        <v/>
      </c>
      <c r="AC101" s="5"/>
      <c r="AE101" s="51"/>
      <c r="AI101" s="6"/>
      <c r="AJ101" s="6"/>
      <c r="AK101" s="6"/>
      <c r="AL101" s="21"/>
      <c r="AM101" s="21"/>
      <c r="AN101" s="21"/>
      <c r="AO101" s="21"/>
      <c r="AP101" s="21"/>
      <c r="AQ101" s="21"/>
      <c r="AR101" s="21"/>
      <c r="AS101" s="21"/>
      <c r="AV101" s="21"/>
      <c r="AW101" s="21"/>
      <c r="AX101" s="21"/>
      <c r="AY101" s="21"/>
      <c r="AZ101" s="21"/>
      <c r="BA101" s="21"/>
      <c r="BB101" s="21"/>
      <c r="BC101" s="21"/>
    </row>
    <row r="102" spans="1:55" x14ac:dyDescent="0.25">
      <c r="A102" s="37"/>
      <c r="B102" s="38"/>
      <c r="C102" s="37"/>
      <c r="D102" s="2"/>
      <c r="E102" s="2"/>
      <c r="F102" s="38"/>
      <c r="G102" s="37"/>
      <c r="H102" s="2"/>
      <c r="I102" s="3"/>
      <c r="J102" s="90" t="str">
        <f>IF(C102&lt;&gt;"",$C102/'Elements and ions'!$B$12,"")</f>
        <v/>
      </c>
      <c r="K102" s="65" t="str">
        <f>IF(D102&lt;&gt;"",$D102/'Elements and ions'!$B$20,"")</f>
        <v/>
      </c>
      <c r="L102" s="65" t="str">
        <f>IF(E102&lt;&gt;"",$E102/'Elements and ions'!$B$21*2,"")</f>
        <v/>
      </c>
      <c r="M102" s="81" t="str">
        <f>IF(F102&lt;&gt;"",$F102/'Elements and ions'!$B$13*2,"")</f>
        <v/>
      </c>
      <c r="N102" s="80" t="str">
        <f>IF(G102&lt;&gt;"",-$G102/'Elements and ions'!$F$3,"")</f>
        <v/>
      </c>
      <c r="O102" s="65" t="str">
        <f>IF(H102&lt;&gt;"",-$H102/'Elements and ions'!$B$18,"")</f>
        <v/>
      </c>
      <c r="P102" s="81" t="str">
        <f>IF(I102&lt;&gt;"",-2*$I102/'Elements and ions'!$F$4,"")</f>
        <v/>
      </c>
      <c r="Q102" s="80" t="str">
        <f t="shared" si="25"/>
        <v/>
      </c>
      <c r="R102" s="65" t="str">
        <f t="shared" si="26"/>
        <v/>
      </c>
      <c r="S102" s="81" t="str">
        <f t="shared" si="27"/>
        <v/>
      </c>
      <c r="T102" s="80" t="str">
        <f t="shared" si="28"/>
        <v/>
      </c>
      <c r="U102" s="65" t="str">
        <f t="shared" si="29"/>
        <v/>
      </c>
      <c r="V102" s="91" t="str">
        <f t="shared" si="30"/>
        <v/>
      </c>
      <c r="W102" s="70" t="str">
        <f t="shared" si="31"/>
        <v/>
      </c>
      <c r="X102" s="65" t="str">
        <f>IF(V102&lt;&gt;"",IF($V102&lt;&gt;0,(($V102+(0.5*T102))/100+1+$AE$9),-1),"")</f>
        <v/>
      </c>
      <c r="Y102" s="81" t="str">
        <f>IF(AND(W102&lt;&gt;-1,X102&lt;&gt;-1,W102&lt;&gt;"",X102&lt;&gt;"",AA102&lt;&gt;-1,Z102&lt;&gt;-1,AA102&lt;&gt;"",Z102&lt;&gt;""),(W102+X102)/2+(AA102-Z102)/(4*COS(0.5)*$AE$5),"")</f>
        <v/>
      </c>
      <c r="Z102" s="70" t="str">
        <f>IF(S102&lt;&gt;"",IF($S102&lt;&gt;"",((($S102*COS(0.5))*$AE$5)/100),-1),"")</f>
        <v/>
      </c>
      <c r="AA102" s="65" t="str">
        <f>IF(T102&lt;&gt;"",IF($T102&lt;&gt;"",((($T102*COS(0.5))*$AE$5)/100),-1),"")</f>
        <v/>
      </c>
      <c r="AB102" s="66" t="str">
        <f>IF(Y102&lt;&gt;"",2*COS(0.5)*$AE$5*(X102-W102)/2+(AA102+Z102)/2,"")</f>
        <v/>
      </c>
      <c r="AC102" s="5"/>
      <c r="AE102" s="51"/>
      <c r="AI102" s="6"/>
      <c r="AJ102" s="6"/>
      <c r="AK102" s="6"/>
      <c r="AL102" s="21"/>
      <c r="AM102" s="21"/>
      <c r="AN102" s="21"/>
      <c r="AO102" s="21"/>
      <c r="AP102" s="21"/>
      <c r="AQ102" s="21"/>
      <c r="AR102" s="21"/>
      <c r="AS102" s="21"/>
      <c r="AV102" s="21"/>
      <c r="AW102" s="21"/>
      <c r="AX102" s="21"/>
      <c r="AY102" s="21"/>
      <c r="AZ102" s="21"/>
      <c r="BA102" s="21"/>
      <c r="BB102" s="21"/>
      <c r="BC102" s="21"/>
    </row>
    <row r="103" spans="1:55" x14ac:dyDescent="0.25">
      <c r="A103" s="37"/>
      <c r="B103" s="38"/>
      <c r="C103" s="37"/>
      <c r="D103" s="2"/>
      <c r="E103" s="2"/>
      <c r="F103" s="38"/>
      <c r="G103" s="37"/>
      <c r="H103" s="2"/>
      <c r="I103" s="3"/>
      <c r="J103" s="90" t="str">
        <f>IF(C103&lt;&gt;"",$C103/'Elements and ions'!$B$12,"")</f>
        <v/>
      </c>
      <c r="K103" s="65" t="str">
        <f>IF(D103&lt;&gt;"",$D103/'Elements and ions'!$B$20,"")</f>
        <v/>
      </c>
      <c r="L103" s="65" t="str">
        <f>IF(E103&lt;&gt;"",$E103/'Elements and ions'!$B$21*2,"")</f>
        <v/>
      </c>
      <c r="M103" s="81" t="str">
        <f>IF(F103&lt;&gt;"",$F103/'Elements and ions'!$B$13*2,"")</f>
        <v/>
      </c>
      <c r="N103" s="80" t="str">
        <f>IF(G103&lt;&gt;"",-$G103/'Elements and ions'!$F$3,"")</f>
        <v/>
      </c>
      <c r="O103" s="65" t="str">
        <f>IF(H103&lt;&gt;"",-$H103/'Elements and ions'!$B$18,"")</f>
        <v/>
      </c>
      <c r="P103" s="81" t="str">
        <f>IF(I103&lt;&gt;"",-2*$I103/'Elements and ions'!$F$4,"")</f>
        <v/>
      </c>
      <c r="Q103" s="80" t="str">
        <f t="shared" si="25"/>
        <v/>
      </c>
      <c r="R103" s="65" t="str">
        <f t="shared" si="26"/>
        <v/>
      </c>
      <c r="S103" s="81" t="str">
        <f t="shared" si="27"/>
        <v/>
      </c>
      <c r="T103" s="80" t="str">
        <f t="shared" si="28"/>
        <v/>
      </c>
      <c r="U103" s="65" t="str">
        <f t="shared" si="29"/>
        <v/>
      </c>
      <c r="V103" s="91" t="str">
        <f t="shared" si="30"/>
        <v/>
      </c>
      <c r="W103" s="70" t="str">
        <f t="shared" si="31"/>
        <v/>
      </c>
      <c r="X103" s="65" t="str">
        <f>IF(V103&lt;&gt;"",IF($V103&lt;&gt;0,(($V103+(0.5*T103))/100+1+$AE$9),-1),"")</f>
        <v/>
      </c>
      <c r="Y103" s="81" t="str">
        <f>IF(AND(W103&lt;&gt;-1,X103&lt;&gt;-1,W103&lt;&gt;"",X103&lt;&gt;"",AA103&lt;&gt;-1,Z103&lt;&gt;-1,AA103&lt;&gt;"",Z103&lt;&gt;""),(W103+X103)/2+(AA103-Z103)/(4*COS(0.5)*$AE$5),"")</f>
        <v/>
      </c>
      <c r="Z103" s="70" t="str">
        <f>IF(S103&lt;&gt;"",IF($S103&lt;&gt;"",((($S103*COS(0.5))*$AE$5)/100),-1),"")</f>
        <v/>
      </c>
      <c r="AA103" s="65" t="str">
        <f>IF(T103&lt;&gt;"",IF($T103&lt;&gt;"",((($T103*COS(0.5))*$AE$5)/100),-1),"")</f>
        <v/>
      </c>
      <c r="AB103" s="66" t="str">
        <f>IF(Y103&lt;&gt;"",2*COS(0.5)*$AE$5*(X103-W103)/2+(AA103+Z103)/2,"")</f>
        <v/>
      </c>
      <c r="AC103" s="5"/>
      <c r="AE103" s="51"/>
      <c r="AI103" s="6"/>
      <c r="AJ103" s="6"/>
      <c r="AK103" s="6"/>
      <c r="AL103" s="21"/>
      <c r="AM103" s="21"/>
      <c r="AN103" s="21"/>
      <c r="AO103" s="21"/>
      <c r="AP103" s="21"/>
      <c r="AQ103" s="21"/>
      <c r="AR103" s="21"/>
      <c r="AS103" s="21"/>
      <c r="AV103" s="21"/>
      <c r="AW103" s="21"/>
      <c r="AX103" s="21"/>
      <c r="AY103" s="21"/>
      <c r="AZ103" s="21"/>
      <c r="BA103" s="21"/>
      <c r="BB103" s="21"/>
      <c r="BC103" s="21"/>
    </row>
    <row r="104" spans="1:55" x14ac:dyDescent="0.25">
      <c r="A104" s="37"/>
      <c r="B104" s="38"/>
      <c r="C104" s="37"/>
      <c r="D104" s="2"/>
      <c r="E104" s="2"/>
      <c r="F104" s="38"/>
      <c r="G104" s="37"/>
      <c r="H104" s="2"/>
      <c r="I104" s="3"/>
      <c r="J104" s="90" t="str">
        <f>IF(C104&lt;&gt;"",$C104/'Elements and ions'!$B$12,"")</f>
        <v/>
      </c>
      <c r="K104" s="65" t="str">
        <f>IF(D104&lt;&gt;"",$D104/'Elements and ions'!$B$20,"")</f>
        <v/>
      </c>
      <c r="L104" s="65" t="str">
        <f>IF(E104&lt;&gt;"",$E104/'Elements and ions'!$B$21*2,"")</f>
        <v/>
      </c>
      <c r="M104" s="81" t="str">
        <f>IF(F104&lt;&gt;"",$F104/'Elements and ions'!$B$13*2,"")</f>
        <v/>
      </c>
      <c r="N104" s="80" t="str">
        <f>IF(G104&lt;&gt;"",-$G104/'Elements and ions'!$F$3,"")</f>
        <v/>
      </c>
      <c r="O104" s="65" t="str">
        <f>IF(H104&lt;&gt;"",-$H104/'Elements and ions'!$B$18,"")</f>
        <v/>
      </c>
      <c r="P104" s="81" t="str">
        <f>IF(I104&lt;&gt;"",-2*$I104/'Elements and ions'!$F$4,"")</f>
        <v/>
      </c>
      <c r="Q104" s="80" t="str">
        <f t="shared" si="25"/>
        <v/>
      </c>
      <c r="R104" s="65" t="str">
        <f t="shared" si="26"/>
        <v/>
      </c>
      <c r="S104" s="81" t="str">
        <f t="shared" si="27"/>
        <v/>
      </c>
      <c r="T104" s="80" t="str">
        <f t="shared" si="28"/>
        <v/>
      </c>
      <c r="U104" s="65" t="str">
        <f t="shared" si="29"/>
        <v/>
      </c>
      <c r="V104" s="91" t="str">
        <f t="shared" si="30"/>
        <v/>
      </c>
      <c r="W104" s="70" t="str">
        <f t="shared" si="31"/>
        <v/>
      </c>
      <c r="X104" s="65" t="str">
        <f>IF(V104&lt;&gt;"",IF($V104&lt;&gt;0,(($V104+(0.5*T104))/100+1+$AE$9),-1),"")</f>
        <v/>
      </c>
      <c r="Y104" s="81" t="str">
        <f>IF(AND(W104&lt;&gt;-1,X104&lt;&gt;-1,W104&lt;&gt;"",X104&lt;&gt;"",AA104&lt;&gt;-1,Z104&lt;&gt;-1,AA104&lt;&gt;"",Z104&lt;&gt;""),(W104+X104)/2+(AA104-Z104)/(4*COS(0.5)*$AE$5),"")</f>
        <v/>
      </c>
      <c r="Z104" s="70" t="str">
        <f>IF(S104&lt;&gt;"",IF($S104&lt;&gt;"",((($S104*COS(0.5))*$AE$5)/100),-1),"")</f>
        <v/>
      </c>
      <c r="AA104" s="65" t="str">
        <f>IF(T104&lt;&gt;"",IF($T104&lt;&gt;"",((($T104*COS(0.5))*$AE$5)/100),-1),"")</f>
        <v/>
      </c>
      <c r="AB104" s="66" t="str">
        <f>IF(Y104&lt;&gt;"",2*COS(0.5)*$AE$5*(X104-W104)/2+(AA104+Z104)/2,"")</f>
        <v/>
      </c>
      <c r="AC104" s="5"/>
      <c r="AE104" s="51"/>
      <c r="AI104" s="6"/>
      <c r="AJ104" s="6"/>
      <c r="AK104" s="6"/>
      <c r="AL104" s="21"/>
      <c r="AM104" s="21"/>
      <c r="AN104" s="21"/>
      <c r="AO104" s="21"/>
      <c r="AP104" s="21"/>
      <c r="AQ104" s="21"/>
      <c r="AR104" s="21"/>
      <c r="AS104" s="21"/>
      <c r="AV104" s="21"/>
      <c r="AW104" s="21"/>
      <c r="AX104" s="21"/>
      <c r="AY104" s="21"/>
      <c r="AZ104" s="21"/>
      <c r="BA104" s="21"/>
      <c r="BB104" s="21"/>
      <c r="BC104" s="21"/>
    </row>
    <row r="105" spans="1:55" x14ac:dyDescent="0.25">
      <c r="A105" s="37"/>
      <c r="B105" s="38"/>
      <c r="C105" s="37"/>
      <c r="D105" s="2"/>
      <c r="E105" s="2"/>
      <c r="F105" s="38"/>
      <c r="G105" s="37"/>
      <c r="H105" s="2"/>
      <c r="I105" s="3"/>
      <c r="J105" s="90" t="str">
        <f>IF(C105&lt;&gt;"",$C105/'Elements and ions'!$B$12,"")</f>
        <v/>
      </c>
      <c r="K105" s="65" t="str">
        <f>IF(D105&lt;&gt;"",$D105/'Elements and ions'!$B$20,"")</f>
        <v/>
      </c>
      <c r="L105" s="65" t="str">
        <f>IF(E105&lt;&gt;"",$E105/'Elements and ions'!$B$21*2,"")</f>
        <v/>
      </c>
      <c r="M105" s="81" t="str">
        <f>IF(F105&lt;&gt;"",$F105/'Elements and ions'!$B$13*2,"")</f>
        <v/>
      </c>
      <c r="N105" s="80" t="str">
        <f>IF(G105&lt;&gt;"",-$G105/'Elements and ions'!$F$3,"")</f>
        <v/>
      </c>
      <c r="O105" s="65" t="str">
        <f>IF(H105&lt;&gt;"",-$H105/'Elements and ions'!$B$18,"")</f>
        <v/>
      </c>
      <c r="P105" s="81" t="str">
        <f>IF(I105&lt;&gt;"",-2*$I105/'Elements and ions'!$F$4,"")</f>
        <v/>
      </c>
      <c r="Q105" s="80" t="str">
        <f t="shared" si="25"/>
        <v/>
      </c>
      <c r="R105" s="65" t="str">
        <f t="shared" si="26"/>
        <v/>
      </c>
      <c r="S105" s="81" t="str">
        <f t="shared" si="27"/>
        <v/>
      </c>
      <c r="T105" s="80" t="str">
        <f t="shared" si="28"/>
        <v/>
      </c>
      <c r="U105" s="65" t="str">
        <f t="shared" si="29"/>
        <v/>
      </c>
      <c r="V105" s="91" t="str">
        <f t="shared" si="30"/>
        <v/>
      </c>
      <c r="W105" s="70" t="str">
        <f t="shared" si="31"/>
        <v/>
      </c>
      <c r="X105" s="65" t="str">
        <f>IF(V105&lt;&gt;"",IF($V105&lt;&gt;0,(($V105+(0.5*T105))/100+1+$AE$9),-1),"")</f>
        <v/>
      </c>
      <c r="Y105" s="81" t="str">
        <f>IF(AND(W105&lt;&gt;-1,X105&lt;&gt;-1,W105&lt;&gt;"",X105&lt;&gt;"",AA105&lt;&gt;-1,Z105&lt;&gt;-1,AA105&lt;&gt;"",Z105&lt;&gt;""),(W105+X105)/2+(AA105-Z105)/(4*COS(0.5)*$AE$5),"")</f>
        <v/>
      </c>
      <c r="Z105" s="70" t="str">
        <f>IF(S105&lt;&gt;"",IF($S105&lt;&gt;"",((($S105*COS(0.5))*$AE$5)/100),-1),"")</f>
        <v/>
      </c>
      <c r="AA105" s="65" t="str">
        <f>IF(T105&lt;&gt;"",IF($T105&lt;&gt;"",((($T105*COS(0.5))*$AE$5)/100),-1),"")</f>
        <v/>
      </c>
      <c r="AB105" s="66" t="str">
        <f>IF(Y105&lt;&gt;"",2*COS(0.5)*$AE$5*(X105-W105)/2+(AA105+Z105)/2,"")</f>
        <v/>
      </c>
      <c r="AC105" s="5"/>
      <c r="AE105" s="51"/>
      <c r="AI105" s="6"/>
      <c r="AJ105" s="6"/>
      <c r="AK105" s="6"/>
      <c r="AL105" s="21"/>
      <c r="AM105" s="21"/>
      <c r="AN105" s="21"/>
      <c r="AO105" s="21"/>
      <c r="AP105" s="21"/>
      <c r="AQ105" s="21"/>
      <c r="AR105" s="21"/>
      <c r="AS105" s="21"/>
      <c r="AV105" s="21"/>
      <c r="AW105" s="21"/>
      <c r="AX105" s="21"/>
      <c r="AY105" s="21"/>
      <c r="AZ105" s="21"/>
      <c r="BA105" s="21"/>
      <c r="BB105" s="21"/>
      <c r="BC105" s="21"/>
    </row>
    <row r="106" spans="1:55" x14ac:dyDescent="0.25">
      <c r="A106" s="37"/>
      <c r="B106" s="38"/>
      <c r="C106" s="37"/>
      <c r="D106" s="2"/>
      <c r="E106" s="2"/>
      <c r="F106" s="38"/>
      <c r="G106" s="37"/>
      <c r="H106" s="2"/>
      <c r="I106" s="3"/>
      <c r="J106" s="90" t="str">
        <f>IF(C106&lt;&gt;"",$C106/'Elements and ions'!$B$12,"")</f>
        <v/>
      </c>
      <c r="K106" s="65" t="str">
        <f>IF(D106&lt;&gt;"",$D106/'Elements and ions'!$B$20,"")</f>
        <v/>
      </c>
      <c r="L106" s="65" t="str">
        <f>IF(E106&lt;&gt;"",$E106/'Elements and ions'!$B$21*2,"")</f>
        <v/>
      </c>
      <c r="M106" s="81" t="str">
        <f>IF(F106&lt;&gt;"",$F106/'Elements and ions'!$B$13*2,"")</f>
        <v/>
      </c>
      <c r="N106" s="80" t="str">
        <f>IF(G106&lt;&gt;"",-$G106/'Elements and ions'!$F$3,"")</f>
        <v/>
      </c>
      <c r="O106" s="65" t="str">
        <f>IF(H106&lt;&gt;"",-$H106/'Elements and ions'!$B$18,"")</f>
        <v/>
      </c>
      <c r="P106" s="81" t="str">
        <f>IF(I106&lt;&gt;"",-2*$I106/'Elements and ions'!$F$4,"")</f>
        <v/>
      </c>
      <c r="Q106" s="80" t="str">
        <f t="shared" si="25"/>
        <v/>
      </c>
      <c r="R106" s="65" t="str">
        <f t="shared" si="26"/>
        <v/>
      </c>
      <c r="S106" s="81" t="str">
        <f t="shared" si="27"/>
        <v/>
      </c>
      <c r="T106" s="80" t="str">
        <f t="shared" si="28"/>
        <v/>
      </c>
      <c r="U106" s="65" t="str">
        <f t="shared" si="29"/>
        <v/>
      </c>
      <c r="V106" s="91" t="str">
        <f t="shared" si="30"/>
        <v/>
      </c>
      <c r="W106" s="70" t="str">
        <f t="shared" si="31"/>
        <v/>
      </c>
      <c r="X106" s="65" t="str">
        <f>IF(V106&lt;&gt;"",IF($V106&lt;&gt;0,(($V106+(0.5*T106))/100+1+$AE$9),-1),"")</f>
        <v/>
      </c>
      <c r="Y106" s="81" t="str">
        <f>IF(AND(W106&lt;&gt;-1,X106&lt;&gt;-1,W106&lt;&gt;"",X106&lt;&gt;"",AA106&lt;&gt;-1,Z106&lt;&gt;-1,AA106&lt;&gt;"",Z106&lt;&gt;""),(W106+X106)/2+(AA106-Z106)/(4*COS(0.5)*$AE$5),"")</f>
        <v/>
      </c>
      <c r="Z106" s="70" t="str">
        <f>IF(S106&lt;&gt;"",IF($S106&lt;&gt;"",((($S106*COS(0.5))*$AE$5)/100),-1),"")</f>
        <v/>
      </c>
      <c r="AA106" s="65" t="str">
        <f>IF(T106&lt;&gt;"",IF($T106&lt;&gt;"",((($T106*COS(0.5))*$AE$5)/100),-1),"")</f>
        <v/>
      </c>
      <c r="AB106" s="66" t="str">
        <f>IF(Y106&lt;&gt;"",2*COS(0.5)*$AE$5*(X106-W106)/2+(AA106+Z106)/2,"")</f>
        <v/>
      </c>
      <c r="AC106" s="5"/>
      <c r="AE106" s="51"/>
      <c r="AI106" s="6"/>
      <c r="AJ106" s="6"/>
      <c r="AK106" s="6"/>
      <c r="AL106" s="21"/>
      <c r="AM106" s="21"/>
      <c r="AN106" s="21"/>
      <c r="AO106" s="21"/>
      <c r="AP106" s="21"/>
      <c r="AQ106" s="21"/>
      <c r="AR106" s="21"/>
      <c r="AS106" s="21"/>
      <c r="AV106" s="21"/>
      <c r="AW106" s="21"/>
      <c r="AX106" s="21"/>
      <c r="AY106" s="21"/>
      <c r="AZ106" s="21"/>
      <c r="BA106" s="21"/>
      <c r="BB106" s="21"/>
      <c r="BC106" s="21"/>
    </row>
    <row r="107" spans="1:55" x14ac:dyDescent="0.25">
      <c r="A107" s="37"/>
      <c r="B107" s="38"/>
      <c r="C107" s="37"/>
      <c r="D107" s="2"/>
      <c r="E107" s="2"/>
      <c r="F107" s="38"/>
      <c r="G107" s="37"/>
      <c r="H107" s="2"/>
      <c r="I107" s="3"/>
      <c r="J107" s="90" t="str">
        <f>IF(C107&lt;&gt;"",$C107/'Elements and ions'!$B$12,"")</f>
        <v/>
      </c>
      <c r="K107" s="65" t="str">
        <f>IF(D107&lt;&gt;"",$D107/'Elements and ions'!$B$20,"")</f>
        <v/>
      </c>
      <c r="L107" s="65" t="str">
        <f>IF(E107&lt;&gt;"",$E107/'Elements and ions'!$B$21*2,"")</f>
        <v/>
      </c>
      <c r="M107" s="81" t="str">
        <f>IF(F107&lt;&gt;"",$F107/'Elements and ions'!$B$13*2,"")</f>
        <v/>
      </c>
      <c r="N107" s="80" t="str">
        <f>IF(G107&lt;&gt;"",-$G107/'Elements and ions'!$F$3,"")</f>
        <v/>
      </c>
      <c r="O107" s="65" t="str">
        <f>IF(H107&lt;&gt;"",-$H107/'Elements and ions'!$B$18,"")</f>
        <v/>
      </c>
      <c r="P107" s="81" t="str">
        <f>IF(I107&lt;&gt;"",-2*$I107/'Elements and ions'!$F$4,"")</f>
        <v/>
      </c>
      <c r="Q107" s="80" t="str">
        <f t="shared" si="25"/>
        <v/>
      </c>
      <c r="R107" s="65" t="str">
        <f t="shared" si="26"/>
        <v/>
      </c>
      <c r="S107" s="81" t="str">
        <f t="shared" si="27"/>
        <v/>
      </c>
      <c r="T107" s="80" t="str">
        <f t="shared" si="28"/>
        <v/>
      </c>
      <c r="U107" s="65" t="str">
        <f t="shared" si="29"/>
        <v/>
      </c>
      <c r="V107" s="91" t="str">
        <f t="shared" si="30"/>
        <v/>
      </c>
      <c r="W107" s="70" t="str">
        <f t="shared" si="31"/>
        <v/>
      </c>
      <c r="X107" s="65" t="str">
        <f>IF(V107&lt;&gt;"",IF($V107&lt;&gt;0,(($V107+(0.5*T107))/100+1+$AE$9),-1),"")</f>
        <v/>
      </c>
      <c r="Y107" s="81" t="str">
        <f>IF(AND(W107&lt;&gt;-1,X107&lt;&gt;-1,W107&lt;&gt;"",X107&lt;&gt;"",AA107&lt;&gt;-1,Z107&lt;&gt;-1,AA107&lt;&gt;"",Z107&lt;&gt;""),(W107+X107)/2+(AA107-Z107)/(4*COS(0.5)*$AE$5),"")</f>
        <v/>
      </c>
      <c r="Z107" s="70" t="str">
        <f>IF(S107&lt;&gt;"",IF($S107&lt;&gt;"",((($S107*COS(0.5))*$AE$5)/100),-1),"")</f>
        <v/>
      </c>
      <c r="AA107" s="65" t="str">
        <f>IF(T107&lt;&gt;"",IF($T107&lt;&gt;"",((($T107*COS(0.5))*$AE$5)/100),-1),"")</f>
        <v/>
      </c>
      <c r="AB107" s="66" t="str">
        <f>IF(Y107&lt;&gt;"",2*COS(0.5)*$AE$5*(X107-W107)/2+(AA107+Z107)/2,"")</f>
        <v/>
      </c>
      <c r="AC107" s="5"/>
      <c r="AE107" s="51"/>
      <c r="AI107" s="6"/>
      <c r="AJ107" s="6"/>
      <c r="AK107" s="6"/>
      <c r="AL107" s="21"/>
      <c r="AM107" s="21"/>
      <c r="AN107" s="21"/>
      <c r="AO107" s="21"/>
      <c r="AP107" s="21"/>
      <c r="AQ107" s="21"/>
      <c r="AR107" s="21"/>
      <c r="AS107" s="21"/>
      <c r="AV107" s="21"/>
      <c r="AW107" s="21"/>
      <c r="AX107" s="21"/>
      <c r="AY107" s="21"/>
      <c r="AZ107" s="21"/>
      <c r="BA107" s="21"/>
      <c r="BB107" s="21"/>
      <c r="BC107" s="21"/>
    </row>
    <row r="108" spans="1:55" x14ac:dyDescent="0.25">
      <c r="A108" s="37"/>
      <c r="B108" s="38"/>
      <c r="C108" s="37"/>
      <c r="D108" s="2"/>
      <c r="E108" s="2"/>
      <c r="F108" s="38"/>
      <c r="G108" s="37"/>
      <c r="H108" s="2"/>
      <c r="I108" s="3"/>
      <c r="J108" s="90" t="str">
        <f>IF(C108&lt;&gt;"",$C108/'Elements and ions'!$B$12,"")</f>
        <v/>
      </c>
      <c r="K108" s="65" t="str">
        <f>IF(D108&lt;&gt;"",$D108/'Elements and ions'!$B$20,"")</f>
        <v/>
      </c>
      <c r="L108" s="65" t="str">
        <f>IF(E108&lt;&gt;"",$E108/'Elements and ions'!$B$21*2,"")</f>
        <v/>
      </c>
      <c r="M108" s="81" t="str">
        <f>IF(F108&lt;&gt;"",$F108/'Elements and ions'!$B$13*2,"")</f>
        <v/>
      </c>
      <c r="N108" s="80" t="str">
        <f>IF(G108&lt;&gt;"",-$G108/'Elements and ions'!$F$3,"")</f>
        <v/>
      </c>
      <c r="O108" s="65" t="str">
        <f>IF(H108&lt;&gt;"",-$H108/'Elements and ions'!$B$18,"")</f>
        <v/>
      </c>
      <c r="P108" s="81" t="str">
        <f>IF(I108&lt;&gt;"",-2*$I108/'Elements and ions'!$F$4,"")</f>
        <v/>
      </c>
      <c r="Q108" s="80" t="str">
        <f t="shared" si="25"/>
        <v/>
      </c>
      <c r="R108" s="65" t="str">
        <f t="shared" si="26"/>
        <v/>
      </c>
      <c r="S108" s="81" t="str">
        <f t="shared" si="27"/>
        <v/>
      </c>
      <c r="T108" s="80" t="str">
        <f t="shared" si="28"/>
        <v/>
      </c>
      <c r="U108" s="65" t="str">
        <f t="shared" si="29"/>
        <v/>
      </c>
      <c r="V108" s="91" t="str">
        <f t="shared" si="30"/>
        <v/>
      </c>
      <c r="W108" s="70" t="str">
        <f t="shared" si="31"/>
        <v/>
      </c>
      <c r="X108" s="65" t="str">
        <f>IF(V108&lt;&gt;"",IF($V108&lt;&gt;0,(($V108+(0.5*T108))/100+1+$AE$9),-1),"")</f>
        <v/>
      </c>
      <c r="Y108" s="81" t="str">
        <f>IF(AND(W108&lt;&gt;-1,X108&lt;&gt;-1,W108&lt;&gt;"",X108&lt;&gt;"",AA108&lt;&gt;-1,Z108&lt;&gt;-1,AA108&lt;&gt;"",Z108&lt;&gt;""),(W108+X108)/2+(AA108-Z108)/(4*COS(0.5)*$AE$5),"")</f>
        <v/>
      </c>
      <c r="Z108" s="70" t="str">
        <f>IF(S108&lt;&gt;"",IF($S108&lt;&gt;"",((($S108*COS(0.5))*$AE$5)/100),-1),"")</f>
        <v/>
      </c>
      <c r="AA108" s="65" t="str">
        <f>IF(T108&lt;&gt;"",IF($T108&lt;&gt;"",((($T108*COS(0.5))*$AE$5)/100),-1),"")</f>
        <v/>
      </c>
      <c r="AB108" s="66" t="str">
        <f>IF(Y108&lt;&gt;"",2*COS(0.5)*$AE$5*(X108-W108)/2+(AA108+Z108)/2,"")</f>
        <v/>
      </c>
      <c r="AC108" s="5"/>
      <c r="AE108" s="51"/>
      <c r="AI108" s="6"/>
      <c r="AJ108" s="6"/>
      <c r="AK108" s="6"/>
      <c r="AL108" s="21"/>
      <c r="AM108" s="21"/>
      <c r="AN108" s="21"/>
      <c r="AO108" s="21"/>
      <c r="AP108" s="21"/>
      <c r="AQ108" s="21"/>
      <c r="AR108" s="21"/>
      <c r="AS108" s="21"/>
      <c r="AV108" s="21"/>
      <c r="AW108" s="21"/>
      <c r="AX108" s="21"/>
      <c r="AY108" s="21"/>
      <c r="AZ108" s="21"/>
      <c r="BA108" s="21"/>
      <c r="BB108" s="21"/>
      <c r="BC108" s="21"/>
    </row>
    <row r="109" spans="1:55" x14ac:dyDescent="0.25">
      <c r="A109" s="37"/>
      <c r="B109" s="38"/>
      <c r="C109" s="37"/>
      <c r="D109" s="2"/>
      <c r="E109" s="2"/>
      <c r="F109" s="38"/>
      <c r="G109" s="37"/>
      <c r="H109" s="2"/>
      <c r="I109" s="3"/>
      <c r="J109" s="90" t="str">
        <f>IF(C109&lt;&gt;"",$C109/'Elements and ions'!$B$12,"")</f>
        <v/>
      </c>
      <c r="K109" s="65" t="str">
        <f>IF(D109&lt;&gt;"",$D109/'Elements and ions'!$B$20,"")</f>
        <v/>
      </c>
      <c r="L109" s="65" t="str">
        <f>IF(E109&lt;&gt;"",$E109/'Elements and ions'!$B$21*2,"")</f>
        <v/>
      </c>
      <c r="M109" s="81" t="str">
        <f>IF(F109&lt;&gt;"",$F109/'Elements and ions'!$B$13*2,"")</f>
        <v/>
      </c>
      <c r="N109" s="80" t="str">
        <f>IF(G109&lt;&gt;"",-$G109/'Elements and ions'!$F$3,"")</f>
        <v/>
      </c>
      <c r="O109" s="65" t="str">
        <f>IF(H109&lt;&gt;"",-$H109/'Elements and ions'!$B$18,"")</f>
        <v/>
      </c>
      <c r="P109" s="81" t="str">
        <f>IF(I109&lt;&gt;"",-2*$I109/'Elements and ions'!$F$4,"")</f>
        <v/>
      </c>
      <c r="Q109" s="80" t="str">
        <f t="shared" si="25"/>
        <v/>
      </c>
      <c r="R109" s="65" t="str">
        <f t="shared" si="26"/>
        <v/>
      </c>
      <c r="S109" s="81" t="str">
        <f t="shared" si="27"/>
        <v/>
      </c>
      <c r="T109" s="80" t="str">
        <f t="shared" si="28"/>
        <v/>
      </c>
      <c r="U109" s="65" t="str">
        <f t="shared" si="29"/>
        <v/>
      </c>
      <c r="V109" s="91" t="str">
        <f t="shared" si="30"/>
        <v/>
      </c>
      <c r="W109" s="70" t="str">
        <f t="shared" si="31"/>
        <v/>
      </c>
      <c r="X109" s="65" t="str">
        <f>IF(V109&lt;&gt;"",IF($V109&lt;&gt;0,(($V109+(0.5*T109))/100+1+$AE$9),-1),"")</f>
        <v/>
      </c>
      <c r="Y109" s="81" t="str">
        <f>IF(AND(W109&lt;&gt;-1,X109&lt;&gt;-1,W109&lt;&gt;"",X109&lt;&gt;"",AA109&lt;&gt;-1,Z109&lt;&gt;-1,AA109&lt;&gt;"",Z109&lt;&gt;""),(W109+X109)/2+(AA109-Z109)/(4*COS(0.5)*$AE$5),"")</f>
        <v/>
      </c>
      <c r="Z109" s="70" t="str">
        <f>IF(S109&lt;&gt;"",IF($S109&lt;&gt;"",((($S109*COS(0.5))*$AE$5)/100),-1),"")</f>
        <v/>
      </c>
      <c r="AA109" s="65" t="str">
        <f>IF(T109&lt;&gt;"",IF($T109&lt;&gt;"",((($T109*COS(0.5))*$AE$5)/100),-1),"")</f>
        <v/>
      </c>
      <c r="AB109" s="66" t="str">
        <f>IF(Y109&lt;&gt;"",2*COS(0.5)*$AE$5*(X109-W109)/2+(AA109+Z109)/2,"")</f>
        <v/>
      </c>
      <c r="AC109" s="5"/>
      <c r="AE109" s="51"/>
      <c r="AI109" s="6"/>
      <c r="AJ109" s="6"/>
      <c r="AK109" s="6"/>
      <c r="AL109" s="21"/>
      <c r="AM109" s="21"/>
      <c r="AN109" s="21"/>
      <c r="AO109" s="21"/>
      <c r="AP109" s="21"/>
      <c r="AQ109" s="21"/>
      <c r="AR109" s="21"/>
      <c r="AS109" s="21"/>
      <c r="AV109" s="21"/>
      <c r="AW109" s="21"/>
      <c r="AX109" s="21"/>
      <c r="AY109" s="21"/>
      <c r="AZ109" s="21"/>
      <c r="BA109" s="21"/>
      <c r="BB109" s="21"/>
      <c r="BC109" s="21"/>
    </row>
    <row r="110" spans="1:55" x14ac:dyDescent="0.25">
      <c r="A110" s="37"/>
      <c r="B110" s="38"/>
      <c r="C110" s="37"/>
      <c r="D110" s="2"/>
      <c r="E110" s="2"/>
      <c r="F110" s="38"/>
      <c r="G110" s="37"/>
      <c r="H110" s="2"/>
      <c r="I110" s="3"/>
      <c r="J110" s="90" t="str">
        <f>IF(C110&lt;&gt;"",$C110/'Elements and ions'!$B$12,"")</f>
        <v/>
      </c>
      <c r="K110" s="65" t="str">
        <f>IF(D110&lt;&gt;"",$D110/'Elements and ions'!$B$20,"")</f>
        <v/>
      </c>
      <c r="L110" s="65" t="str">
        <f>IF(E110&lt;&gt;"",$E110/'Elements and ions'!$B$21*2,"")</f>
        <v/>
      </c>
      <c r="M110" s="81" t="str">
        <f>IF(F110&lt;&gt;"",$F110/'Elements and ions'!$B$13*2,"")</f>
        <v/>
      </c>
      <c r="N110" s="80" t="str">
        <f>IF(G110&lt;&gt;"",-$G110/'Elements and ions'!$F$3,"")</f>
        <v/>
      </c>
      <c r="O110" s="65" t="str">
        <f>IF(H110&lt;&gt;"",-$H110/'Elements and ions'!$B$18,"")</f>
        <v/>
      </c>
      <c r="P110" s="81" t="str">
        <f>IF(I110&lt;&gt;"",-2*$I110/'Elements and ions'!$F$4,"")</f>
        <v/>
      </c>
      <c r="Q110" s="80" t="str">
        <f t="shared" si="25"/>
        <v/>
      </c>
      <c r="R110" s="65" t="str">
        <f t="shared" si="26"/>
        <v/>
      </c>
      <c r="S110" s="81" t="str">
        <f t="shared" si="27"/>
        <v/>
      </c>
      <c r="T110" s="80" t="str">
        <f t="shared" si="28"/>
        <v/>
      </c>
      <c r="U110" s="65" t="str">
        <f t="shared" si="29"/>
        <v/>
      </c>
      <c r="V110" s="91" t="str">
        <f t="shared" si="30"/>
        <v/>
      </c>
      <c r="W110" s="70" t="str">
        <f t="shared" si="31"/>
        <v/>
      </c>
      <c r="X110" s="65" t="str">
        <f>IF(V110&lt;&gt;"",IF($V110&lt;&gt;0,(($V110+(0.5*T110))/100+1+$AE$9),-1),"")</f>
        <v/>
      </c>
      <c r="Y110" s="81" t="str">
        <f>IF(AND(W110&lt;&gt;-1,X110&lt;&gt;-1,W110&lt;&gt;"",X110&lt;&gt;"",AA110&lt;&gt;-1,Z110&lt;&gt;-1,AA110&lt;&gt;"",Z110&lt;&gt;""),(W110+X110)/2+(AA110-Z110)/(4*COS(0.5)*$AE$5),"")</f>
        <v/>
      </c>
      <c r="Z110" s="70" t="str">
        <f>IF(S110&lt;&gt;"",IF($S110&lt;&gt;"",((($S110*COS(0.5))*$AE$5)/100),-1),"")</f>
        <v/>
      </c>
      <c r="AA110" s="65" t="str">
        <f>IF(T110&lt;&gt;"",IF($T110&lt;&gt;"",((($T110*COS(0.5))*$AE$5)/100),-1),"")</f>
        <v/>
      </c>
      <c r="AB110" s="66" t="str">
        <f>IF(Y110&lt;&gt;"",2*COS(0.5)*$AE$5*(X110-W110)/2+(AA110+Z110)/2,"")</f>
        <v/>
      </c>
      <c r="AC110" s="5"/>
      <c r="AE110" s="51"/>
      <c r="AI110" s="6"/>
      <c r="AJ110" s="6"/>
      <c r="AK110" s="6"/>
      <c r="AL110" s="21"/>
      <c r="AM110" s="21"/>
      <c r="AN110" s="21"/>
      <c r="AO110" s="21"/>
      <c r="AP110" s="21"/>
      <c r="AQ110" s="21"/>
      <c r="AR110" s="21"/>
      <c r="AS110" s="21"/>
      <c r="AV110" s="21"/>
      <c r="AW110" s="21"/>
      <c r="AX110" s="21"/>
      <c r="AY110" s="21"/>
      <c r="AZ110" s="21"/>
      <c r="BA110" s="21"/>
      <c r="BB110" s="21"/>
      <c r="BC110" s="21"/>
    </row>
    <row r="111" spans="1:55" x14ac:dyDescent="0.25">
      <c r="A111" s="37"/>
      <c r="B111" s="38"/>
      <c r="C111" s="37"/>
      <c r="D111" s="2"/>
      <c r="E111" s="2"/>
      <c r="F111" s="38"/>
      <c r="G111" s="37"/>
      <c r="H111" s="2"/>
      <c r="I111" s="3"/>
      <c r="J111" s="90" t="str">
        <f>IF(C111&lt;&gt;"",$C111/'Elements and ions'!$B$12,"")</f>
        <v/>
      </c>
      <c r="K111" s="65" t="str">
        <f>IF(D111&lt;&gt;"",$D111/'Elements and ions'!$B$20,"")</f>
        <v/>
      </c>
      <c r="L111" s="65" t="str">
        <f>IF(E111&lt;&gt;"",$E111/'Elements and ions'!$B$21*2,"")</f>
        <v/>
      </c>
      <c r="M111" s="81" t="str">
        <f>IF(F111&lt;&gt;"",$F111/'Elements and ions'!$B$13*2,"")</f>
        <v/>
      </c>
      <c r="N111" s="80" t="str">
        <f>IF(G111&lt;&gt;"",-$G111/'Elements and ions'!$F$3,"")</f>
        <v/>
      </c>
      <c r="O111" s="65" t="str">
        <f>IF(H111&lt;&gt;"",-$H111/'Elements and ions'!$B$18,"")</f>
        <v/>
      </c>
      <c r="P111" s="81" t="str">
        <f>IF(I111&lt;&gt;"",-2*$I111/'Elements and ions'!$F$4,"")</f>
        <v/>
      </c>
      <c r="Q111" s="80" t="str">
        <f t="shared" si="25"/>
        <v/>
      </c>
      <c r="R111" s="65" t="str">
        <f t="shared" si="26"/>
        <v/>
      </c>
      <c r="S111" s="81" t="str">
        <f t="shared" si="27"/>
        <v/>
      </c>
      <c r="T111" s="80" t="str">
        <f t="shared" si="28"/>
        <v/>
      </c>
      <c r="U111" s="65" t="str">
        <f t="shared" si="29"/>
        <v/>
      </c>
      <c r="V111" s="91" t="str">
        <f t="shared" si="30"/>
        <v/>
      </c>
      <c r="W111" s="70" t="str">
        <f t="shared" si="31"/>
        <v/>
      </c>
      <c r="X111" s="65" t="str">
        <f>IF(V111&lt;&gt;"",IF($V111&lt;&gt;0,(($V111+(0.5*T111))/100+1+$AE$9),-1),"")</f>
        <v/>
      </c>
      <c r="Y111" s="81" t="str">
        <f>IF(AND(W111&lt;&gt;-1,X111&lt;&gt;-1,W111&lt;&gt;"",X111&lt;&gt;"",AA111&lt;&gt;-1,Z111&lt;&gt;-1,AA111&lt;&gt;"",Z111&lt;&gt;""),(W111+X111)/2+(AA111-Z111)/(4*COS(0.5)*$AE$5),"")</f>
        <v/>
      </c>
      <c r="Z111" s="70" t="str">
        <f>IF(S111&lt;&gt;"",IF($S111&lt;&gt;"",((($S111*COS(0.5))*$AE$5)/100),-1),"")</f>
        <v/>
      </c>
      <c r="AA111" s="65" t="str">
        <f>IF(T111&lt;&gt;"",IF($T111&lt;&gt;"",((($T111*COS(0.5))*$AE$5)/100),-1),"")</f>
        <v/>
      </c>
      <c r="AB111" s="66" t="str">
        <f>IF(Y111&lt;&gt;"",2*COS(0.5)*$AE$5*(X111-W111)/2+(AA111+Z111)/2,"")</f>
        <v/>
      </c>
      <c r="AC111" s="5"/>
      <c r="AE111" s="51" t="s">
        <v>138</v>
      </c>
      <c r="AI111" s="6"/>
      <c r="AJ111" s="6"/>
      <c r="AK111" s="6"/>
      <c r="AL111" s="21"/>
      <c r="AM111" s="21"/>
      <c r="AN111" s="21"/>
      <c r="AO111" s="21"/>
      <c r="AP111" s="21"/>
      <c r="AQ111" s="21"/>
      <c r="AR111" s="21"/>
      <c r="AS111" s="21"/>
      <c r="AV111" s="21"/>
      <c r="AW111" s="21"/>
      <c r="AX111" s="21"/>
      <c r="AY111" s="21"/>
      <c r="AZ111" s="21"/>
      <c r="BA111" s="21"/>
      <c r="BB111" s="21"/>
      <c r="BC111" s="21"/>
    </row>
    <row r="112" spans="1:55" x14ac:dyDescent="0.25">
      <c r="A112" s="37"/>
      <c r="B112" s="38"/>
      <c r="C112" s="37"/>
      <c r="D112" s="2"/>
      <c r="E112" s="2"/>
      <c r="F112" s="38"/>
      <c r="G112" s="37"/>
      <c r="H112" s="2"/>
      <c r="I112" s="3"/>
      <c r="J112" s="90" t="str">
        <f>IF(C112&lt;&gt;"",$C112/'Elements and ions'!$B$12,"")</f>
        <v/>
      </c>
      <c r="K112" s="65" t="str">
        <f>IF(D112&lt;&gt;"",$D112/'Elements and ions'!$B$20,"")</f>
        <v/>
      </c>
      <c r="L112" s="65" t="str">
        <f>IF(E112&lt;&gt;"",$E112/'Elements and ions'!$B$21*2,"")</f>
        <v/>
      </c>
      <c r="M112" s="81" t="str">
        <f>IF(F112&lt;&gt;"",$F112/'Elements and ions'!$B$13*2,"")</f>
        <v/>
      </c>
      <c r="N112" s="80" t="str">
        <f>IF(G112&lt;&gt;"",-$G112/'Elements and ions'!$F$3,"")</f>
        <v/>
      </c>
      <c r="O112" s="65" t="str">
        <f>IF(H112&lt;&gt;"",-$H112/'Elements and ions'!$B$18,"")</f>
        <v/>
      </c>
      <c r="P112" s="81" t="str">
        <f>IF(I112&lt;&gt;"",-2*$I112/'Elements and ions'!$F$4,"")</f>
        <v/>
      </c>
      <c r="Q112" s="80" t="str">
        <f t="shared" si="25"/>
        <v/>
      </c>
      <c r="R112" s="65" t="str">
        <f t="shared" si="26"/>
        <v/>
      </c>
      <c r="S112" s="81" t="str">
        <f t="shared" si="27"/>
        <v/>
      </c>
      <c r="T112" s="80" t="str">
        <f t="shared" si="28"/>
        <v/>
      </c>
      <c r="U112" s="65" t="str">
        <f t="shared" si="29"/>
        <v/>
      </c>
      <c r="V112" s="91" t="str">
        <f t="shared" si="30"/>
        <v/>
      </c>
      <c r="W112" s="70" t="str">
        <f t="shared" si="31"/>
        <v/>
      </c>
      <c r="X112" s="65" t="str">
        <f>IF(V112&lt;&gt;"",IF($V112&lt;&gt;0,(($V112+(0.5*T112))/100+1+$AE$9),-1),"")</f>
        <v/>
      </c>
      <c r="Y112" s="81" t="str">
        <f>IF(AND(W112&lt;&gt;-1,X112&lt;&gt;-1,W112&lt;&gt;"",X112&lt;&gt;"",AA112&lt;&gt;-1,Z112&lt;&gt;-1,AA112&lt;&gt;"",Z112&lt;&gt;""),(W112+X112)/2+(AA112-Z112)/(4*COS(0.5)*$AE$5),"")</f>
        <v/>
      </c>
      <c r="Z112" s="70" t="str">
        <f>IF(S112&lt;&gt;"",IF($S112&lt;&gt;"",((($S112*COS(0.5))*$AE$5)/100),-1),"")</f>
        <v/>
      </c>
      <c r="AA112" s="65" t="str">
        <f>IF(T112&lt;&gt;"",IF($T112&lt;&gt;"",((($T112*COS(0.5))*$AE$5)/100),-1),"")</f>
        <v/>
      </c>
      <c r="AB112" s="66" t="str">
        <f>IF(Y112&lt;&gt;"",2*COS(0.5)*$AE$5*(X112-W112)/2+(AA112+Z112)/2,"")</f>
        <v/>
      </c>
      <c r="AC112" s="5"/>
      <c r="AE112" s="51"/>
      <c r="AI112" s="6"/>
      <c r="AJ112" s="6"/>
      <c r="AK112" s="6"/>
      <c r="AL112" s="21"/>
      <c r="AM112" s="21"/>
      <c r="AN112" s="21"/>
      <c r="AO112" s="21"/>
      <c r="AP112" s="21"/>
      <c r="AQ112" s="21"/>
      <c r="AR112" s="21"/>
      <c r="AS112" s="21"/>
      <c r="AV112" s="21"/>
      <c r="AW112" s="21"/>
      <c r="AX112" s="21"/>
      <c r="AY112" s="21"/>
      <c r="AZ112" s="21"/>
      <c r="BA112" s="21"/>
      <c r="BB112" s="21"/>
      <c r="BC112" s="21"/>
    </row>
    <row r="113" spans="1:55" x14ac:dyDescent="0.25">
      <c r="A113" s="37"/>
      <c r="B113" s="38"/>
      <c r="C113" s="37"/>
      <c r="D113" s="2"/>
      <c r="E113" s="2"/>
      <c r="F113" s="38"/>
      <c r="G113" s="37"/>
      <c r="H113" s="2"/>
      <c r="I113" s="3"/>
      <c r="J113" s="90" t="str">
        <f>IF(C113&lt;&gt;"",$C113/'Elements and ions'!$B$12,"")</f>
        <v/>
      </c>
      <c r="K113" s="65" t="str">
        <f>IF(D113&lt;&gt;"",$D113/'Elements and ions'!$B$20,"")</f>
        <v/>
      </c>
      <c r="L113" s="65" t="str">
        <f>IF(E113&lt;&gt;"",$E113/'Elements and ions'!$B$21*2,"")</f>
        <v/>
      </c>
      <c r="M113" s="81" t="str">
        <f>IF(F113&lt;&gt;"",$F113/'Elements and ions'!$B$13*2,"")</f>
        <v/>
      </c>
      <c r="N113" s="80" t="str">
        <f>IF(G113&lt;&gt;"",-$G113/'Elements and ions'!$F$3,"")</f>
        <v/>
      </c>
      <c r="O113" s="65" t="str">
        <f>IF(H113&lt;&gt;"",-$H113/'Elements and ions'!$B$18,"")</f>
        <v/>
      </c>
      <c r="P113" s="81" t="str">
        <f>IF(I113&lt;&gt;"",-2*$I113/'Elements and ions'!$F$4,"")</f>
        <v/>
      </c>
      <c r="Q113" s="80" t="str">
        <f t="shared" si="25"/>
        <v/>
      </c>
      <c r="R113" s="65" t="str">
        <f t="shared" si="26"/>
        <v/>
      </c>
      <c r="S113" s="81" t="str">
        <f t="shared" si="27"/>
        <v/>
      </c>
      <c r="T113" s="80" t="str">
        <f t="shared" si="28"/>
        <v/>
      </c>
      <c r="U113" s="65" t="str">
        <f t="shared" si="29"/>
        <v/>
      </c>
      <c r="V113" s="91" t="str">
        <f t="shared" si="30"/>
        <v/>
      </c>
      <c r="W113" s="70" t="str">
        <f t="shared" si="31"/>
        <v/>
      </c>
      <c r="X113" s="65" t="str">
        <f>IF(V113&lt;&gt;"",IF($V113&lt;&gt;0,(($V113+(0.5*T113))/100+1+$AE$9),-1),"")</f>
        <v/>
      </c>
      <c r="Y113" s="81" t="str">
        <f>IF(AND(W113&lt;&gt;-1,X113&lt;&gt;-1,W113&lt;&gt;"",X113&lt;&gt;"",AA113&lt;&gt;-1,Z113&lt;&gt;-1,AA113&lt;&gt;"",Z113&lt;&gt;""),(W113+X113)/2+(AA113-Z113)/(4*COS(0.5)*$AE$5),"")</f>
        <v/>
      </c>
      <c r="Z113" s="70" t="str">
        <f>IF(S113&lt;&gt;"",IF($S113&lt;&gt;"",((($S113*COS(0.5))*$AE$5)/100),-1),"")</f>
        <v/>
      </c>
      <c r="AA113" s="65" t="str">
        <f>IF(T113&lt;&gt;"",IF($T113&lt;&gt;"",((($T113*COS(0.5))*$AE$5)/100),-1),"")</f>
        <v/>
      </c>
      <c r="AB113" s="66" t="str">
        <f>IF(Y113&lt;&gt;"",2*COS(0.5)*$AE$5*(X113-W113)/2+(AA113+Z113)/2,"")</f>
        <v/>
      </c>
      <c r="AC113" s="5"/>
      <c r="AE113" s="51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V113" s="6"/>
      <c r="AW113" s="6"/>
      <c r="AX113" s="6"/>
      <c r="AY113" s="6"/>
      <c r="AZ113" s="6"/>
      <c r="BA113" s="6"/>
      <c r="BB113" s="6"/>
      <c r="BC113" s="6"/>
    </row>
    <row r="114" spans="1:55" x14ac:dyDescent="0.25">
      <c r="A114" s="37"/>
      <c r="B114" s="38"/>
      <c r="C114" s="37"/>
      <c r="D114" s="2"/>
      <c r="E114" s="2"/>
      <c r="F114" s="38"/>
      <c r="G114" s="37"/>
      <c r="H114" s="2"/>
      <c r="I114" s="3"/>
      <c r="J114" s="90" t="str">
        <f>IF(C114&lt;&gt;"",$C114/'Elements and ions'!$B$12,"")</f>
        <v/>
      </c>
      <c r="K114" s="65" t="str">
        <f>IF(D114&lt;&gt;"",$D114/'Elements and ions'!$B$20,"")</f>
        <v/>
      </c>
      <c r="L114" s="65" t="str">
        <f>IF(E114&lt;&gt;"",$E114/'Elements and ions'!$B$21*2,"")</f>
        <v/>
      </c>
      <c r="M114" s="81" t="str">
        <f>IF(F114&lt;&gt;"",$F114/'Elements and ions'!$B$13*2,"")</f>
        <v/>
      </c>
      <c r="N114" s="80" t="str">
        <f>IF(G114&lt;&gt;"",-$G114/'Elements and ions'!$F$3,"")</f>
        <v/>
      </c>
      <c r="O114" s="65" t="str">
        <f>IF(H114&lt;&gt;"",-$H114/'Elements and ions'!$B$18,"")</f>
        <v/>
      </c>
      <c r="P114" s="81" t="str">
        <f>IF(I114&lt;&gt;"",-2*$I114/'Elements and ions'!$F$4,"")</f>
        <v/>
      </c>
      <c r="Q114" s="80" t="str">
        <f t="shared" si="25"/>
        <v/>
      </c>
      <c r="R114" s="65" t="str">
        <f t="shared" si="26"/>
        <v/>
      </c>
      <c r="S114" s="81" t="str">
        <f t="shared" si="27"/>
        <v/>
      </c>
      <c r="T114" s="80" t="str">
        <f t="shared" si="28"/>
        <v/>
      </c>
      <c r="U114" s="65" t="str">
        <f t="shared" si="29"/>
        <v/>
      </c>
      <c r="V114" s="91" t="str">
        <f t="shared" si="30"/>
        <v/>
      </c>
      <c r="W114" s="70" t="str">
        <f t="shared" si="31"/>
        <v/>
      </c>
      <c r="X114" s="65" t="str">
        <f>IF(V114&lt;&gt;"",IF($V114&lt;&gt;0,(($V114+(0.5*T114))/100+1+$AE$9),-1),"")</f>
        <v/>
      </c>
      <c r="Y114" s="81" t="str">
        <f>IF(AND(W114&lt;&gt;-1,X114&lt;&gt;-1,W114&lt;&gt;"",X114&lt;&gt;"",AA114&lt;&gt;-1,Z114&lt;&gt;-1,AA114&lt;&gt;"",Z114&lt;&gt;""),(W114+X114)/2+(AA114-Z114)/(4*COS(0.5)*$AE$5),"")</f>
        <v/>
      </c>
      <c r="Z114" s="70" t="str">
        <f>IF(S114&lt;&gt;"",IF($S114&lt;&gt;"",((($S114*COS(0.5))*$AE$5)/100),-1),"")</f>
        <v/>
      </c>
      <c r="AA114" s="65" t="str">
        <f>IF(T114&lt;&gt;"",IF($T114&lt;&gt;"",((($T114*COS(0.5))*$AE$5)/100),-1),"")</f>
        <v/>
      </c>
      <c r="AB114" s="66" t="str">
        <f>IF(Y114&lt;&gt;"",2*COS(0.5)*$AE$5*(X114-W114)/2+(AA114+Z114)/2,"")</f>
        <v/>
      </c>
      <c r="AC114" s="5"/>
      <c r="AE114" s="51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V114" s="6"/>
      <c r="AW114" s="6"/>
      <c r="AX114" s="6"/>
      <c r="AY114" s="6"/>
      <c r="AZ114" s="6"/>
      <c r="BA114" s="6"/>
      <c r="BB114" s="6"/>
      <c r="BC114" s="6"/>
    </row>
    <row r="115" spans="1:55" x14ac:dyDescent="0.25">
      <c r="A115" s="37"/>
      <c r="B115" s="38"/>
      <c r="C115" s="37"/>
      <c r="D115" s="2"/>
      <c r="E115" s="2"/>
      <c r="F115" s="38"/>
      <c r="G115" s="37"/>
      <c r="H115" s="2"/>
      <c r="I115" s="3"/>
      <c r="J115" s="90" t="str">
        <f>IF(C115&lt;&gt;"",$C115/'Elements and ions'!$B$12,"")</f>
        <v/>
      </c>
      <c r="K115" s="65" t="str">
        <f>IF(D115&lt;&gt;"",$D115/'Elements and ions'!$B$20,"")</f>
        <v/>
      </c>
      <c r="L115" s="65" t="str">
        <f>IF(E115&lt;&gt;"",$E115/'Elements and ions'!$B$21*2,"")</f>
        <v/>
      </c>
      <c r="M115" s="81" t="str">
        <f>IF(F115&lt;&gt;"",$F115/'Elements and ions'!$B$13*2,"")</f>
        <v/>
      </c>
      <c r="N115" s="80" t="str">
        <f>IF(G115&lt;&gt;"",-$G115/'Elements and ions'!$F$3,"")</f>
        <v/>
      </c>
      <c r="O115" s="65" t="str">
        <f>IF(H115&lt;&gt;"",-$H115/'Elements and ions'!$B$18,"")</f>
        <v/>
      </c>
      <c r="P115" s="81" t="str">
        <f>IF(I115&lt;&gt;"",-2*$I115/'Elements and ions'!$F$4,"")</f>
        <v/>
      </c>
      <c r="Q115" s="80" t="str">
        <f t="shared" si="25"/>
        <v/>
      </c>
      <c r="R115" s="65" t="str">
        <f t="shared" si="26"/>
        <v/>
      </c>
      <c r="S115" s="81" t="str">
        <f t="shared" si="27"/>
        <v/>
      </c>
      <c r="T115" s="80" t="str">
        <f t="shared" si="28"/>
        <v/>
      </c>
      <c r="U115" s="65" t="str">
        <f t="shared" si="29"/>
        <v/>
      </c>
      <c r="V115" s="91" t="str">
        <f t="shared" si="30"/>
        <v/>
      </c>
      <c r="W115" s="70" t="str">
        <f t="shared" si="31"/>
        <v/>
      </c>
      <c r="X115" s="65" t="str">
        <f>IF(V115&lt;&gt;"",IF($V115&lt;&gt;0,(($V115+(0.5*T115))/100+1+$AE$9),-1),"")</f>
        <v/>
      </c>
      <c r="Y115" s="81" t="str">
        <f>IF(AND(W115&lt;&gt;-1,X115&lt;&gt;-1,W115&lt;&gt;"",X115&lt;&gt;"",AA115&lt;&gt;-1,Z115&lt;&gt;-1,AA115&lt;&gt;"",Z115&lt;&gt;""),(W115+X115)/2+(AA115-Z115)/(4*COS(0.5)*$AE$5),"")</f>
        <v/>
      </c>
      <c r="Z115" s="70" t="str">
        <f>IF(S115&lt;&gt;"",IF($S115&lt;&gt;"",((($S115*COS(0.5))*$AE$5)/100),-1),"")</f>
        <v/>
      </c>
      <c r="AA115" s="65" t="str">
        <f>IF(T115&lt;&gt;"",IF($T115&lt;&gt;"",((($T115*COS(0.5))*$AE$5)/100),-1),"")</f>
        <v/>
      </c>
      <c r="AB115" s="66" t="str">
        <f>IF(Y115&lt;&gt;"",2*COS(0.5)*$AE$5*(X115-W115)/2+(AA115+Z115)/2,"")</f>
        <v/>
      </c>
      <c r="AC115" s="5"/>
      <c r="AE115" s="51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V115" s="6"/>
      <c r="AW115" s="6"/>
      <c r="AX115" s="6"/>
      <c r="AY115" s="6"/>
      <c r="AZ115" s="6"/>
      <c r="BA115" s="6"/>
      <c r="BB115" s="6"/>
      <c r="BC115" s="6"/>
    </row>
    <row r="116" spans="1:55" x14ac:dyDescent="0.25">
      <c r="A116" s="37"/>
      <c r="B116" s="38"/>
      <c r="C116" s="37"/>
      <c r="D116" s="2"/>
      <c r="E116" s="2"/>
      <c r="F116" s="38"/>
      <c r="G116" s="37"/>
      <c r="H116" s="2"/>
      <c r="I116" s="3"/>
      <c r="J116" s="90" t="str">
        <f>IF(C116&lt;&gt;"",$C116/'Elements and ions'!$B$12,"")</f>
        <v/>
      </c>
      <c r="K116" s="65" t="str">
        <f>IF(D116&lt;&gt;"",$D116/'Elements and ions'!$B$20,"")</f>
        <v/>
      </c>
      <c r="L116" s="65" t="str">
        <f>IF(E116&lt;&gt;"",$E116/'Elements and ions'!$B$21*2,"")</f>
        <v/>
      </c>
      <c r="M116" s="81" t="str">
        <f>IF(F116&lt;&gt;"",$F116/'Elements and ions'!$B$13*2,"")</f>
        <v/>
      </c>
      <c r="N116" s="80" t="str">
        <f>IF(G116&lt;&gt;"",-$G116/'Elements and ions'!$F$3,"")</f>
        <v/>
      </c>
      <c r="O116" s="65" t="str">
        <f>IF(H116&lt;&gt;"",-$H116/'Elements and ions'!$B$18,"")</f>
        <v/>
      </c>
      <c r="P116" s="81" t="str">
        <f>IF(I116&lt;&gt;"",-2*$I116/'Elements and ions'!$F$4,"")</f>
        <v/>
      </c>
      <c r="Q116" s="80" t="str">
        <f t="shared" si="25"/>
        <v/>
      </c>
      <c r="R116" s="65" t="str">
        <f t="shared" si="26"/>
        <v/>
      </c>
      <c r="S116" s="81" t="str">
        <f t="shared" si="27"/>
        <v/>
      </c>
      <c r="T116" s="80" t="str">
        <f t="shared" si="28"/>
        <v/>
      </c>
      <c r="U116" s="65" t="str">
        <f t="shared" si="29"/>
        <v/>
      </c>
      <c r="V116" s="91" t="str">
        <f t="shared" si="30"/>
        <v/>
      </c>
      <c r="W116" s="70" t="str">
        <f t="shared" si="31"/>
        <v/>
      </c>
      <c r="X116" s="65" t="str">
        <f>IF(V116&lt;&gt;"",IF($V116&lt;&gt;0,(($V116+(0.5*T116))/100+1+$AE$9),-1),"")</f>
        <v/>
      </c>
      <c r="Y116" s="81" t="str">
        <f>IF(AND(W116&lt;&gt;-1,X116&lt;&gt;-1,W116&lt;&gt;"",X116&lt;&gt;"",AA116&lt;&gt;-1,Z116&lt;&gt;-1,AA116&lt;&gt;"",Z116&lt;&gt;""),(W116+X116)/2+(AA116-Z116)/(4*COS(0.5)*$AE$5),"")</f>
        <v/>
      </c>
      <c r="Z116" s="70" t="str">
        <f>IF(S116&lt;&gt;"",IF($S116&lt;&gt;"",((($S116*COS(0.5))*$AE$5)/100),-1),"")</f>
        <v/>
      </c>
      <c r="AA116" s="65" t="str">
        <f>IF(T116&lt;&gt;"",IF($T116&lt;&gt;"",((($T116*COS(0.5))*$AE$5)/100),-1),"")</f>
        <v/>
      </c>
      <c r="AB116" s="66" t="str">
        <f>IF(Y116&lt;&gt;"",2*COS(0.5)*$AE$5*(X116-W116)/2+(AA116+Z116)/2,"")</f>
        <v/>
      </c>
      <c r="AC116" s="5"/>
      <c r="AE116" s="51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V116" s="6"/>
      <c r="AW116" s="6"/>
      <c r="AX116" s="6"/>
      <c r="AY116" s="6"/>
      <c r="AZ116" s="6"/>
      <c r="BA116" s="6"/>
      <c r="BB116" s="6"/>
      <c r="BC116" s="6"/>
    </row>
    <row r="117" spans="1:55" x14ac:dyDescent="0.25">
      <c r="A117" s="37"/>
      <c r="B117" s="38"/>
      <c r="C117" s="37"/>
      <c r="D117" s="2"/>
      <c r="E117" s="2"/>
      <c r="F117" s="38"/>
      <c r="G117" s="37"/>
      <c r="H117" s="2"/>
      <c r="I117" s="3"/>
      <c r="J117" s="90" t="str">
        <f>IF(C117&lt;&gt;"",$C117/'Elements and ions'!$B$12,"")</f>
        <v/>
      </c>
      <c r="K117" s="65" t="str">
        <f>IF(D117&lt;&gt;"",$D117/'Elements and ions'!$B$20,"")</f>
        <v/>
      </c>
      <c r="L117" s="65" t="str">
        <f>IF(E117&lt;&gt;"",$E117/'Elements and ions'!$B$21*2,"")</f>
        <v/>
      </c>
      <c r="M117" s="81" t="str">
        <f>IF(F117&lt;&gt;"",$F117/'Elements and ions'!$B$13*2,"")</f>
        <v/>
      </c>
      <c r="N117" s="80" t="str">
        <f>IF(G117&lt;&gt;"",-$G117/'Elements and ions'!$F$3,"")</f>
        <v/>
      </c>
      <c r="O117" s="65" t="str">
        <f>IF(H117&lt;&gt;"",-$H117/'Elements and ions'!$B$18,"")</f>
        <v/>
      </c>
      <c r="P117" s="81" t="str">
        <f>IF(I117&lt;&gt;"",-2*$I117/'Elements and ions'!$F$4,"")</f>
        <v/>
      </c>
      <c r="Q117" s="80" t="str">
        <f t="shared" si="25"/>
        <v/>
      </c>
      <c r="R117" s="65" t="str">
        <f t="shared" si="26"/>
        <v/>
      </c>
      <c r="S117" s="81" t="str">
        <f t="shared" si="27"/>
        <v/>
      </c>
      <c r="T117" s="80" t="str">
        <f t="shared" si="28"/>
        <v/>
      </c>
      <c r="U117" s="65" t="str">
        <f t="shared" si="29"/>
        <v/>
      </c>
      <c r="V117" s="91" t="str">
        <f t="shared" si="30"/>
        <v/>
      </c>
      <c r="W117" s="70" t="str">
        <f t="shared" si="31"/>
        <v/>
      </c>
      <c r="X117" s="65" t="str">
        <f>IF(V117&lt;&gt;"",IF($V117&lt;&gt;0,(($V117+(0.5*T117))/100+1+$AE$9),-1),"")</f>
        <v/>
      </c>
      <c r="Y117" s="81" t="str">
        <f>IF(AND(W117&lt;&gt;-1,X117&lt;&gt;-1,W117&lt;&gt;"",X117&lt;&gt;"",AA117&lt;&gt;-1,Z117&lt;&gt;-1,AA117&lt;&gt;"",Z117&lt;&gt;""),(W117+X117)/2+(AA117-Z117)/(4*COS(0.5)*$AE$5),"")</f>
        <v/>
      </c>
      <c r="Z117" s="70" t="str">
        <f>IF(S117&lt;&gt;"",IF($S117&lt;&gt;"",((($S117*COS(0.5))*$AE$5)/100),-1),"")</f>
        <v/>
      </c>
      <c r="AA117" s="65" t="str">
        <f>IF(T117&lt;&gt;"",IF($T117&lt;&gt;"",((($T117*COS(0.5))*$AE$5)/100),-1),"")</f>
        <v/>
      </c>
      <c r="AB117" s="66" t="str">
        <f>IF(Y117&lt;&gt;"",2*COS(0.5)*$AE$5*(X117-W117)/2+(AA117+Z117)/2,"")</f>
        <v/>
      </c>
      <c r="AC117" s="5"/>
      <c r="AE117" s="51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V117" s="6"/>
      <c r="AW117" s="6"/>
      <c r="AX117" s="6"/>
      <c r="AY117" s="6"/>
      <c r="AZ117" s="6"/>
      <c r="BA117" s="6"/>
      <c r="BB117" s="6"/>
      <c r="BC117" s="6"/>
    </row>
    <row r="118" spans="1:55" x14ac:dyDescent="0.25">
      <c r="A118" s="37"/>
      <c r="B118" s="38"/>
      <c r="C118" s="37"/>
      <c r="D118" s="2"/>
      <c r="E118" s="2"/>
      <c r="F118" s="38"/>
      <c r="G118" s="37"/>
      <c r="H118" s="2"/>
      <c r="I118" s="3"/>
      <c r="J118" s="90" t="str">
        <f>IF(C118&lt;&gt;"",$C118/'Elements and ions'!$B$12,"")</f>
        <v/>
      </c>
      <c r="K118" s="65" t="str">
        <f>IF(D118&lt;&gt;"",$D118/'Elements and ions'!$B$20,"")</f>
        <v/>
      </c>
      <c r="L118" s="65" t="str">
        <f>IF(E118&lt;&gt;"",$E118/'Elements and ions'!$B$21*2,"")</f>
        <v/>
      </c>
      <c r="M118" s="81" t="str">
        <f>IF(F118&lt;&gt;"",$F118/'Elements and ions'!$B$13*2,"")</f>
        <v/>
      </c>
      <c r="N118" s="80" t="str">
        <f>IF(G118&lt;&gt;"",-$G118/'Elements and ions'!$F$3,"")</f>
        <v/>
      </c>
      <c r="O118" s="65" t="str">
        <f>IF(H118&lt;&gt;"",-$H118/'Elements and ions'!$B$18,"")</f>
        <v/>
      </c>
      <c r="P118" s="81" t="str">
        <f>IF(I118&lt;&gt;"",-2*$I118/'Elements and ions'!$F$4,"")</f>
        <v/>
      </c>
      <c r="Q118" s="80" t="str">
        <f t="shared" si="25"/>
        <v/>
      </c>
      <c r="R118" s="65" t="str">
        <f t="shared" si="26"/>
        <v/>
      </c>
      <c r="S118" s="81" t="str">
        <f t="shared" si="27"/>
        <v/>
      </c>
      <c r="T118" s="80" t="str">
        <f t="shared" si="28"/>
        <v/>
      </c>
      <c r="U118" s="65" t="str">
        <f t="shared" si="29"/>
        <v/>
      </c>
      <c r="V118" s="91" t="str">
        <f t="shared" si="30"/>
        <v/>
      </c>
      <c r="W118" s="70" t="str">
        <f t="shared" si="31"/>
        <v/>
      </c>
      <c r="X118" s="65" t="str">
        <f>IF(V118&lt;&gt;"",IF($V118&lt;&gt;0,(($V118+(0.5*T118))/100+1+$AE$9),-1),"")</f>
        <v/>
      </c>
      <c r="Y118" s="81" t="str">
        <f>IF(AND(W118&lt;&gt;-1,X118&lt;&gt;-1,W118&lt;&gt;"",X118&lt;&gt;"",AA118&lt;&gt;-1,Z118&lt;&gt;-1,AA118&lt;&gt;"",Z118&lt;&gt;""),(W118+X118)/2+(AA118-Z118)/(4*COS(0.5)*$AE$5),"")</f>
        <v/>
      </c>
      <c r="Z118" s="70" t="str">
        <f>IF(S118&lt;&gt;"",IF($S118&lt;&gt;"",((($S118*COS(0.5))*$AE$5)/100),-1),"")</f>
        <v/>
      </c>
      <c r="AA118" s="65" t="str">
        <f>IF(T118&lt;&gt;"",IF($T118&lt;&gt;"",((($T118*COS(0.5))*$AE$5)/100),-1),"")</f>
        <v/>
      </c>
      <c r="AB118" s="66" t="str">
        <f>IF(Y118&lt;&gt;"",2*COS(0.5)*$AE$5*(X118-W118)/2+(AA118+Z118)/2,"")</f>
        <v/>
      </c>
      <c r="AC118" s="5"/>
      <c r="AE118" s="51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V118" s="6"/>
      <c r="AW118" s="6"/>
      <c r="AX118" s="6"/>
      <c r="AY118" s="6"/>
      <c r="AZ118" s="6"/>
      <c r="BA118" s="6"/>
      <c r="BB118" s="6"/>
      <c r="BC118" s="6"/>
    </row>
    <row r="119" spans="1:55" x14ac:dyDescent="0.25">
      <c r="A119" s="37"/>
      <c r="B119" s="38"/>
      <c r="C119" s="37"/>
      <c r="D119" s="2"/>
      <c r="E119" s="2"/>
      <c r="F119" s="38"/>
      <c r="G119" s="37"/>
      <c r="H119" s="2"/>
      <c r="I119" s="3"/>
      <c r="J119" s="90" t="str">
        <f>IF(C119&lt;&gt;"",$C119/'Elements and ions'!$B$12,"")</f>
        <v/>
      </c>
      <c r="K119" s="65" t="str">
        <f>IF(D119&lt;&gt;"",$D119/'Elements and ions'!$B$20,"")</f>
        <v/>
      </c>
      <c r="L119" s="65" t="str">
        <f>IF(E119&lt;&gt;"",$E119/'Elements and ions'!$B$21*2,"")</f>
        <v/>
      </c>
      <c r="M119" s="81" t="str">
        <f>IF(F119&lt;&gt;"",$F119/'Elements and ions'!$B$13*2,"")</f>
        <v/>
      </c>
      <c r="N119" s="80" t="str">
        <f>IF(G119&lt;&gt;"",-$G119/'Elements and ions'!$F$3,"")</f>
        <v/>
      </c>
      <c r="O119" s="65" t="str">
        <f>IF(H119&lt;&gt;"",-$H119/'Elements and ions'!$B$18,"")</f>
        <v/>
      </c>
      <c r="P119" s="81" t="str">
        <f>IF(I119&lt;&gt;"",-2*$I119/'Elements and ions'!$F$4,"")</f>
        <v/>
      </c>
      <c r="Q119" s="80" t="str">
        <f t="shared" si="25"/>
        <v/>
      </c>
      <c r="R119" s="65" t="str">
        <f t="shared" si="26"/>
        <v/>
      </c>
      <c r="S119" s="81" t="str">
        <f t="shared" si="27"/>
        <v/>
      </c>
      <c r="T119" s="80" t="str">
        <f t="shared" si="28"/>
        <v/>
      </c>
      <c r="U119" s="65" t="str">
        <f t="shared" si="29"/>
        <v/>
      </c>
      <c r="V119" s="91" t="str">
        <f t="shared" si="30"/>
        <v/>
      </c>
      <c r="W119" s="70" t="str">
        <f t="shared" si="31"/>
        <v/>
      </c>
      <c r="X119" s="65" t="str">
        <f>IF(V119&lt;&gt;"",IF($V119&lt;&gt;0,(($V119+(0.5*T119))/100+1+$AE$9),-1),"")</f>
        <v/>
      </c>
      <c r="Y119" s="81" t="str">
        <f>IF(AND(W119&lt;&gt;-1,X119&lt;&gt;-1,W119&lt;&gt;"",X119&lt;&gt;"",AA119&lt;&gt;-1,Z119&lt;&gt;-1,AA119&lt;&gt;"",Z119&lt;&gt;""),(W119+X119)/2+(AA119-Z119)/(4*COS(0.5)*$AE$5),"")</f>
        <v/>
      </c>
      <c r="Z119" s="70" t="str">
        <f>IF(S119&lt;&gt;"",IF($S119&lt;&gt;"",((($S119*COS(0.5))*$AE$5)/100),-1),"")</f>
        <v/>
      </c>
      <c r="AA119" s="65" t="str">
        <f>IF(T119&lt;&gt;"",IF($T119&lt;&gt;"",((($T119*COS(0.5))*$AE$5)/100),-1),"")</f>
        <v/>
      </c>
      <c r="AB119" s="66" t="str">
        <f>IF(Y119&lt;&gt;"",2*COS(0.5)*$AE$5*(X119-W119)/2+(AA119+Z119)/2,"")</f>
        <v/>
      </c>
      <c r="AC119" s="5"/>
      <c r="AE119" s="51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V119" s="6"/>
      <c r="AW119" s="6"/>
      <c r="AX119" s="6"/>
      <c r="AY119" s="6"/>
      <c r="AZ119" s="6"/>
      <c r="BA119" s="6"/>
      <c r="BB119" s="6"/>
      <c r="BC119" s="6"/>
    </row>
    <row r="120" spans="1:55" x14ac:dyDescent="0.25">
      <c r="A120" s="37"/>
      <c r="B120" s="38"/>
      <c r="C120" s="37"/>
      <c r="D120" s="2"/>
      <c r="E120" s="2"/>
      <c r="F120" s="38"/>
      <c r="G120" s="37"/>
      <c r="H120" s="2"/>
      <c r="I120" s="3"/>
      <c r="J120" s="90" t="str">
        <f>IF(C120&lt;&gt;"",$C120/'Elements and ions'!$B$12,"")</f>
        <v/>
      </c>
      <c r="K120" s="65" t="str">
        <f>IF(D120&lt;&gt;"",$D120/'Elements and ions'!$B$20,"")</f>
        <v/>
      </c>
      <c r="L120" s="65" t="str">
        <f>IF(E120&lt;&gt;"",$E120/'Elements and ions'!$B$21*2,"")</f>
        <v/>
      </c>
      <c r="M120" s="81" t="str">
        <f>IF(F120&lt;&gt;"",$F120/'Elements and ions'!$B$13*2,"")</f>
        <v/>
      </c>
      <c r="N120" s="80" t="str">
        <f>IF(G120&lt;&gt;"",-$G120/'Elements and ions'!$F$3,"")</f>
        <v/>
      </c>
      <c r="O120" s="65" t="str">
        <f>IF(H120&lt;&gt;"",-$H120/'Elements and ions'!$B$18,"")</f>
        <v/>
      </c>
      <c r="P120" s="81" t="str">
        <f>IF(I120&lt;&gt;"",-2*$I120/'Elements and ions'!$F$4,"")</f>
        <v/>
      </c>
      <c r="Q120" s="80" t="str">
        <f t="shared" si="25"/>
        <v/>
      </c>
      <c r="R120" s="65" t="str">
        <f t="shared" si="26"/>
        <v/>
      </c>
      <c r="S120" s="81" t="str">
        <f t="shared" si="27"/>
        <v/>
      </c>
      <c r="T120" s="80" t="str">
        <f t="shared" si="28"/>
        <v/>
      </c>
      <c r="U120" s="65" t="str">
        <f t="shared" si="29"/>
        <v/>
      </c>
      <c r="V120" s="91" t="str">
        <f t="shared" si="30"/>
        <v/>
      </c>
      <c r="W120" s="70" t="str">
        <f t="shared" si="31"/>
        <v/>
      </c>
      <c r="X120" s="65" t="str">
        <f>IF(V120&lt;&gt;"",IF($V120&lt;&gt;0,(($V120+(0.5*T120))/100+1+$AE$9),-1),"")</f>
        <v/>
      </c>
      <c r="Y120" s="81" t="str">
        <f>IF(AND(W120&lt;&gt;-1,X120&lt;&gt;-1,W120&lt;&gt;"",X120&lt;&gt;"",AA120&lt;&gt;-1,Z120&lt;&gt;-1,AA120&lt;&gt;"",Z120&lt;&gt;""),(W120+X120)/2+(AA120-Z120)/(4*COS(0.5)*$AE$5),"")</f>
        <v/>
      </c>
      <c r="Z120" s="70" t="str">
        <f>IF(S120&lt;&gt;"",IF($S120&lt;&gt;"",((($S120*COS(0.5))*$AE$5)/100),-1),"")</f>
        <v/>
      </c>
      <c r="AA120" s="65" t="str">
        <f>IF(T120&lt;&gt;"",IF($T120&lt;&gt;"",((($T120*COS(0.5))*$AE$5)/100),-1),"")</f>
        <v/>
      </c>
      <c r="AB120" s="66" t="str">
        <f>IF(Y120&lt;&gt;"",2*COS(0.5)*$AE$5*(X120-W120)/2+(AA120+Z120)/2,"")</f>
        <v/>
      </c>
      <c r="AC120" s="5"/>
      <c r="AE120" s="51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V120" s="6"/>
      <c r="AW120" s="6"/>
      <c r="AX120" s="6"/>
      <c r="AY120" s="6"/>
      <c r="AZ120" s="6"/>
      <c r="BA120" s="6"/>
      <c r="BB120" s="6"/>
      <c r="BC120" s="6"/>
    </row>
    <row r="121" spans="1:55" x14ac:dyDescent="0.25">
      <c r="A121" s="37"/>
      <c r="B121" s="38"/>
      <c r="C121" s="37"/>
      <c r="D121" s="2"/>
      <c r="E121" s="2"/>
      <c r="F121" s="38"/>
      <c r="G121" s="37"/>
      <c r="H121" s="2"/>
      <c r="I121" s="3"/>
      <c r="J121" s="90" t="str">
        <f>IF(C121&lt;&gt;"",$C121/'Elements and ions'!$B$12,"")</f>
        <v/>
      </c>
      <c r="K121" s="65" t="str">
        <f>IF(D121&lt;&gt;"",$D121/'Elements and ions'!$B$20,"")</f>
        <v/>
      </c>
      <c r="L121" s="65" t="str">
        <f>IF(E121&lt;&gt;"",$E121/'Elements and ions'!$B$21*2,"")</f>
        <v/>
      </c>
      <c r="M121" s="81" t="str">
        <f>IF(F121&lt;&gt;"",$F121/'Elements and ions'!$B$13*2,"")</f>
        <v/>
      </c>
      <c r="N121" s="80" t="str">
        <f>IF(G121&lt;&gt;"",-$G121/'Elements and ions'!$F$3,"")</f>
        <v/>
      </c>
      <c r="O121" s="65" t="str">
        <f>IF(H121&lt;&gt;"",-$H121/'Elements and ions'!$B$18,"")</f>
        <v/>
      </c>
      <c r="P121" s="81" t="str">
        <f>IF(I121&lt;&gt;"",-2*$I121/'Elements and ions'!$F$4,"")</f>
        <v/>
      </c>
      <c r="Q121" s="80" t="str">
        <f t="shared" si="25"/>
        <v/>
      </c>
      <c r="R121" s="65" t="str">
        <f t="shared" si="26"/>
        <v/>
      </c>
      <c r="S121" s="81" t="str">
        <f t="shared" si="27"/>
        <v/>
      </c>
      <c r="T121" s="80" t="str">
        <f t="shared" si="28"/>
        <v/>
      </c>
      <c r="U121" s="65" t="str">
        <f t="shared" si="29"/>
        <v/>
      </c>
      <c r="V121" s="91" t="str">
        <f t="shared" si="30"/>
        <v/>
      </c>
      <c r="W121" s="70" t="str">
        <f t="shared" si="31"/>
        <v/>
      </c>
      <c r="X121" s="65" t="str">
        <f>IF(V121&lt;&gt;"",IF($V121&lt;&gt;0,(($V121+(0.5*T121))/100+1+$AE$9),-1),"")</f>
        <v/>
      </c>
      <c r="Y121" s="81" t="str">
        <f>IF(AND(W121&lt;&gt;-1,X121&lt;&gt;-1,W121&lt;&gt;"",X121&lt;&gt;"",AA121&lt;&gt;-1,Z121&lt;&gt;-1,AA121&lt;&gt;"",Z121&lt;&gt;""),(W121+X121)/2+(AA121-Z121)/(4*COS(0.5)*$AE$5),"")</f>
        <v/>
      </c>
      <c r="Z121" s="70" t="str">
        <f>IF(S121&lt;&gt;"",IF($S121&lt;&gt;"",((($S121*COS(0.5))*$AE$5)/100),-1),"")</f>
        <v/>
      </c>
      <c r="AA121" s="65" t="str">
        <f>IF(T121&lt;&gt;"",IF($T121&lt;&gt;"",((($T121*COS(0.5))*$AE$5)/100),-1),"")</f>
        <v/>
      </c>
      <c r="AB121" s="66" t="str">
        <f>IF(Y121&lt;&gt;"",2*COS(0.5)*$AE$5*(X121-W121)/2+(AA121+Z121)/2,"")</f>
        <v/>
      </c>
      <c r="AC121" s="5"/>
      <c r="AE121" s="51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V121" s="6"/>
      <c r="AW121" s="6"/>
      <c r="AX121" s="6"/>
      <c r="AY121" s="6"/>
      <c r="AZ121" s="6"/>
      <c r="BA121" s="6"/>
      <c r="BB121" s="6"/>
      <c r="BC121" s="6"/>
    </row>
    <row r="122" spans="1:55" x14ac:dyDescent="0.25">
      <c r="A122" s="37"/>
      <c r="B122" s="38"/>
      <c r="C122" s="37"/>
      <c r="D122" s="2"/>
      <c r="E122" s="2"/>
      <c r="F122" s="38"/>
      <c r="G122" s="37"/>
      <c r="H122" s="2"/>
      <c r="I122" s="3"/>
      <c r="J122" s="90" t="str">
        <f>IF(C122&lt;&gt;"",$C122/'Elements and ions'!$B$12,"")</f>
        <v/>
      </c>
      <c r="K122" s="65" t="str">
        <f>IF(D122&lt;&gt;"",$D122/'Elements and ions'!$B$20,"")</f>
        <v/>
      </c>
      <c r="L122" s="65" t="str">
        <f>IF(E122&lt;&gt;"",$E122/'Elements and ions'!$B$21*2,"")</f>
        <v/>
      </c>
      <c r="M122" s="81" t="str">
        <f>IF(F122&lt;&gt;"",$F122/'Elements and ions'!$B$13*2,"")</f>
        <v/>
      </c>
      <c r="N122" s="80" t="str">
        <f>IF(G122&lt;&gt;"",-$G122/'Elements and ions'!$F$3,"")</f>
        <v/>
      </c>
      <c r="O122" s="65" t="str">
        <f>IF(H122&lt;&gt;"",-$H122/'Elements and ions'!$B$18,"")</f>
        <v/>
      </c>
      <c r="P122" s="81" t="str">
        <f>IF(I122&lt;&gt;"",-2*$I122/'Elements and ions'!$F$4,"")</f>
        <v/>
      </c>
      <c r="Q122" s="80" t="str">
        <f t="shared" si="25"/>
        <v/>
      </c>
      <c r="R122" s="65" t="str">
        <f t="shared" si="26"/>
        <v/>
      </c>
      <c r="S122" s="81" t="str">
        <f t="shared" si="27"/>
        <v/>
      </c>
      <c r="T122" s="80" t="str">
        <f t="shared" si="28"/>
        <v/>
      </c>
      <c r="U122" s="65" t="str">
        <f t="shared" si="29"/>
        <v/>
      </c>
      <c r="V122" s="91" t="str">
        <f t="shared" si="30"/>
        <v/>
      </c>
      <c r="W122" s="70" t="str">
        <f t="shared" si="31"/>
        <v/>
      </c>
      <c r="X122" s="65" t="str">
        <f>IF(V122&lt;&gt;"",IF($V122&lt;&gt;0,(($V122+(0.5*T122))/100+1+$AE$9),-1),"")</f>
        <v/>
      </c>
      <c r="Y122" s="81" t="str">
        <f>IF(AND(W122&lt;&gt;-1,X122&lt;&gt;-1,W122&lt;&gt;"",X122&lt;&gt;"",AA122&lt;&gt;-1,Z122&lt;&gt;-1,AA122&lt;&gt;"",Z122&lt;&gt;""),(W122+X122)/2+(AA122-Z122)/(4*COS(0.5)*$AE$5),"")</f>
        <v/>
      </c>
      <c r="Z122" s="70" t="str">
        <f>IF(S122&lt;&gt;"",IF($S122&lt;&gt;"",((($S122*COS(0.5))*$AE$5)/100),-1),"")</f>
        <v/>
      </c>
      <c r="AA122" s="65" t="str">
        <f>IF(T122&lt;&gt;"",IF($T122&lt;&gt;"",((($T122*COS(0.5))*$AE$5)/100),-1),"")</f>
        <v/>
      </c>
      <c r="AB122" s="66" t="str">
        <f>IF(Y122&lt;&gt;"",2*COS(0.5)*$AE$5*(X122-W122)/2+(AA122+Z122)/2,"")</f>
        <v/>
      </c>
      <c r="AC122" s="5"/>
      <c r="AE122" s="51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V122" s="6"/>
      <c r="AW122" s="6"/>
      <c r="AX122" s="6"/>
      <c r="AY122" s="6"/>
      <c r="AZ122" s="6"/>
      <c r="BA122" s="6"/>
      <c r="BB122" s="6"/>
      <c r="BC122" s="6"/>
    </row>
    <row r="123" spans="1:55" x14ac:dyDescent="0.25">
      <c r="A123" s="37"/>
      <c r="B123" s="38"/>
      <c r="C123" s="37"/>
      <c r="D123" s="2"/>
      <c r="E123" s="2"/>
      <c r="F123" s="38"/>
      <c r="G123" s="37"/>
      <c r="H123" s="2"/>
      <c r="I123" s="3"/>
      <c r="J123" s="90" t="str">
        <f>IF(C123&lt;&gt;"",$C123/'Elements and ions'!$B$12,"")</f>
        <v/>
      </c>
      <c r="K123" s="65" t="str">
        <f>IF(D123&lt;&gt;"",$D123/'Elements and ions'!$B$20,"")</f>
        <v/>
      </c>
      <c r="L123" s="65" t="str">
        <f>IF(E123&lt;&gt;"",$E123/'Elements and ions'!$B$21*2,"")</f>
        <v/>
      </c>
      <c r="M123" s="81" t="str">
        <f>IF(F123&lt;&gt;"",$F123/'Elements and ions'!$B$13*2,"")</f>
        <v/>
      </c>
      <c r="N123" s="80" t="str">
        <f>IF(G123&lt;&gt;"",-$G123/'Elements and ions'!$F$3,"")</f>
        <v/>
      </c>
      <c r="O123" s="65" t="str">
        <f>IF(H123&lt;&gt;"",-$H123/'Elements and ions'!$B$18,"")</f>
        <v/>
      </c>
      <c r="P123" s="81" t="str">
        <f>IF(I123&lt;&gt;"",-2*$I123/'Elements and ions'!$F$4,"")</f>
        <v/>
      </c>
      <c r="Q123" s="80" t="str">
        <f t="shared" si="25"/>
        <v/>
      </c>
      <c r="R123" s="65" t="str">
        <f t="shared" si="26"/>
        <v/>
      </c>
      <c r="S123" s="81" t="str">
        <f t="shared" si="27"/>
        <v/>
      </c>
      <c r="T123" s="80" t="str">
        <f t="shared" si="28"/>
        <v/>
      </c>
      <c r="U123" s="65" t="str">
        <f t="shared" si="29"/>
        <v/>
      </c>
      <c r="V123" s="91" t="str">
        <f t="shared" si="30"/>
        <v/>
      </c>
      <c r="W123" s="70" t="str">
        <f t="shared" si="31"/>
        <v/>
      </c>
      <c r="X123" s="65" t="str">
        <f>IF(V123&lt;&gt;"",IF($V123&lt;&gt;0,(($V123+(0.5*T123))/100+1+$AE$9),-1),"")</f>
        <v/>
      </c>
      <c r="Y123" s="81" t="str">
        <f>IF(AND(W123&lt;&gt;-1,X123&lt;&gt;-1,W123&lt;&gt;"",X123&lt;&gt;"",AA123&lt;&gt;-1,Z123&lt;&gt;-1,AA123&lt;&gt;"",Z123&lt;&gt;""),(W123+X123)/2+(AA123-Z123)/(4*COS(0.5)*$AE$5),"")</f>
        <v/>
      </c>
      <c r="Z123" s="70" t="str">
        <f>IF(S123&lt;&gt;"",IF($S123&lt;&gt;"",((($S123*COS(0.5))*$AE$5)/100),-1),"")</f>
        <v/>
      </c>
      <c r="AA123" s="65" t="str">
        <f>IF(T123&lt;&gt;"",IF($T123&lt;&gt;"",((($T123*COS(0.5))*$AE$5)/100),-1),"")</f>
        <v/>
      </c>
      <c r="AB123" s="66" t="str">
        <f>IF(Y123&lt;&gt;"",2*COS(0.5)*$AE$5*(X123-W123)/2+(AA123+Z123)/2,"")</f>
        <v/>
      </c>
      <c r="AC123" s="5"/>
      <c r="AE123" s="51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V123" s="6"/>
      <c r="AW123" s="6"/>
      <c r="AX123" s="6"/>
      <c r="AY123" s="6"/>
      <c r="AZ123" s="6"/>
      <c r="BA123" s="6"/>
      <c r="BB123" s="6"/>
      <c r="BC123" s="6"/>
    </row>
    <row r="124" spans="1:55" x14ac:dyDescent="0.25">
      <c r="A124" s="37"/>
      <c r="B124" s="38"/>
      <c r="C124" s="37"/>
      <c r="D124" s="2"/>
      <c r="E124" s="2"/>
      <c r="F124" s="38"/>
      <c r="G124" s="37"/>
      <c r="H124" s="2"/>
      <c r="I124" s="3"/>
      <c r="J124" s="90" t="str">
        <f>IF(C124&lt;&gt;"",$C124/'Elements and ions'!$B$12,"")</f>
        <v/>
      </c>
      <c r="K124" s="65" t="str">
        <f>IF(D124&lt;&gt;"",$D124/'Elements and ions'!$B$20,"")</f>
        <v/>
      </c>
      <c r="L124" s="65" t="str">
        <f>IF(E124&lt;&gt;"",$E124/'Elements and ions'!$B$21*2,"")</f>
        <v/>
      </c>
      <c r="M124" s="81" t="str">
        <f>IF(F124&lt;&gt;"",$F124/'Elements and ions'!$B$13*2,"")</f>
        <v/>
      </c>
      <c r="N124" s="80" t="str">
        <f>IF(G124&lt;&gt;"",-$G124/'Elements and ions'!$F$3,"")</f>
        <v/>
      </c>
      <c r="O124" s="65" t="str">
        <f>IF(H124&lt;&gt;"",-$H124/'Elements and ions'!$B$18,"")</f>
        <v/>
      </c>
      <c r="P124" s="81" t="str">
        <f>IF(I124&lt;&gt;"",-2*$I124/'Elements and ions'!$F$4,"")</f>
        <v/>
      </c>
      <c r="Q124" s="80" t="str">
        <f t="shared" si="25"/>
        <v/>
      </c>
      <c r="R124" s="65" t="str">
        <f t="shared" si="26"/>
        <v/>
      </c>
      <c r="S124" s="81" t="str">
        <f t="shared" si="27"/>
        <v/>
      </c>
      <c r="T124" s="80" t="str">
        <f t="shared" si="28"/>
        <v/>
      </c>
      <c r="U124" s="65" t="str">
        <f t="shared" si="29"/>
        <v/>
      </c>
      <c r="V124" s="91" t="str">
        <f t="shared" si="30"/>
        <v/>
      </c>
      <c r="W124" s="70" t="str">
        <f t="shared" si="31"/>
        <v/>
      </c>
      <c r="X124" s="65" t="str">
        <f>IF(V124&lt;&gt;"",IF($V124&lt;&gt;0,(($V124+(0.5*T124))/100+1+$AE$9),-1),"")</f>
        <v/>
      </c>
      <c r="Y124" s="81" t="str">
        <f>IF(AND(W124&lt;&gt;-1,X124&lt;&gt;-1,W124&lt;&gt;"",X124&lt;&gt;"",AA124&lt;&gt;-1,Z124&lt;&gt;-1,AA124&lt;&gt;"",Z124&lt;&gt;""),(W124+X124)/2+(AA124-Z124)/(4*COS(0.5)*$AE$5),"")</f>
        <v/>
      </c>
      <c r="Z124" s="70" t="str">
        <f>IF(S124&lt;&gt;"",IF($S124&lt;&gt;"",((($S124*COS(0.5))*$AE$5)/100),-1),"")</f>
        <v/>
      </c>
      <c r="AA124" s="65" t="str">
        <f>IF(T124&lt;&gt;"",IF($T124&lt;&gt;"",((($T124*COS(0.5))*$AE$5)/100),-1),"")</f>
        <v/>
      </c>
      <c r="AB124" s="66" t="str">
        <f>IF(Y124&lt;&gt;"",2*COS(0.5)*$AE$5*(X124-W124)/2+(AA124+Z124)/2,"")</f>
        <v/>
      </c>
      <c r="AC124" s="5"/>
      <c r="AE124" s="51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V124" s="6"/>
      <c r="AW124" s="6"/>
      <c r="AX124" s="6"/>
      <c r="AY124" s="6"/>
      <c r="AZ124" s="6"/>
      <c r="BA124" s="6"/>
      <c r="BB124" s="6"/>
      <c r="BC124" s="6"/>
    </row>
    <row r="125" spans="1:55" x14ac:dyDescent="0.25">
      <c r="A125" s="37"/>
      <c r="B125" s="38"/>
      <c r="C125" s="37"/>
      <c r="D125" s="2"/>
      <c r="E125" s="2"/>
      <c r="F125" s="38"/>
      <c r="G125" s="37"/>
      <c r="H125" s="2"/>
      <c r="I125" s="3"/>
      <c r="J125" s="90" t="str">
        <f>IF(C125&lt;&gt;"",$C125/'Elements and ions'!$B$12,"")</f>
        <v/>
      </c>
      <c r="K125" s="65" t="str">
        <f>IF(D125&lt;&gt;"",$D125/'Elements and ions'!$B$20,"")</f>
        <v/>
      </c>
      <c r="L125" s="65" t="str">
        <f>IF(E125&lt;&gt;"",$E125/'Elements and ions'!$B$21*2,"")</f>
        <v/>
      </c>
      <c r="M125" s="81" t="str">
        <f>IF(F125&lt;&gt;"",$F125/'Elements and ions'!$B$13*2,"")</f>
        <v/>
      </c>
      <c r="N125" s="80" t="str">
        <f>IF(G125&lt;&gt;"",-$G125/'Elements and ions'!$F$3,"")</f>
        <v/>
      </c>
      <c r="O125" s="65" t="str">
        <f>IF(H125&lt;&gt;"",-$H125/'Elements and ions'!$B$18,"")</f>
        <v/>
      </c>
      <c r="P125" s="81" t="str">
        <f>IF(I125&lt;&gt;"",-2*$I125/'Elements and ions'!$F$4,"")</f>
        <v/>
      </c>
      <c r="Q125" s="80" t="str">
        <f t="shared" si="25"/>
        <v/>
      </c>
      <c r="R125" s="65" t="str">
        <f t="shared" si="26"/>
        <v/>
      </c>
      <c r="S125" s="81" t="str">
        <f t="shared" si="27"/>
        <v/>
      </c>
      <c r="T125" s="80" t="str">
        <f t="shared" si="28"/>
        <v/>
      </c>
      <c r="U125" s="65" t="str">
        <f t="shared" si="29"/>
        <v/>
      </c>
      <c r="V125" s="91" t="str">
        <f t="shared" si="30"/>
        <v/>
      </c>
      <c r="W125" s="70" t="str">
        <f t="shared" si="31"/>
        <v/>
      </c>
      <c r="X125" s="65" t="str">
        <f>IF(V125&lt;&gt;"",IF($V125&lt;&gt;0,(($V125+(0.5*T125))/100+1+$AE$9),-1),"")</f>
        <v/>
      </c>
      <c r="Y125" s="81" t="str">
        <f>IF(AND(W125&lt;&gt;-1,X125&lt;&gt;-1,W125&lt;&gt;"",X125&lt;&gt;"",AA125&lt;&gt;-1,Z125&lt;&gt;-1,AA125&lt;&gt;"",Z125&lt;&gt;""),(W125+X125)/2+(AA125-Z125)/(4*COS(0.5)*$AE$5),"")</f>
        <v/>
      </c>
      <c r="Z125" s="70" t="str">
        <f>IF(S125&lt;&gt;"",IF($S125&lt;&gt;"",((($S125*COS(0.5))*$AE$5)/100),-1),"")</f>
        <v/>
      </c>
      <c r="AA125" s="65" t="str">
        <f>IF(T125&lt;&gt;"",IF($T125&lt;&gt;"",((($T125*COS(0.5))*$AE$5)/100),-1),"")</f>
        <v/>
      </c>
      <c r="AB125" s="66" t="str">
        <f>IF(Y125&lt;&gt;"",2*COS(0.5)*$AE$5*(X125-W125)/2+(AA125+Z125)/2,"")</f>
        <v/>
      </c>
      <c r="AC125" s="5"/>
      <c r="AE125" s="51" t="s">
        <v>138</v>
      </c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V125" s="6"/>
      <c r="AW125" s="6"/>
      <c r="AX125" s="6"/>
      <c r="AY125" s="6"/>
      <c r="AZ125" s="6"/>
      <c r="BA125" s="6"/>
      <c r="BB125" s="6"/>
      <c r="BC125" s="6"/>
    </row>
    <row r="126" spans="1:55" x14ac:dyDescent="0.25">
      <c r="A126" s="37"/>
      <c r="B126" s="38"/>
      <c r="C126" s="37"/>
      <c r="D126" s="2"/>
      <c r="E126" s="2"/>
      <c r="F126" s="38"/>
      <c r="G126" s="37"/>
      <c r="H126" s="2"/>
      <c r="I126" s="3"/>
      <c r="J126" s="90" t="str">
        <f>IF(C126&lt;&gt;"",$C126/'Elements and ions'!$B$12,"")</f>
        <v/>
      </c>
      <c r="K126" s="65" t="str">
        <f>IF(D126&lt;&gt;"",$D126/'Elements and ions'!$B$20,"")</f>
        <v/>
      </c>
      <c r="L126" s="65" t="str">
        <f>IF(E126&lt;&gt;"",$E126/'Elements and ions'!$B$21*2,"")</f>
        <v/>
      </c>
      <c r="M126" s="81" t="str">
        <f>IF(F126&lt;&gt;"",$F126/'Elements and ions'!$B$13*2,"")</f>
        <v/>
      </c>
      <c r="N126" s="80" t="str">
        <f>IF(G126&lt;&gt;"",-$G126/'Elements and ions'!$F$3,"")</f>
        <v/>
      </c>
      <c r="O126" s="65" t="str">
        <f>IF(H126&lt;&gt;"",-$H126/'Elements and ions'!$B$18,"")</f>
        <v/>
      </c>
      <c r="P126" s="81" t="str">
        <f>IF(I126&lt;&gt;"",-2*$I126/'Elements and ions'!$F$4,"")</f>
        <v/>
      </c>
      <c r="Q126" s="80" t="str">
        <f t="shared" si="25"/>
        <v/>
      </c>
      <c r="R126" s="65" t="str">
        <f t="shared" si="26"/>
        <v/>
      </c>
      <c r="S126" s="81" t="str">
        <f t="shared" si="27"/>
        <v/>
      </c>
      <c r="T126" s="80" t="str">
        <f t="shared" si="28"/>
        <v/>
      </c>
      <c r="U126" s="65" t="str">
        <f t="shared" si="29"/>
        <v/>
      </c>
      <c r="V126" s="91" t="str">
        <f t="shared" si="30"/>
        <v/>
      </c>
      <c r="W126" s="70" t="str">
        <f t="shared" si="31"/>
        <v/>
      </c>
      <c r="X126" s="65" t="str">
        <f>IF(V126&lt;&gt;"",IF($V126&lt;&gt;0,(($V126+(0.5*T126))/100+1+$AE$9),-1),"")</f>
        <v/>
      </c>
      <c r="Y126" s="81" t="str">
        <f>IF(AND(W126&lt;&gt;-1,X126&lt;&gt;-1,W126&lt;&gt;"",X126&lt;&gt;"",AA126&lt;&gt;-1,Z126&lt;&gt;-1,AA126&lt;&gt;"",Z126&lt;&gt;""),(W126+X126)/2+(AA126-Z126)/(4*COS(0.5)*$AE$5),"")</f>
        <v/>
      </c>
      <c r="Z126" s="70" t="str">
        <f>IF(S126&lt;&gt;"",IF($S126&lt;&gt;"",((($S126*COS(0.5))*$AE$5)/100),-1),"")</f>
        <v/>
      </c>
      <c r="AA126" s="65" t="str">
        <f>IF(T126&lt;&gt;"",IF($T126&lt;&gt;"",((($T126*COS(0.5))*$AE$5)/100),-1),"")</f>
        <v/>
      </c>
      <c r="AB126" s="66" t="str">
        <f>IF(Y126&lt;&gt;"",2*COS(0.5)*$AE$5*(X126-W126)/2+(AA126+Z126)/2,"")</f>
        <v/>
      </c>
      <c r="AC126" s="5"/>
      <c r="AE126" s="51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V126" s="6"/>
      <c r="AW126" s="6"/>
      <c r="AX126" s="6"/>
      <c r="AY126" s="6"/>
      <c r="AZ126" s="6"/>
      <c r="BA126" s="6"/>
      <c r="BB126" s="6"/>
      <c r="BC126" s="6"/>
    </row>
    <row r="127" spans="1:55" x14ac:dyDescent="0.25">
      <c r="A127" s="37"/>
      <c r="B127" s="38"/>
      <c r="C127" s="37"/>
      <c r="D127" s="2"/>
      <c r="E127" s="2"/>
      <c r="F127" s="38"/>
      <c r="G127" s="37"/>
      <c r="H127" s="2"/>
      <c r="I127" s="3"/>
      <c r="J127" s="90" t="str">
        <f>IF(C127&lt;&gt;"",$C127/'Elements and ions'!$B$12,"")</f>
        <v/>
      </c>
      <c r="K127" s="65" t="str">
        <f>IF(D127&lt;&gt;"",$D127/'Elements and ions'!$B$20,"")</f>
        <v/>
      </c>
      <c r="L127" s="65" t="str">
        <f>IF(E127&lt;&gt;"",$E127/'Elements and ions'!$B$21*2,"")</f>
        <v/>
      </c>
      <c r="M127" s="81" t="str">
        <f>IF(F127&lt;&gt;"",$F127/'Elements and ions'!$B$13*2,"")</f>
        <v/>
      </c>
      <c r="N127" s="80" t="str">
        <f>IF(G127&lt;&gt;"",-$G127/'Elements and ions'!$F$3,"")</f>
        <v/>
      </c>
      <c r="O127" s="65" t="str">
        <f>IF(H127&lt;&gt;"",-$H127/'Elements and ions'!$B$18,"")</f>
        <v/>
      </c>
      <c r="P127" s="81" t="str">
        <f>IF(I127&lt;&gt;"",-2*$I127/'Elements and ions'!$F$4,"")</f>
        <v/>
      </c>
      <c r="Q127" s="80" t="str">
        <f t="shared" si="25"/>
        <v/>
      </c>
      <c r="R127" s="65" t="str">
        <f t="shared" si="26"/>
        <v/>
      </c>
      <c r="S127" s="81" t="str">
        <f t="shared" si="27"/>
        <v/>
      </c>
      <c r="T127" s="80" t="str">
        <f t="shared" si="28"/>
        <v/>
      </c>
      <c r="U127" s="65" t="str">
        <f t="shared" si="29"/>
        <v/>
      </c>
      <c r="V127" s="91" t="str">
        <f t="shared" si="30"/>
        <v/>
      </c>
      <c r="W127" s="70" t="str">
        <f t="shared" si="31"/>
        <v/>
      </c>
      <c r="X127" s="65" t="str">
        <f>IF(V127&lt;&gt;"",IF($V127&lt;&gt;0,(($V127+(0.5*T127))/100+1+$AE$9),-1),"")</f>
        <v/>
      </c>
      <c r="Y127" s="81" t="str">
        <f>IF(AND(W127&lt;&gt;-1,X127&lt;&gt;-1,W127&lt;&gt;"",X127&lt;&gt;"",AA127&lt;&gt;-1,Z127&lt;&gt;-1,AA127&lt;&gt;"",Z127&lt;&gt;""),(W127+X127)/2+(AA127-Z127)/(4*COS(0.5)*$AE$5),"")</f>
        <v/>
      </c>
      <c r="Z127" s="70" t="str">
        <f>IF(S127&lt;&gt;"",IF($S127&lt;&gt;"",((($S127*COS(0.5))*$AE$5)/100),-1),"")</f>
        <v/>
      </c>
      <c r="AA127" s="65" t="str">
        <f>IF(T127&lt;&gt;"",IF($T127&lt;&gt;"",((($T127*COS(0.5))*$AE$5)/100),-1),"")</f>
        <v/>
      </c>
      <c r="AB127" s="66" t="str">
        <f>IF(Y127&lt;&gt;"",2*COS(0.5)*$AE$5*(X127-W127)/2+(AA127+Z127)/2,"")</f>
        <v/>
      </c>
      <c r="AC127" s="5"/>
      <c r="AE127" s="51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V127" s="6"/>
      <c r="AW127" s="6"/>
      <c r="AX127" s="6"/>
      <c r="AY127" s="6"/>
      <c r="AZ127" s="6"/>
      <c r="BA127" s="6"/>
      <c r="BB127" s="6"/>
      <c r="BC127" s="6"/>
    </row>
    <row r="128" spans="1:55" x14ac:dyDescent="0.25">
      <c r="A128" s="37"/>
      <c r="B128" s="38"/>
      <c r="C128" s="37"/>
      <c r="D128" s="2"/>
      <c r="E128" s="2"/>
      <c r="F128" s="38"/>
      <c r="G128" s="37"/>
      <c r="H128" s="2"/>
      <c r="I128" s="3"/>
      <c r="J128" s="90" t="str">
        <f>IF(C128&lt;&gt;"",$C128/'Elements and ions'!$B$12,"")</f>
        <v/>
      </c>
      <c r="K128" s="65" t="str">
        <f>IF(D128&lt;&gt;"",$D128/'Elements and ions'!$B$20,"")</f>
        <v/>
      </c>
      <c r="L128" s="65" t="str">
        <f>IF(E128&lt;&gt;"",$E128/'Elements and ions'!$B$21*2,"")</f>
        <v/>
      </c>
      <c r="M128" s="81" t="str">
        <f>IF(F128&lt;&gt;"",$F128/'Elements and ions'!$B$13*2,"")</f>
        <v/>
      </c>
      <c r="N128" s="80" t="str">
        <f>IF(G128&lt;&gt;"",-$G128/'Elements and ions'!$F$3,"")</f>
        <v/>
      </c>
      <c r="O128" s="65" t="str">
        <f>IF(H128&lt;&gt;"",-$H128/'Elements and ions'!$B$18,"")</f>
        <v/>
      </c>
      <c r="P128" s="81" t="str">
        <f>IF(I128&lt;&gt;"",-2*$I128/'Elements and ions'!$F$4,"")</f>
        <v/>
      </c>
      <c r="Q128" s="80" t="str">
        <f t="shared" si="25"/>
        <v/>
      </c>
      <c r="R128" s="65" t="str">
        <f t="shared" si="26"/>
        <v/>
      </c>
      <c r="S128" s="81" t="str">
        <f t="shared" si="27"/>
        <v/>
      </c>
      <c r="T128" s="80" t="str">
        <f t="shared" si="28"/>
        <v/>
      </c>
      <c r="U128" s="65" t="str">
        <f t="shared" si="29"/>
        <v/>
      </c>
      <c r="V128" s="91" t="str">
        <f t="shared" si="30"/>
        <v/>
      </c>
      <c r="W128" s="70" t="str">
        <f t="shared" si="31"/>
        <v/>
      </c>
      <c r="X128" s="65" t="str">
        <f>IF(V128&lt;&gt;"",IF($V128&lt;&gt;0,(($V128+(0.5*T128))/100+1+$AE$9),-1),"")</f>
        <v/>
      </c>
      <c r="Y128" s="81" t="str">
        <f>IF(AND(W128&lt;&gt;-1,X128&lt;&gt;-1,W128&lt;&gt;"",X128&lt;&gt;"",AA128&lt;&gt;-1,Z128&lt;&gt;-1,AA128&lt;&gt;"",Z128&lt;&gt;""),(W128+X128)/2+(AA128-Z128)/(4*COS(0.5)*$AE$5),"")</f>
        <v/>
      </c>
      <c r="Z128" s="70" t="str">
        <f>IF(S128&lt;&gt;"",IF($S128&lt;&gt;"",((($S128*COS(0.5))*$AE$5)/100),-1),"")</f>
        <v/>
      </c>
      <c r="AA128" s="65" t="str">
        <f>IF(T128&lt;&gt;"",IF($T128&lt;&gt;"",((($T128*COS(0.5))*$AE$5)/100),-1),"")</f>
        <v/>
      </c>
      <c r="AB128" s="66" t="str">
        <f>IF(Y128&lt;&gt;"",2*COS(0.5)*$AE$5*(X128-W128)/2+(AA128+Z128)/2,"")</f>
        <v/>
      </c>
      <c r="AC128" s="5"/>
      <c r="AE128" s="51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V128" s="6"/>
      <c r="AW128" s="6"/>
      <c r="AX128" s="6"/>
      <c r="AY128" s="6"/>
      <c r="AZ128" s="6"/>
      <c r="BA128" s="6"/>
      <c r="BB128" s="6"/>
      <c r="BC128" s="6"/>
    </row>
    <row r="129" spans="1:55" x14ac:dyDescent="0.25">
      <c r="A129" s="37"/>
      <c r="B129" s="38"/>
      <c r="C129" s="37"/>
      <c r="D129" s="2"/>
      <c r="E129" s="2"/>
      <c r="F129" s="38"/>
      <c r="G129" s="37"/>
      <c r="H129" s="2"/>
      <c r="I129" s="3"/>
      <c r="J129" s="90" t="str">
        <f>IF(C129&lt;&gt;"",$C129/'Elements and ions'!$B$12,"")</f>
        <v/>
      </c>
      <c r="K129" s="65" t="str">
        <f>IF(D129&lt;&gt;"",$D129/'Elements and ions'!$B$20,"")</f>
        <v/>
      </c>
      <c r="L129" s="65" t="str">
        <f>IF(E129&lt;&gt;"",$E129/'Elements and ions'!$B$21*2,"")</f>
        <v/>
      </c>
      <c r="M129" s="81" t="str">
        <f>IF(F129&lt;&gt;"",$F129/'Elements and ions'!$B$13*2,"")</f>
        <v/>
      </c>
      <c r="N129" s="80" t="str">
        <f>IF(G129&lt;&gt;"",-$G129/'Elements and ions'!$F$3,"")</f>
        <v/>
      </c>
      <c r="O129" s="65" t="str">
        <f>IF(H129&lt;&gt;"",-$H129/'Elements and ions'!$B$18,"")</f>
        <v/>
      </c>
      <c r="P129" s="81" t="str">
        <f>IF(I129&lt;&gt;"",-2*$I129/'Elements and ions'!$F$4,"")</f>
        <v/>
      </c>
      <c r="Q129" s="80" t="str">
        <f t="shared" si="25"/>
        <v/>
      </c>
      <c r="R129" s="65" t="str">
        <f t="shared" si="26"/>
        <v/>
      </c>
      <c r="S129" s="81" t="str">
        <f t="shared" si="27"/>
        <v/>
      </c>
      <c r="T129" s="80" t="str">
        <f t="shared" si="28"/>
        <v/>
      </c>
      <c r="U129" s="65" t="str">
        <f t="shared" si="29"/>
        <v/>
      </c>
      <c r="V129" s="91" t="str">
        <f t="shared" si="30"/>
        <v/>
      </c>
      <c r="W129" s="70" t="str">
        <f t="shared" si="31"/>
        <v/>
      </c>
      <c r="X129" s="65" t="str">
        <f>IF(V129&lt;&gt;"",IF($V129&lt;&gt;0,(($V129+(0.5*T129))/100+1+$AE$9),-1),"")</f>
        <v/>
      </c>
      <c r="Y129" s="81" t="str">
        <f>IF(AND(W129&lt;&gt;-1,X129&lt;&gt;-1,W129&lt;&gt;"",X129&lt;&gt;"",AA129&lt;&gt;-1,Z129&lt;&gt;-1,AA129&lt;&gt;"",Z129&lt;&gt;""),(W129+X129)/2+(AA129-Z129)/(4*COS(0.5)*$AE$5),"")</f>
        <v/>
      </c>
      <c r="Z129" s="70" t="str">
        <f>IF(S129&lt;&gt;"",IF($S129&lt;&gt;"",((($S129*COS(0.5))*$AE$5)/100),-1),"")</f>
        <v/>
      </c>
      <c r="AA129" s="65" t="str">
        <f>IF(T129&lt;&gt;"",IF($T129&lt;&gt;"",((($T129*COS(0.5))*$AE$5)/100),-1),"")</f>
        <v/>
      </c>
      <c r="AB129" s="66" t="str">
        <f>IF(Y129&lt;&gt;"",2*COS(0.5)*$AE$5*(X129-W129)/2+(AA129+Z129)/2,"")</f>
        <v/>
      </c>
      <c r="AC129" s="5"/>
      <c r="AE129" s="51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V129" s="6"/>
      <c r="AW129" s="6"/>
      <c r="AX129" s="6"/>
      <c r="AY129" s="6"/>
      <c r="AZ129" s="6"/>
      <c r="BA129" s="6"/>
      <c r="BB129" s="6"/>
      <c r="BC129" s="6"/>
    </row>
    <row r="130" spans="1:55" x14ac:dyDescent="0.25">
      <c r="A130" s="37"/>
      <c r="B130" s="38"/>
      <c r="C130" s="37"/>
      <c r="D130" s="2"/>
      <c r="E130" s="2"/>
      <c r="F130" s="38"/>
      <c r="G130" s="37"/>
      <c r="H130" s="2"/>
      <c r="I130" s="3"/>
      <c r="J130" s="90" t="str">
        <f>IF(C130&lt;&gt;"",$C130/'Elements and ions'!$B$12,"")</f>
        <v/>
      </c>
      <c r="K130" s="65" t="str">
        <f>IF(D130&lt;&gt;"",$D130/'Elements and ions'!$B$20,"")</f>
        <v/>
      </c>
      <c r="L130" s="65" t="str">
        <f>IF(E130&lt;&gt;"",$E130/'Elements and ions'!$B$21*2,"")</f>
        <v/>
      </c>
      <c r="M130" s="81" t="str">
        <f>IF(F130&lt;&gt;"",$F130/'Elements and ions'!$B$13*2,"")</f>
        <v/>
      </c>
      <c r="N130" s="80" t="str">
        <f>IF(G130&lt;&gt;"",-$G130/'Elements and ions'!$F$3,"")</f>
        <v/>
      </c>
      <c r="O130" s="65" t="str">
        <f>IF(H130&lt;&gt;"",-$H130/'Elements and ions'!$B$18,"")</f>
        <v/>
      </c>
      <c r="P130" s="81" t="str">
        <f>IF(I130&lt;&gt;"",-2*$I130/'Elements and ions'!$F$4,"")</f>
        <v/>
      </c>
      <c r="Q130" s="80" t="str">
        <f t="shared" si="25"/>
        <v/>
      </c>
      <c r="R130" s="65" t="str">
        <f t="shared" si="26"/>
        <v/>
      </c>
      <c r="S130" s="81" t="str">
        <f t="shared" si="27"/>
        <v/>
      </c>
      <c r="T130" s="80" t="str">
        <f t="shared" si="28"/>
        <v/>
      </c>
      <c r="U130" s="65" t="str">
        <f t="shared" si="29"/>
        <v/>
      </c>
      <c r="V130" s="91" t="str">
        <f t="shared" si="30"/>
        <v/>
      </c>
      <c r="W130" s="70" t="str">
        <f t="shared" si="31"/>
        <v/>
      </c>
      <c r="X130" s="65" t="str">
        <f>IF(V130&lt;&gt;"",IF($V130&lt;&gt;0,(($V130+(0.5*T130))/100+1+$AE$9),-1),"")</f>
        <v/>
      </c>
      <c r="Y130" s="81" t="str">
        <f>IF(AND(W130&lt;&gt;-1,X130&lt;&gt;-1,W130&lt;&gt;"",X130&lt;&gt;"",AA130&lt;&gt;-1,Z130&lt;&gt;-1,AA130&lt;&gt;"",Z130&lt;&gt;""),(W130+X130)/2+(AA130-Z130)/(4*COS(0.5)*$AE$5),"")</f>
        <v/>
      </c>
      <c r="Z130" s="70" t="str">
        <f>IF(S130&lt;&gt;"",IF($S130&lt;&gt;"",((($S130*COS(0.5))*$AE$5)/100),-1),"")</f>
        <v/>
      </c>
      <c r="AA130" s="65" t="str">
        <f>IF(T130&lt;&gt;"",IF($T130&lt;&gt;"",((($T130*COS(0.5))*$AE$5)/100),-1),"")</f>
        <v/>
      </c>
      <c r="AB130" s="66" t="str">
        <f>IF(Y130&lt;&gt;"",2*COS(0.5)*$AE$5*(X130-W130)/2+(AA130+Z130)/2,"")</f>
        <v/>
      </c>
      <c r="AC130" s="5"/>
      <c r="AE130" s="51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V130" s="6"/>
      <c r="AW130" s="6"/>
      <c r="AX130" s="6"/>
      <c r="AY130" s="6"/>
      <c r="AZ130" s="6"/>
      <c r="BA130" s="6"/>
      <c r="BB130" s="6"/>
      <c r="BC130" s="6"/>
    </row>
    <row r="131" spans="1:55" x14ac:dyDescent="0.25">
      <c r="A131" s="37"/>
      <c r="B131" s="38"/>
      <c r="C131" s="37"/>
      <c r="D131" s="2"/>
      <c r="E131" s="2"/>
      <c r="F131" s="38"/>
      <c r="G131" s="37"/>
      <c r="H131" s="2"/>
      <c r="I131" s="3"/>
      <c r="J131" s="90" t="str">
        <f>IF(C131&lt;&gt;"",$C131/'Elements and ions'!$B$12,"")</f>
        <v/>
      </c>
      <c r="K131" s="65" t="str">
        <f>IF(D131&lt;&gt;"",$D131/'Elements and ions'!$B$20,"")</f>
        <v/>
      </c>
      <c r="L131" s="65" t="str">
        <f>IF(E131&lt;&gt;"",$E131/'Elements and ions'!$B$21*2,"")</f>
        <v/>
      </c>
      <c r="M131" s="81" t="str">
        <f>IF(F131&lt;&gt;"",$F131/'Elements and ions'!$B$13*2,"")</f>
        <v/>
      </c>
      <c r="N131" s="80" t="str">
        <f>IF(G131&lt;&gt;"",-$G131/'Elements and ions'!$F$3,"")</f>
        <v/>
      </c>
      <c r="O131" s="65" t="str">
        <f>IF(H131&lt;&gt;"",-$H131/'Elements and ions'!$B$18,"")</f>
        <v/>
      </c>
      <c r="P131" s="81" t="str">
        <f>IF(I131&lt;&gt;"",-2*$I131/'Elements and ions'!$F$4,"")</f>
        <v/>
      </c>
      <c r="Q131" s="80" t="str">
        <f t="shared" si="25"/>
        <v/>
      </c>
      <c r="R131" s="65" t="str">
        <f t="shared" si="26"/>
        <v/>
      </c>
      <c r="S131" s="81" t="str">
        <f t="shared" si="27"/>
        <v/>
      </c>
      <c r="T131" s="80" t="str">
        <f t="shared" si="28"/>
        <v/>
      </c>
      <c r="U131" s="65" t="str">
        <f t="shared" si="29"/>
        <v/>
      </c>
      <c r="V131" s="91" t="str">
        <f t="shared" si="30"/>
        <v/>
      </c>
      <c r="W131" s="70" t="str">
        <f t="shared" si="31"/>
        <v/>
      </c>
      <c r="X131" s="65" t="str">
        <f>IF(V131&lt;&gt;"",IF($V131&lt;&gt;0,(($V131+(0.5*T131))/100+1+$AE$9),-1),"")</f>
        <v/>
      </c>
      <c r="Y131" s="81" t="str">
        <f>IF(AND(W131&lt;&gt;-1,X131&lt;&gt;-1,W131&lt;&gt;"",X131&lt;&gt;"",AA131&lt;&gt;-1,Z131&lt;&gt;-1,AA131&lt;&gt;"",Z131&lt;&gt;""),(W131+X131)/2+(AA131-Z131)/(4*COS(0.5)*$AE$5),"")</f>
        <v/>
      </c>
      <c r="Z131" s="70" t="str">
        <f>IF(S131&lt;&gt;"",IF($S131&lt;&gt;"",((($S131*COS(0.5))*$AE$5)/100),-1),"")</f>
        <v/>
      </c>
      <c r="AA131" s="65" t="str">
        <f>IF(T131&lt;&gt;"",IF($T131&lt;&gt;"",((($T131*COS(0.5))*$AE$5)/100),-1),"")</f>
        <v/>
      </c>
      <c r="AB131" s="66" t="str">
        <f>IF(Y131&lt;&gt;"",2*COS(0.5)*$AE$5*(X131-W131)/2+(AA131+Z131)/2,"")</f>
        <v/>
      </c>
      <c r="AC131" s="5"/>
      <c r="AE131" s="51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V131" s="6"/>
      <c r="AW131" s="6"/>
      <c r="AX131" s="6"/>
      <c r="AY131" s="6"/>
      <c r="AZ131" s="6"/>
      <c r="BA131" s="6"/>
      <c r="BB131" s="6"/>
      <c r="BC131" s="6"/>
    </row>
    <row r="132" spans="1:55" x14ac:dyDescent="0.25">
      <c r="A132" s="37"/>
      <c r="B132" s="38"/>
      <c r="C132" s="37"/>
      <c r="D132" s="2"/>
      <c r="E132" s="2"/>
      <c r="F132" s="38"/>
      <c r="G132" s="37"/>
      <c r="H132" s="2"/>
      <c r="I132" s="3"/>
      <c r="J132" s="90" t="str">
        <f>IF(C132&lt;&gt;"",$C132/'Elements and ions'!$B$12,"")</f>
        <v/>
      </c>
      <c r="K132" s="65" t="str">
        <f>IF(D132&lt;&gt;"",$D132/'Elements and ions'!$B$20,"")</f>
        <v/>
      </c>
      <c r="L132" s="65" t="str">
        <f>IF(E132&lt;&gt;"",$E132/'Elements and ions'!$B$21*2,"")</f>
        <v/>
      </c>
      <c r="M132" s="81" t="str">
        <f>IF(F132&lt;&gt;"",$F132/'Elements and ions'!$B$13*2,"")</f>
        <v/>
      </c>
      <c r="N132" s="80" t="str">
        <f>IF(G132&lt;&gt;"",-$G132/'Elements and ions'!$F$3,"")</f>
        <v/>
      </c>
      <c r="O132" s="65" t="str">
        <f>IF(H132&lt;&gt;"",-$H132/'Elements and ions'!$B$18,"")</f>
        <v/>
      </c>
      <c r="P132" s="81" t="str">
        <f>IF(I132&lt;&gt;"",-2*$I132/'Elements and ions'!$F$4,"")</f>
        <v/>
      </c>
      <c r="Q132" s="80" t="str">
        <f t="shared" si="25"/>
        <v/>
      </c>
      <c r="R132" s="65" t="str">
        <f t="shared" si="26"/>
        <v/>
      </c>
      <c r="S132" s="81" t="str">
        <f t="shared" si="27"/>
        <v/>
      </c>
      <c r="T132" s="80" t="str">
        <f t="shared" si="28"/>
        <v/>
      </c>
      <c r="U132" s="65" t="str">
        <f t="shared" si="29"/>
        <v/>
      </c>
      <c r="V132" s="91" t="str">
        <f t="shared" si="30"/>
        <v/>
      </c>
      <c r="W132" s="70" t="str">
        <f t="shared" si="31"/>
        <v/>
      </c>
      <c r="X132" s="65" t="str">
        <f>IF(V132&lt;&gt;"",IF($V132&lt;&gt;0,(($V132+(0.5*T132))/100+1+$AE$9),-1),"")</f>
        <v/>
      </c>
      <c r="Y132" s="81" t="str">
        <f>IF(AND(W132&lt;&gt;-1,X132&lt;&gt;-1,W132&lt;&gt;"",X132&lt;&gt;"",AA132&lt;&gt;-1,Z132&lt;&gt;-1,AA132&lt;&gt;"",Z132&lt;&gt;""),(W132+X132)/2+(AA132-Z132)/(4*COS(0.5)*$AE$5),"")</f>
        <v/>
      </c>
      <c r="Z132" s="70" t="str">
        <f>IF(S132&lt;&gt;"",IF($S132&lt;&gt;"",((($S132*COS(0.5))*$AE$5)/100),-1),"")</f>
        <v/>
      </c>
      <c r="AA132" s="65" t="str">
        <f>IF(T132&lt;&gt;"",IF($T132&lt;&gt;"",((($T132*COS(0.5))*$AE$5)/100),-1),"")</f>
        <v/>
      </c>
      <c r="AB132" s="66" t="str">
        <f>IF(Y132&lt;&gt;"",2*COS(0.5)*$AE$5*(X132-W132)/2+(AA132+Z132)/2,"")</f>
        <v/>
      </c>
      <c r="AC132" s="5"/>
      <c r="AE132" s="51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V132" s="6"/>
      <c r="AW132" s="6"/>
      <c r="AX132" s="6"/>
      <c r="AY132" s="6"/>
      <c r="AZ132" s="6"/>
      <c r="BA132" s="6"/>
      <c r="BB132" s="6"/>
      <c r="BC132" s="6"/>
    </row>
    <row r="133" spans="1:55" x14ac:dyDescent="0.25">
      <c r="A133" s="37"/>
      <c r="B133" s="38"/>
      <c r="C133" s="37"/>
      <c r="D133" s="2"/>
      <c r="E133" s="2"/>
      <c r="F133" s="38"/>
      <c r="G133" s="37"/>
      <c r="H133" s="2"/>
      <c r="I133" s="3"/>
      <c r="J133" s="90" t="str">
        <f>IF(C133&lt;&gt;"",$C133/'Elements and ions'!$B$12,"")</f>
        <v/>
      </c>
      <c r="K133" s="65" t="str">
        <f>IF(D133&lt;&gt;"",$D133/'Elements and ions'!$B$20,"")</f>
        <v/>
      </c>
      <c r="L133" s="65" t="str">
        <f>IF(E133&lt;&gt;"",$E133/'Elements and ions'!$B$21*2,"")</f>
        <v/>
      </c>
      <c r="M133" s="81" t="str">
        <f>IF(F133&lt;&gt;"",$F133/'Elements and ions'!$B$13*2,"")</f>
        <v/>
      </c>
      <c r="N133" s="80" t="str">
        <f>IF(G133&lt;&gt;"",-$G133/'Elements and ions'!$F$3,"")</f>
        <v/>
      </c>
      <c r="O133" s="65" t="str">
        <f>IF(H133&lt;&gt;"",-$H133/'Elements and ions'!$B$18,"")</f>
        <v/>
      </c>
      <c r="P133" s="81" t="str">
        <f>IF(I133&lt;&gt;"",-2*$I133/'Elements and ions'!$F$4,"")</f>
        <v/>
      </c>
      <c r="Q133" s="80" t="str">
        <f t="shared" ref="Q133:Q196" si="35">IF(OR(J133&lt;&gt;"",K133&lt;&gt;""),(J133+K133)/(J133+K133+L133+M133)*100,"")</f>
        <v/>
      </c>
      <c r="R133" s="65" t="str">
        <f t="shared" ref="R133:R196" si="36">IF(L133&lt;&gt;"",L133/(J133+K133+L133+M133)*100,"")</f>
        <v/>
      </c>
      <c r="S133" s="81" t="str">
        <f t="shared" ref="S133:S196" si="37">IF(M133&lt;&gt;"",M133/(K133+L133+M133+J133)*100,"")</f>
        <v/>
      </c>
      <c r="T133" s="80" t="str">
        <f t="shared" ref="T133:T196" si="38">IF(N133&lt;&gt;"",N133/(N133+O133+P133)*100,"")</f>
        <v/>
      </c>
      <c r="U133" s="65" t="str">
        <f t="shared" ref="U133:U196" si="39">IF(O133&lt;&gt;"",O133/(O133+P133+N133)*100,"")</f>
        <v/>
      </c>
      <c r="V133" s="91" t="str">
        <f t="shared" ref="V133:V196" si="40">IF(P133&lt;&gt;"",P133/(P133+N133+O133)*100,"")</f>
        <v/>
      </c>
      <c r="W133" s="70" t="str">
        <f t="shared" ref="W133:W196" si="41">IF(Q133&lt;&gt;"",IF(Q133&lt;&gt;0,((Q133+(0.5*S133))/100),-1),"")</f>
        <v/>
      </c>
      <c r="X133" s="65" t="str">
        <f>IF(V133&lt;&gt;"",IF($V133&lt;&gt;0,(($V133+(0.5*T133))/100+1+$AE$9),-1),"")</f>
        <v/>
      </c>
      <c r="Y133" s="81" t="str">
        <f>IF(AND(W133&lt;&gt;-1,X133&lt;&gt;-1,W133&lt;&gt;"",X133&lt;&gt;"",AA133&lt;&gt;-1,Z133&lt;&gt;-1,AA133&lt;&gt;"",Z133&lt;&gt;""),(W133+X133)/2+(AA133-Z133)/(4*COS(0.5)*$AE$5),"")</f>
        <v/>
      </c>
      <c r="Z133" s="70" t="str">
        <f>IF(S133&lt;&gt;"",IF($S133&lt;&gt;"",((($S133*COS(0.5))*$AE$5)/100),-1),"")</f>
        <v/>
      </c>
      <c r="AA133" s="65" t="str">
        <f>IF(T133&lt;&gt;"",IF($T133&lt;&gt;"",((($T133*COS(0.5))*$AE$5)/100),-1),"")</f>
        <v/>
      </c>
      <c r="AB133" s="66" t="str">
        <f>IF(Y133&lt;&gt;"",2*COS(0.5)*$AE$5*(X133-W133)/2+(AA133+Z133)/2,"")</f>
        <v/>
      </c>
      <c r="AC133" s="5"/>
      <c r="AE133" s="51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V133" s="6"/>
      <c r="AW133" s="6"/>
      <c r="AX133" s="6"/>
      <c r="AY133" s="6"/>
      <c r="AZ133" s="6"/>
      <c r="BA133" s="6"/>
      <c r="BB133" s="6"/>
      <c r="BC133" s="6"/>
    </row>
    <row r="134" spans="1:55" x14ac:dyDescent="0.25">
      <c r="A134" s="37"/>
      <c r="B134" s="38"/>
      <c r="C134" s="37"/>
      <c r="D134" s="2"/>
      <c r="E134" s="2"/>
      <c r="F134" s="38"/>
      <c r="G134" s="37"/>
      <c r="H134" s="2"/>
      <c r="I134" s="3"/>
      <c r="J134" s="90" t="str">
        <f>IF(C134&lt;&gt;"",$C134/'Elements and ions'!$B$12,"")</f>
        <v/>
      </c>
      <c r="K134" s="65" t="str">
        <f>IF(D134&lt;&gt;"",$D134/'Elements and ions'!$B$20,"")</f>
        <v/>
      </c>
      <c r="L134" s="65" t="str">
        <f>IF(E134&lt;&gt;"",$E134/'Elements and ions'!$B$21*2,"")</f>
        <v/>
      </c>
      <c r="M134" s="81" t="str">
        <f>IF(F134&lt;&gt;"",$F134/'Elements and ions'!$B$13*2,"")</f>
        <v/>
      </c>
      <c r="N134" s="80" t="str">
        <f>IF(G134&lt;&gt;"",-$G134/'Elements and ions'!$F$3,"")</f>
        <v/>
      </c>
      <c r="O134" s="65" t="str">
        <f>IF(H134&lt;&gt;"",-$H134/'Elements and ions'!$B$18,"")</f>
        <v/>
      </c>
      <c r="P134" s="81" t="str">
        <f>IF(I134&lt;&gt;"",-2*$I134/'Elements and ions'!$F$4,"")</f>
        <v/>
      </c>
      <c r="Q134" s="80" t="str">
        <f t="shared" si="35"/>
        <v/>
      </c>
      <c r="R134" s="65" t="str">
        <f t="shared" si="36"/>
        <v/>
      </c>
      <c r="S134" s="81" t="str">
        <f t="shared" si="37"/>
        <v/>
      </c>
      <c r="T134" s="80" t="str">
        <f t="shared" si="38"/>
        <v/>
      </c>
      <c r="U134" s="65" t="str">
        <f t="shared" si="39"/>
        <v/>
      </c>
      <c r="V134" s="91" t="str">
        <f t="shared" si="40"/>
        <v/>
      </c>
      <c r="W134" s="70" t="str">
        <f t="shared" si="41"/>
        <v/>
      </c>
      <c r="X134" s="65" t="str">
        <f>IF(V134&lt;&gt;"",IF($V134&lt;&gt;0,(($V134+(0.5*T134))/100+1+$AE$9),-1),"")</f>
        <v/>
      </c>
      <c r="Y134" s="81" t="str">
        <f>IF(AND(W134&lt;&gt;-1,X134&lt;&gt;-1,W134&lt;&gt;"",X134&lt;&gt;"",AA134&lt;&gt;-1,Z134&lt;&gt;-1,AA134&lt;&gt;"",Z134&lt;&gt;""),(W134+X134)/2+(AA134-Z134)/(4*COS(0.5)*$AE$5),"")</f>
        <v/>
      </c>
      <c r="Z134" s="70" t="str">
        <f>IF(S134&lt;&gt;"",IF($S134&lt;&gt;"",((($S134*COS(0.5))*$AE$5)/100),-1),"")</f>
        <v/>
      </c>
      <c r="AA134" s="65" t="str">
        <f>IF(T134&lt;&gt;"",IF($T134&lt;&gt;"",((($T134*COS(0.5))*$AE$5)/100),-1),"")</f>
        <v/>
      </c>
      <c r="AB134" s="66" t="str">
        <f>IF(Y134&lt;&gt;"",2*COS(0.5)*$AE$5*(X134-W134)/2+(AA134+Z134)/2,"")</f>
        <v/>
      </c>
      <c r="AC134" s="5"/>
      <c r="AE134" s="51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V134" s="6"/>
      <c r="AW134" s="6"/>
      <c r="AX134" s="6"/>
      <c r="AY134" s="6"/>
      <c r="AZ134" s="6"/>
      <c r="BA134" s="6"/>
      <c r="BB134" s="6"/>
      <c r="BC134" s="6"/>
    </row>
    <row r="135" spans="1:55" x14ac:dyDescent="0.25">
      <c r="A135" s="37"/>
      <c r="B135" s="38"/>
      <c r="C135" s="37"/>
      <c r="D135" s="2"/>
      <c r="E135" s="2"/>
      <c r="F135" s="38"/>
      <c r="G135" s="37"/>
      <c r="H135" s="2"/>
      <c r="I135" s="3"/>
      <c r="J135" s="90" t="str">
        <f>IF(C135&lt;&gt;"",$C135/'Elements and ions'!$B$12,"")</f>
        <v/>
      </c>
      <c r="K135" s="65" t="str">
        <f>IF(D135&lt;&gt;"",$D135/'Elements and ions'!$B$20,"")</f>
        <v/>
      </c>
      <c r="L135" s="65" t="str">
        <f>IF(E135&lt;&gt;"",$E135/'Elements and ions'!$B$21*2,"")</f>
        <v/>
      </c>
      <c r="M135" s="81" t="str">
        <f>IF(F135&lt;&gt;"",$F135/'Elements and ions'!$B$13*2,"")</f>
        <v/>
      </c>
      <c r="N135" s="80" t="str">
        <f>IF(G135&lt;&gt;"",-$G135/'Elements and ions'!$F$3,"")</f>
        <v/>
      </c>
      <c r="O135" s="65" t="str">
        <f>IF(H135&lt;&gt;"",-$H135/'Elements and ions'!$B$18,"")</f>
        <v/>
      </c>
      <c r="P135" s="81" t="str">
        <f>IF(I135&lt;&gt;"",-2*$I135/'Elements and ions'!$F$4,"")</f>
        <v/>
      </c>
      <c r="Q135" s="80" t="str">
        <f t="shared" si="35"/>
        <v/>
      </c>
      <c r="R135" s="65" t="str">
        <f t="shared" si="36"/>
        <v/>
      </c>
      <c r="S135" s="81" t="str">
        <f t="shared" si="37"/>
        <v/>
      </c>
      <c r="T135" s="80" t="str">
        <f t="shared" si="38"/>
        <v/>
      </c>
      <c r="U135" s="65" t="str">
        <f t="shared" si="39"/>
        <v/>
      </c>
      <c r="V135" s="91" t="str">
        <f t="shared" si="40"/>
        <v/>
      </c>
      <c r="W135" s="70" t="str">
        <f t="shared" si="41"/>
        <v/>
      </c>
      <c r="X135" s="65" t="str">
        <f>IF(V135&lt;&gt;"",IF($V135&lt;&gt;0,(($V135+(0.5*T135))/100+1+$AE$9),-1),"")</f>
        <v/>
      </c>
      <c r="Y135" s="81" t="str">
        <f>IF(AND(W135&lt;&gt;-1,X135&lt;&gt;-1,W135&lt;&gt;"",X135&lt;&gt;"",AA135&lt;&gt;-1,Z135&lt;&gt;-1,AA135&lt;&gt;"",Z135&lt;&gt;""),(W135+X135)/2+(AA135-Z135)/(4*COS(0.5)*$AE$5),"")</f>
        <v/>
      </c>
      <c r="Z135" s="70" t="str">
        <f>IF(S135&lt;&gt;"",IF($S135&lt;&gt;"",((($S135*COS(0.5))*$AE$5)/100),-1),"")</f>
        <v/>
      </c>
      <c r="AA135" s="65" t="str">
        <f>IF(T135&lt;&gt;"",IF($T135&lt;&gt;"",((($T135*COS(0.5))*$AE$5)/100),-1),"")</f>
        <v/>
      </c>
      <c r="AB135" s="66" t="str">
        <f>IF(Y135&lt;&gt;"",2*COS(0.5)*$AE$5*(X135-W135)/2+(AA135+Z135)/2,"")</f>
        <v/>
      </c>
      <c r="AC135" s="5"/>
      <c r="AE135" s="51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V135" s="6"/>
      <c r="AW135" s="6"/>
      <c r="AX135" s="6"/>
      <c r="AY135" s="6"/>
      <c r="AZ135" s="6"/>
      <c r="BA135" s="6"/>
      <c r="BB135" s="6"/>
      <c r="BC135" s="6"/>
    </row>
    <row r="136" spans="1:55" x14ac:dyDescent="0.25">
      <c r="A136" s="37"/>
      <c r="B136" s="38"/>
      <c r="C136" s="37"/>
      <c r="D136" s="2"/>
      <c r="E136" s="2"/>
      <c r="F136" s="38"/>
      <c r="G136" s="37"/>
      <c r="H136" s="2"/>
      <c r="I136" s="3"/>
      <c r="J136" s="90" t="str">
        <f>IF(C136&lt;&gt;"",$C136/'Elements and ions'!$B$12,"")</f>
        <v/>
      </c>
      <c r="K136" s="65" t="str">
        <f>IF(D136&lt;&gt;"",$D136/'Elements and ions'!$B$20,"")</f>
        <v/>
      </c>
      <c r="L136" s="65" t="str">
        <f>IF(E136&lt;&gt;"",$E136/'Elements and ions'!$B$21*2,"")</f>
        <v/>
      </c>
      <c r="M136" s="81" t="str">
        <f>IF(F136&lt;&gt;"",$F136/'Elements and ions'!$B$13*2,"")</f>
        <v/>
      </c>
      <c r="N136" s="80" t="str">
        <f>IF(G136&lt;&gt;"",-$G136/'Elements and ions'!$F$3,"")</f>
        <v/>
      </c>
      <c r="O136" s="65" t="str">
        <f>IF(H136&lt;&gt;"",-$H136/'Elements and ions'!$B$18,"")</f>
        <v/>
      </c>
      <c r="P136" s="81" t="str">
        <f>IF(I136&lt;&gt;"",-2*$I136/'Elements and ions'!$F$4,"")</f>
        <v/>
      </c>
      <c r="Q136" s="80" t="str">
        <f t="shared" si="35"/>
        <v/>
      </c>
      <c r="R136" s="65" t="str">
        <f t="shared" si="36"/>
        <v/>
      </c>
      <c r="S136" s="81" t="str">
        <f t="shared" si="37"/>
        <v/>
      </c>
      <c r="T136" s="80" t="str">
        <f t="shared" si="38"/>
        <v/>
      </c>
      <c r="U136" s="65" t="str">
        <f t="shared" si="39"/>
        <v/>
      </c>
      <c r="V136" s="91" t="str">
        <f t="shared" si="40"/>
        <v/>
      </c>
      <c r="W136" s="70" t="str">
        <f t="shared" si="41"/>
        <v/>
      </c>
      <c r="X136" s="65" t="str">
        <f>IF(V136&lt;&gt;"",IF($V136&lt;&gt;0,(($V136+(0.5*T136))/100+1+$AE$9),-1),"")</f>
        <v/>
      </c>
      <c r="Y136" s="81" t="str">
        <f>IF(AND(W136&lt;&gt;-1,X136&lt;&gt;-1,W136&lt;&gt;"",X136&lt;&gt;"",AA136&lt;&gt;-1,Z136&lt;&gt;-1,AA136&lt;&gt;"",Z136&lt;&gt;""),(W136+X136)/2+(AA136-Z136)/(4*COS(0.5)*$AE$5),"")</f>
        <v/>
      </c>
      <c r="Z136" s="70" t="str">
        <f>IF(S136&lt;&gt;"",IF($S136&lt;&gt;"",((($S136*COS(0.5))*$AE$5)/100),-1),"")</f>
        <v/>
      </c>
      <c r="AA136" s="65" t="str">
        <f>IF(T136&lt;&gt;"",IF($T136&lt;&gt;"",((($T136*COS(0.5))*$AE$5)/100),-1),"")</f>
        <v/>
      </c>
      <c r="AB136" s="66" t="str">
        <f>IF(Y136&lt;&gt;"",2*COS(0.5)*$AE$5*(X136-W136)/2+(AA136+Z136)/2,"")</f>
        <v/>
      </c>
      <c r="AC136" s="5"/>
      <c r="AE136" s="51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V136" s="6"/>
      <c r="AW136" s="6"/>
      <c r="AX136" s="6"/>
      <c r="AY136" s="6"/>
      <c r="AZ136" s="6"/>
      <c r="BA136" s="6"/>
      <c r="BB136" s="6"/>
      <c r="BC136" s="6"/>
    </row>
    <row r="137" spans="1:55" x14ac:dyDescent="0.25">
      <c r="A137" s="37"/>
      <c r="B137" s="38"/>
      <c r="C137" s="37"/>
      <c r="D137" s="2"/>
      <c r="E137" s="2"/>
      <c r="F137" s="38"/>
      <c r="G137" s="37"/>
      <c r="H137" s="2"/>
      <c r="I137" s="3"/>
      <c r="J137" s="90" t="str">
        <f>IF(C137&lt;&gt;"",$C137/'Elements and ions'!$B$12,"")</f>
        <v/>
      </c>
      <c r="K137" s="65" t="str">
        <f>IF(D137&lt;&gt;"",$D137/'Elements and ions'!$B$20,"")</f>
        <v/>
      </c>
      <c r="L137" s="65" t="str">
        <f>IF(E137&lt;&gt;"",$E137/'Elements and ions'!$B$21*2,"")</f>
        <v/>
      </c>
      <c r="M137" s="81" t="str">
        <f>IF(F137&lt;&gt;"",$F137/'Elements and ions'!$B$13*2,"")</f>
        <v/>
      </c>
      <c r="N137" s="80" t="str">
        <f>IF(G137&lt;&gt;"",-$G137/'Elements and ions'!$F$3,"")</f>
        <v/>
      </c>
      <c r="O137" s="65" t="str">
        <f>IF(H137&lt;&gt;"",-$H137/'Elements and ions'!$B$18,"")</f>
        <v/>
      </c>
      <c r="P137" s="81" t="str">
        <f>IF(I137&lt;&gt;"",-2*$I137/'Elements and ions'!$F$4,"")</f>
        <v/>
      </c>
      <c r="Q137" s="80" t="str">
        <f t="shared" si="35"/>
        <v/>
      </c>
      <c r="R137" s="65" t="str">
        <f t="shared" si="36"/>
        <v/>
      </c>
      <c r="S137" s="81" t="str">
        <f t="shared" si="37"/>
        <v/>
      </c>
      <c r="T137" s="80" t="str">
        <f t="shared" si="38"/>
        <v/>
      </c>
      <c r="U137" s="65" t="str">
        <f t="shared" si="39"/>
        <v/>
      </c>
      <c r="V137" s="91" t="str">
        <f t="shared" si="40"/>
        <v/>
      </c>
      <c r="W137" s="70" t="str">
        <f t="shared" si="41"/>
        <v/>
      </c>
      <c r="X137" s="65" t="str">
        <f>IF(V137&lt;&gt;"",IF($V137&lt;&gt;0,(($V137+(0.5*T137))/100+1+$AE$9),-1),"")</f>
        <v/>
      </c>
      <c r="Y137" s="81" t="str">
        <f>IF(AND(W137&lt;&gt;-1,X137&lt;&gt;-1,W137&lt;&gt;"",X137&lt;&gt;"",AA137&lt;&gt;-1,Z137&lt;&gt;-1,AA137&lt;&gt;"",Z137&lt;&gt;""),(W137+X137)/2+(AA137-Z137)/(4*COS(0.5)*$AE$5),"")</f>
        <v/>
      </c>
      <c r="Z137" s="70" t="str">
        <f>IF(S137&lt;&gt;"",IF($S137&lt;&gt;"",((($S137*COS(0.5))*$AE$5)/100),-1),"")</f>
        <v/>
      </c>
      <c r="AA137" s="65" t="str">
        <f>IF(T137&lt;&gt;"",IF($T137&lt;&gt;"",((($T137*COS(0.5))*$AE$5)/100),-1),"")</f>
        <v/>
      </c>
      <c r="AB137" s="66" t="str">
        <f>IF(Y137&lt;&gt;"",2*COS(0.5)*$AE$5*(X137-W137)/2+(AA137+Z137)/2,"")</f>
        <v/>
      </c>
      <c r="AC137" s="5"/>
      <c r="AE137" s="51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V137" s="6"/>
      <c r="AW137" s="6"/>
      <c r="AX137" s="6"/>
      <c r="AY137" s="6"/>
      <c r="AZ137" s="6"/>
      <c r="BA137" s="6"/>
      <c r="BB137" s="6"/>
      <c r="BC137" s="6"/>
    </row>
    <row r="138" spans="1:55" x14ac:dyDescent="0.25">
      <c r="A138" s="37"/>
      <c r="B138" s="38"/>
      <c r="C138" s="37"/>
      <c r="D138" s="2"/>
      <c r="E138" s="2"/>
      <c r="F138" s="38"/>
      <c r="G138" s="37"/>
      <c r="H138" s="2"/>
      <c r="I138" s="3"/>
      <c r="J138" s="90" t="str">
        <f>IF(C138&lt;&gt;"",$C138/'Elements and ions'!$B$12,"")</f>
        <v/>
      </c>
      <c r="K138" s="65" t="str">
        <f>IF(D138&lt;&gt;"",$D138/'Elements and ions'!$B$20,"")</f>
        <v/>
      </c>
      <c r="L138" s="65" t="str">
        <f>IF(E138&lt;&gt;"",$E138/'Elements and ions'!$B$21*2,"")</f>
        <v/>
      </c>
      <c r="M138" s="81" t="str">
        <f>IF(F138&lt;&gt;"",$F138/'Elements and ions'!$B$13*2,"")</f>
        <v/>
      </c>
      <c r="N138" s="80" t="str">
        <f>IF(G138&lt;&gt;"",-$G138/'Elements and ions'!$F$3,"")</f>
        <v/>
      </c>
      <c r="O138" s="65" t="str">
        <f>IF(H138&lt;&gt;"",-$H138/'Elements and ions'!$B$18,"")</f>
        <v/>
      </c>
      <c r="P138" s="81" t="str">
        <f>IF(I138&lt;&gt;"",-2*$I138/'Elements and ions'!$F$4,"")</f>
        <v/>
      </c>
      <c r="Q138" s="80" t="str">
        <f t="shared" si="35"/>
        <v/>
      </c>
      <c r="R138" s="65" t="str">
        <f t="shared" si="36"/>
        <v/>
      </c>
      <c r="S138" s="81" t="str">
        <f t="shared" si="37"/>
        <v/>
      </c>
      <c r="T138" s="80" t="str">
        <f t="shared" si="38"/>
        <v/>
      </c>
      <c r="U138" s="65" t="str">
        <f t="shared" si="39"/>
        <v/>
      </c>
      <c r="V138" s="91" t="str">
        <f t="shared" si="40"/>
        <v/>
      </c>
      <c r="W138" s="70" t="str">
        <f t="shared" si="41"/>
        <v/>
      </c>
      <c r="X138" s="65" t="str">
        <f>IF(V138&lt;&gt;"",IF($V138&lt;&gt;0,(($V138+(0.5*T138))/100+1+$AE$9),-1),"")</f>
        <v/>
      </c>
      <c r="Y138" s="81" t="str">
        <f>IF(AND(W138&lt;&gt;-1,X138&lt;&gt;-1,W138&lt;&gt;"",X138&lt;&gt;"",AA138&lt;&gt;-1,Z138&lt;&gt;-1,AA138&lt;&gt;"",Z138&lt;&gt;""),(W138+X138)/2+(AA138-Z138)/(4*COS(0.5)*$AE$5),"")</f>
        <v/>
      </c>
      <c r="Z138" s="70" t="str">
        <f>IF(S138&lt;&gt;"",IF($S138&lt;&gt;"",((($S138*COS(0.5))*$AE$5)/100),-1),"")</f>
        <v/>
      </c>
      <c r="AA138" s="65" t="str">
        <f>IF(T138&lt;&gt;"",IF($T138&lt;&gt;"",((($T138*COS(0.5))*$AE$5)/100),-1),"")</f>
        <v/>
      </c>
      <c r="AB138" s="66" t="str">
        <f>IF(Y138&lt;&gt;"",2*COS(0.5)*$AE$5*(X138-W138)/2+(AA138+Z138)/2,"")</f>
        <v/>
      </c>
      <c r="AC138" s="5"/>
      <c r="AE138" s="51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V138" s="6"/>
      <c r="AW138" s="6"/>
      <c r="AX138" s="6"/>
      <c r="AY138" s="6"/>
      <c r="AZ138" s="6"/>
      <c r="BA138" s="6"/>
      <c r="BB138" s="6"/>
      <c r="BC138" s="6"/>
    </row>
    <row r="139" spans="1:55" x14ac:dyDescent="0.25">
      <c r="A139" s="37"/>
      <c r="B139" s="38"/>
      <c r="C139" s="37"/>
      <c r="D139" s="2"/>
      <c r="E139" s="2"/>
      <c r="F139" s="38"/>
      <c r="G139" s="37"/>
      <c r="H139" s="2"/>
      <c r="I139" s="3"/>
      <c r="J139" s="90" t="str">
        <f>IF(C139&lt;&gt;"",$C139/'Elements and ions'!$B$12,"")</f>
        <v/>
      </c>
      <c r="K139" s="65" t="str">
        <f>IF(D139&lt;&gt;"",$D139/'Elements and ions'!$B$20,"")</f>
        <v/>
      </c>
      <c r="L139" s="65" t="str">
        <f>IF(E139&lt;&gt;"",$E139/'Elements and ions'!$B$21*2,"")</f>
        <v/>
      </c>
      <c r="M139" s="81" t="str">
        <f>IF(F139&lt;&gt;"",$F139/'Elements and ions'!$B$13*2,"")</f>
        <v/>
      </c>
      <c r="N139" s="80" t="str">
        <f>IF(G139&lt;&gt;"",-$G139/'Elements and ions'!$F$3,"")</f>
        <v/>
      </c>
      <c r="O139" s="65" t="str">
        <f>IF(H139&lt;&gt;"",-$H139/'Elements and ions'!$B$18,"")</f>
        <v/>
      </c>
      <c r="P139" s="81" t="str">
        <f>IF(I139&lt;&gt;"",-2*$I139/'Elements and ions'!$F$4,"")</f>
        <v/>
      </c>
      <c r="Q139" s="80" t="str">
        <f t="shared" si="35"/>
        <v/>
      </c>
      <c r="R139" s="65" t="str">
        <f t="shared" si="36"/>
        <v/>
      </c>
      <c r="S139" s="81" t="str">
        <f t="shared" si="37"/>
        <v/>
      </c>
      <c r="T139" s="80" t="str">
        <f t="shared" si="38"/>
        <v/>
      </c>
      <c r="U139" s="65" t="str">
        <f t="shared" si="39"/>
        <v/>
      </c>
      <c r="V139" s="91" t="str">
        <f t="shared" si="40"/>
        <v/>
      </c>
      <c r="W139" s="70" t="str">
        <f t="shared" si="41"/>
        <v/>
      </c>
      <c r="X139" s="65" t="str">
        <f>IF(V139&lt;&gt;"",IF($V139&lt;&gt;0,(($V139+(0.5*T139))/100+1+$AE$9),-1),"")</f>
        <v/>
      </c>
      <c r="Y139" s="81" t="str">
        <f>IF(AND(W139&lt;&gt;-1,X139&lt;&gt;-1,W139&lt;&gt;"",X139&lt;&gt;"",AA139&lt;&gt;-1,Z139&lt;&gt;-1,AA139&lt;&gt;"",Z139&lt;&gt;""),(W139+X139)/2+(AA139-Z139)/(4*COS(0.5)*$AE$5),"")</f>
        <v/>
      </c>
      <c r="Z139" s="70" t="str">
        <f>IF(S139&lt;&gt;"",IF($S139&lt;&gt;"",((($S139*COS(0.5))*$AE$5)/100),-1),"")</f>
        <v/>
      </c>
      <c r="AA139" s="65" t="str">
        <f>IF(T139&lt;&gt;"",IF($T139&lt;&gt;"",((($T139*COS(0.5))*$AE$5)/100),-1),"")</f>
        <v/>
      </c>
      <c r="AB139" s="66" t="str">
        <f>IF(Y139&lt;&gt;"",2*COS(0.5)*$AE$5*(X139-W139)/2+(AA139+Z139)/2,"")</f>
        <v/>
      </c>
      <c r="AC139" s="5"/>
      <c r="AE139" s="51" t="s">
        <v>138</v>
      </c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V139" s="6"/>
      <c r="AW139" s="6"/>
      <c r="AX139" s="6"/>
      <c r="AY139" s="6"/>
      <c r="AZ139" s="6"/>
      <c r="BA139" s="6"/>
      <c r="BB139" s="6"/>
      <c r="BC139" s="6"/>
    </row>
    <row r="140" spans="1:55" x14ac:dyDescent="0.25">
      <c r="A140" s="37"/>
      <c r="B140" s="38"/>
      <c r="C140" s="37"/>
      <c r="D140" s="2"/>
      <c r="E140" s="2"/>
      <c r="F140" s="38"/>
      <c r="G140" s="37"/>
      <c r="H140" s="2"/>
      <c r="I140" s="3"/>
      <c r="J140" s="90" t="str">
        <f>IF(C140&lt;&gt;"",$C140/'Elements and ions'!$B$12,"")</f>
        <v/>
      </c>
      <c r="K140" s="65" t="str">
        <f>IF(D140&lt;&gt;"",$D140/'Elements and ions'!$B$20,"")</f>
        <v/>
      </c>
      <c r="L140" s="65" t="str">
        <f>IF(E140&lt;&gt;"",$E140/'Elements and ions'!$B$21*2,"")</f>
        <v/>
      </c>
      <c r="M140" s="81" t="str">
        <f>IF(F140&lt;&gt;"",$F140/'Elements and ions'!$B$13*2,"")</f>
        <v/>
      </c>
      <c r="N140" s="80" t="str">
        <f>IF(G140&lt;&gt;"",-$G140/'Elements and ions'!$F$3,"")</f>
        <v/>
      </c>
      <c r="O140" s="65" t="str">
        <f>IF(H140&lt;&gt;"",-$H140/'Elements and ions'!$B$18,"")</f>
        <v/>
      </c>
      <c r="P140" s="81" t="str">
        <f>IF(I140&lt;&gt;"",-2*$I140/'Elements and ions'!$F$4,"")</f>
        <v/>
      </c>
      <c r="Q140" s="80" t="str">
        <f t="shared" si="35"/>
        <v/>
      </c>
      <c r="R140" s="65" t="str">
        <f t="shared" si="36"/>
        <v/>
      </c>
      <c r="S140" s="81" t="str">
        <f t="shared" si="37"/>
        <v/>
      </c>
      <c r="T140" s="80" t="str">
        <f t="shared" si="38"/>
        <v/>
      </c>
      <c r="U140" s="65" t="str">
        <f t="shared" si="39"/>
        <v/>
      </c>
      <c r="V140" s="91" t="str">
        <f t="shared" si="40"/>
        <v/>
      </c>
      <c r="W140" s="70" t="str">
        <f t="shared" si="41"/>
        <v/>
      </c>
      <c r="X140" s="65" t="str">
        <f>IF(V140&lt;&gt;"",IF($V140&lt;&gt;0,(($V140+(0.5*T140))/100+1+$AE$9),-1),"")</f>
        <v/>
      </c>
      <c r="Y140" s="81" t="str">
        <f>IF(AND(W140&lt;&gt;-1,X140&lt;&gt;-1,W140&lt;&gt;"",X140&lt;&gt;"",AA140&lt;&gt;-1,Z140&lt;&gt;-1,AA140&lt;&gt;"",Z140&lt;&gt;""),(W140+X140)/2+(AA140-Z140)/(4*COS(0.5)*$AE$5),"")</f>
        <v/>
      </c>
      <c r="Z140" s="70" t="str">
        <f>IF(S140&lt;&gt;"",IF($S140&lt;&gt;"",((($S140*COS(0.5))*$AE$5)/100),-1),"")</f>
        <v/>
      </c>
      <c r="AA140" s="65" t="str">
        <f>IF(T140&lt;&gt;"",IF($T140&lt;&gt;"",((($T140*COS(0.5))*$AE$5)/100),-1),"")</f>
        <v/>
      </c>
      <c r="AB140" s="66" t="str">
        <f>IF(Y140&lt;&gt;"",2*COS(0.5)*$AE$5*(X140-W140)/2+(AA140+Z140)/2,"")</f>
        <v/>
      </c>
      <c r="AC140" s="5"/>
      <c r="AE140" s="51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V140" s="6"/>
      <c r="AW140" s="6"/>
      <c r="AX140" s="6"/>
      <c r="AY140" s="6"/>
      <c r="AZ140" s="6"/>
      <c r="BA140" s="6"/>
      <c r="BB140" s="6"/>
      <c r="BC140" s="6"/>
    </row>
    <row r="141" spans="1:55" x14ac:dyDescent="0.25">
      <c r="A141" s="37"/>
      <c r="B141" s="38"/>
      <c r="C141" s="37"/>
      <c r="D141" s="2"/>
      <c r="E141" s="2"/>
      <c r="F141" s="38"/>
      <c r="G141" s="37"/>
      <c r="H141" s="2"/>
      <c r="I141" s="3"/>
      <c r="J141" s="90" t="str">
        <f>IF(C141&lt;&gt;"",$C141/'Elements and ions'!$B$12,"")</f>
        <v/>
      </c>
      <c r="K141" s="65" t="str">
        <f>IF(D141&lt;&gt;"",$D141/'Elements and ions'!$B$20,"")</f>
        <v/>
      </c>
      <c r="L141" s="65" t="str">
        <f>IF(E141&lt;&gt;"",$E141/'Elements and ions'!$B$21*2,"")</f>
        <v/>
      </c>
      <c r="M141" s="81" t="str">
        <f>IF(F141&lt;&gt;"",$F141/'Elements and ions'!$B$13*2,"")</f>
        <v/>
      </c>
      <c r="N141" s="80" t="str">
        <f>IF(G141&lt;&gt;"",-$G141/'Elements and ions'!$F$3,"")</f>
        <v/>
      </c>
      <c r="O141" s="65" t="str">
        <f>IF(H141&lt;&gt;"",-$H141/'Elements and ions'!$B$18,"")</f>
        <v/>
      </c>
      <c r="P141" s="81" t="str">
        <f>IF(I141&lt;&gt;"",-2*$I141/'Elements and ions'!$F$4,"")</f>
        <v/>
      </c>
      <c r="Q141" s="80" t="str">
        <f t="shared" si="35"/>
        <v/>
      </c>
      <c r="R141" s="65" t="str">
        <f t="shared" si="36"/>
        <v/>
      </c>
      <c r="S141" s="81" t="str">
        <f t="shared" si="37"/>
        <v/>
      </c>
      <c r="T141" s="80" t="str">
        <f t="shared" si="38"/>
        <v/>
      </c>
      <c r="U141" s="65" t="str">
        <f t="shared" si="39"/>
        <v/>
      </c>
      <c r="V141" s="91" t="str">
        <f t="shared" si="40"/>
        <v/>
      </c>
      <c r="W141" s="70" t="str">
        <f t="shared" si="41"/>
        <v/>
      </c>
      <c r="X141" s="65" t="str">
        <f>IF(V141&lt;&gt;"",IF($V141&lt;&gt;0,(($V141+(0.5*T141))/100+1+$AE$9),-1),"")</f>
        <v/>
      </c>
      <c r="Y141" s="81" t="str">
        <f>IF(AND(W141&lt;&gt;-1,X141&lt;&gt;-1,W141&lt;&gt;"",X141&lt;&gt;"",AA141&lt;&gt;-1,Z141&lt;&gt;-1,AA141&lt;&gt;"",Z141&lt;&gt;""),(W141+X141)/2+(AA141-Z141)/(4*COS(0.5)*$AE$5),"")</f>
        <v/>
      </c>
      <c r="Z141" s="70" t="str">
        <f>IF(S141&lt;&gt;"",IF($S141&lt;&gt;"",((($S141*COS(0.5))*$AE$5)/100),-1),"")</f>
        <v/>
      </c>
      <c r="AA141" s="65" t="str">
        <f>IF(T141&lt;&gt;"",IF($T141&lt;&gt;"",((($T141*COS(0.5))*$AE$5)/100),-1),"")</f>
        <v/>
      </c>
      <c r="AB141" s="66" t="str">
        <f>IF(Y141&lt;&gt;"",2*COS(0.5)*$AE$5*(X141-W141)/2+(AA141+Z141)/2,"")</f>
        <v/>
      </c>
      <c r="AC141" s="5"/>
      <c r="AE141" s="51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V141" s="6"/>
      <c r="AW141" s="6"/>
      <c r="AX141" s="6"/>
      <c r="AY141" s="6"/>
      <c r="AZ141" s="6"/>
      <c r="BA141" s="6"/>
      <c r="BB141" s="6"/>
      <c r="BC141" s="6"/>
    </row>
    <row r="142" spans="1:55" x14ac:dyDescent="0.25">
      <c r="A142" s="37"/>
      <c r="B142" s="38"/>
      <c r="C142" s="37"/>
      <c r="D142" s="2"/>
      <c r="E142" s="2"/>
      <c r="F142" s="38"/>
      <c r="G142" s="37"/>
      <c r="H142" s="2"/>
      <c r="I142" s="3"/>
      <c r="J142" s="90" t="str">
        <f>IF(C142&lt;&gt;"",$C142/'Elements and ions'!$B$12,"")</f>
        <v/>
      </c>
      <c r="K142" s="65" t="str">
        <f>IF(D142&lt;&gt;"",$D142/'Elements and ions'!$B$20,"")</f>
        <v/>
      </c>
      <c r="L142" s="65" t="str">
        <f>IF(E142&lt;&gt;"",$E142/'Elements and ions'!$B$21*2,"")</f>
        <v/>
      </c>
      <c r="M142" s="81" t="str">
        <f>IF(F142&lt;&gt;"",$F142/'Elements and ions'!$B$13*2,"")</f>
        <v/>
      </c>
      <c r="N142" s="80" t="str">
        <f>IF(G142&lt;&gt;"",-$G142/'Elements and ions'!$F$3,"")</f>
        <v/>
      </c>
      <c r="O142" s="65" t="str">
        <f>IF(H142&lt;&gt;"",-$H142/'Elements and ions'!$B$18,"")</f>
        <v/>
      </c>
      <c r="P142" s="81" t="str">
        <f>IF(I142&lt;&gt;"",-2*$I142/'Elements and ions'!$F$4,"")</f>
        <v/>
      </c>
      <c r="Q142" s="80" t="str">
        <f t="shared" si="35"/>
        <v/>
      </c>
      <c r="R142" s="65" t="str">
        <f t="shared" si="36"/>
        <v/>
      </c>
      <c r="S142" s="81" t="str">
        <f t="shared" si="37"/>
        <v/>
      </c>
      <c r="T142" s="80" t="str">
        <f t="shared" si="38"/>
        <v/>
      </c>
      <c r="U142" s="65" t="str">
        <f t="shared" si="39"/>
        <v/>
      </c>
      <c r="V142" s="91" t="str">
        <f t="shared" si="40"/>
        <v/>
      </c>
      <c r="W142" s="70" t="str">
        <f t="shared" si="41"/>
        <v/>
      </c>
      <c r="X142" s="65" t="str">
        <f>IF(V142&lt;&gt;"",IF($V142&lt;&gt;0,(($V142+(0.5*T142))/100+1+$AE$9),-1),"")</f>
        <v/>
      </c>
      <c r="Y142" s="81" t="str">
        <f>IF(AND(W142&lt;&gt;-1,X142&lt;&gt;-1,W142&lt;&gt;"",X142&lt;&gt;"",AA142&lt;&gt;-1,Z142&lt;&gt;-1,AA142&lt;&gt;"",Z142&lt;&gt;""),(W142+X142)/2+(AA142-Z142)/(4*COS(0.5)*$AE$5),"")</f>
        <v/>
      </c>
      <c r="Z142" s="70" t="str">
        <f>IF(S142&lt;&gt;"",IF($S142&lt;&gt;"",((($S142*COS(0.5))*$AE$5)/100),-1),"")</f>
        <v/>
      </c>
      <c r="AA142" s="65" t="str">
        <f>IF(T142&lt;&gt;"",IF($T142&lt;&gt;"",((($T142*COS(0.5))*$AE$5)/100),-1),"")</f>
        <v/>
      </c>
      <c r="AB142" s="66" t="str">
        <f>IF(Y142&lt;&gt;"",2*COS(0.5)*$AE$5*(X142-W142)/2+(AA142+Z142)/2,"")</f>
        <v/>
      </c>
      <c r="AC142" s="5"/>
      <c r="AE142" s="51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V142" s="6"/>
      <c r="AW142" s="6"/>
      <c r="AX142" s="6"/>
      <c r="AY142" s="6"/>
      <c r="AZ142" s="6"/>
      <c r="BA142" s="6"/>
      <c r="BB142" s="6"/>
      <c r="BC142" s="6"/>
    </row>
    <row r="143" spans="1:55" x14ac:dyDescent="0.25">
      <c r="A143" s="37"/>
      <c r="B143" s="38"/>
      <c r="C143" s="37"/>
      <c r="D143" s="2"/>
      <c r="E143" s="2"/>
      <c r="F143" s="38"/>
      <c r="G143" s="37"/>
      <c r="H143" s="2"/>
      <c r="I143" s="3"/>
      <c r="J143" s="90" t="str">
        <f>IF(C143&lt;&gt;"",$C143/'Elements and ions'!$B$12,"")</f>
        <v/>
      </c>
      <c r="K143" s="65" t="str">
        <f>IF(D143&lt;&gt;"",$D143/'Elements and ions'!$B$20,"")</f>
        <v/>
      </c>
      <c r="L143" s="65" t="str">
        <f>IF(E143&lt;&gt;"",$E143/'Elements and ions'!$B$21*2,"")</f>
        <v/>
      </c>
      <c r="M143" s="81" t="str">
        <f>IF(F143&lt;&gt;"",$F143/'Elements and ions'!$B$13*2,"")</f>
        <v/>
      </c>
      <c r="N143" s="80" t="str">
        <f>IF(G143&lt;&gt;"",-$G143/'Elements and ions'!$F$3,"")</f>
        <v/>
      </c>
      <c r="O143" s="65" t="str">
        <f>IF(H143&lt;&gt;"",-$H143/'Elements and ions'!$B$18,"")</f>
        <v/>
      </c>
      <c r="P143" s="81" t="str">
        <f>IF(I143&lt;&gt;"",-2*$I143/'Elements and ions'!$F$4,"")</f>
        <v/>
      </c>
      <c r="Q143" s="80" t="str">
        <f t="shared" si="35"/>
        <v/>
      </c>
      <c r="R143" s="65" t="str">
        <f t="shared" si="36"/>
        <v/>
      </c>
      <c r="S143" s="81" t="str">
        <f t="shared" si="37"/>
        <v/>
      </c>
      <c r="T143" s="80" t="str">
        <f t="shared" si="38"/>
        <v/>
      </c>
      <c r="U143" s="65" t="str">
        <f t="shared" si="39"/>
        <v/>
      </c>
      <c r="V143" s="91" t="str">
        <f t="shared" si="40"/>
        <v/>
      </c>
      <c r="W143" s="70" t="str">
        <f t="shared" si="41"/>
        <v/>
      </c>
      <c r="X143" s="65" t="str">
        <f>IF(V143&lt;&gt;"",IF($V143&lt;&gt;0,(($V143+(0.5*T143))/100+1+$AE$9),-1),"")</f>
        <v/>
      </c>
      <c r="Y143" s="81" t="str">
        <f>IF(AND(W143&lt;&gt;-1,X143&lt;&gt;-1,W143&lt;&gt;"",X143&lt;&gt;"",AA143&lt;&gt;-1,Z143&lt;&gt;-1,AA143&lt;&gt;"",Z143&lt;&gt;""),(W143+X143)/2+(AA143-Z143)/(4*COS(0.5)*$AE$5),"")</f>
        <v/>
      </c>
      <c r="Z143" s="70" t="str">
        <f>IF(S143&lt;&gt;"",IF($S143&lt;&gt;"",((($S143*COS(0.5))*$AE$5)/100),-1),"")</f>
        <v/>
      </c>
      <c r="AA143" s="65" t="str">
        <f>IF(T143&lt;&gt;"",IF($T143&lt;&gt;"",((($T143*COS(0.5))*$AE$5)/100),-1),"")</f>
        <v/>
      </c>
      <c r="AB143" s="66" t="str">
        <f>IF(Y143&lt;&gt;"",2*COS(0.5)*$AE$5*(X143-W143)/2+(AA143+Z143)/2,"")</f>
        <v/>
      </c>
      <c r="AC143" s="5"/>
      <c r="AE143" s="51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V143" s="6"/>
      <c r="AW143" s="6"/>
      <c r="AX143" s="6"/>
      <c r="AY143" s="6"/>
      <c r="AZ143" s="6"/>
      <c r="BA143" s="6"/>
      <c r="BB143" s="6"/>
      <c r="BC143" s="6"/>
    </row>
    <row r="144" spans="1:55" x14ac:dyDescent="0.25">
      <c r="A144" s="37"/>
      <c r="B144" s="38"/>
      <c r="C144" s="37"/>
      <c r="D144" s="2"/>
      <c r="E144" s="2"/>
      <c r="F144" s="38"/>
      <c r="G144" s="37"/>
      <c r="H144" s="2"/>
      <c r="I144" s="3"/>
      <c r="J144" s="90" t="str">
        <f>IF(C144&lt;&gt;"",$C144/'Elements and ions'!$B$12,"")</f>
        <v/>
      </c>
      <c r="K144" s="65" t="str">
        <f>IF(D144&lt;&gt;"",$D144/'Elements and ions'!$B$20,"")</f>
        <v/>
      </c>
      <c r="L144" s="65" t="str">
        <f>IF(E144&lt;&gt;"",$E144/'Elements and ions'!$B$21*2,"")</f>
        <v/>
      </c>
      <c r="M144" s="81" t="str">
        <f>IF(F144&lt;&gt;"",$F144/'Elements and ions'!$B$13*2,"")</f>
        <v/>
      </c>
      <c r="N144" s="80" t="str">
        <f>IF(G144&lt;&gt;"",-$G144/'Elements and ions'!$F$3,"")</f>
        <v/>
      </c>
      <c r="O144" s="65" t="str">
        <f>IF(H144&lt;&gt;"",-$H144/'Elements and ions'!$B$18,"")</f>
        <v/>
      </c>
      <c r="P144" s="81" t="str">
        <f>IF(I144&lt;&gt;"",-2*$I144/'Elements and ions'!$F$4,"")</f>
        <v/>
      </c>
      <c r="Q144" s="80" t="str">
        <f t="shared" si="35"/>
        <v/>
      </c>
      <c r="R144" s="65" t="str">
        <f t="shared" si="36"/>
        <v/>
      </c>
      <c r="S144" s="81" t="str">
        <f t="shared" si="37"/>
        <v/>
      </c>
      <c r="T144" s="80" t="str">
        <f t="shared" si="38"/>
        <v/>
      </c>
      <c r="U144" s="65" t="str">
        <f t="shared" si="39"/>
        <v/>
      </c>
      <c r="V144" s="91" t="str">
        <f t="shared" si="40"/>
        <v/>
      </c>
      <c r="W144" s="70" t="str">
        <f t="shared" si="41"/>
        <v/>
      </c>
      <c r="X144" s="65" t="str">
        <f>IF(V144&lt;&gt;"",IF($V144&lt;&gt;0,(($V144+(0.5*T144))/100+1+$AE$9),-1),"")</f>
        <v/>
      </c>
      <c r="Y144" s="81" t="str">
        <f>IF(AND(W144&lt;&gt;-1,X144&lt;&gt;-1,W144&lt;&gt;"",X144&lt;&gt;"",AA144&lt;&gt;-1,Z144&lt;&gt;-1,AA144&lt;&gt;"",Z144&lt;&gt;""),(W144+X144)/2+(AA144-Z144)/(4*COS(0.5)*$AE$5),"")</f>
        <v/>
      </c>
      <c r="Z144" s="70" t="str">
        <f>IF(S144&lt;&gt;"",IF($S144&lt;&gt;"",((($S144*COS(0.5))*$AE$5)/100),-1),"")</f>
        <v/>
      </c>
      <c r="AA144" s="65" t="str">
        <f>IF(T144&lt;&gt;"",IF($T144&lt;&gt;"",((($T144*COS(0.5))*$AE$5)/100),-1),"")</f>
        <v/>
      </c>
      <c r="AB144" s="66" t="str">
        <f>IF(Y144&lt;&gt;"",2*COS(0.5)*$AE$5*(X144-W144)/2+(AA144+Z144)/2,"")</f>
        <v/>
      </c>
      <c r="AC144" s="5"/>
      <c r="AE144" s="51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V144" s="6"/>
      <c r="AW144" s="6"/>
      <c r="AX144" s="6"/>
      <c r="AY144" s="6"/>
      <c r="AZ144" s="6"/>
      <c r="BA144" s="6"/>
      <c r="BB144" s="6"/>
      <c r="BC144" s="6"/>
    </row>
    <row r="145" spans="1:55" x14ac:dyDescent="0.25">
      <c r="A145" s="37"/>
      <c r="B145" s="38"/>
      <c r="C145" s="37"/>
      <c r="D145" s="2"/>
      <c r="E145" s="2"/>
      <c r="F145" s="38"/>
      <c r="G145" s="37"/>
      <c r="H145" s="2"/>
      <c r="I145" s="3"/>
      <c r="J145" s="90" t="str">
        <f>IF(C145&lt;&gt;"",$C145/'Elements and ions'!$B$12,"")</f>
        <v/>
      </c>
      <c r="K145" s="65" t="str">
        <f>IF(D145&lt;&gt;"",$D145/'Elements and ions'!$B$20,"")</f>
        <v/>
      </c>
      <c r="L145" s="65" t="str">
        <f>IF(E145&lt;&gt;"",$E145/'Elements and ions'!$B$21*2,"")</f>
        <v/>
      </c>
      <c r="M145" s="81" t="str">
        <f>IF(F145&lt;&gt;"",$F145/'Elements and ions'!$B$13*2,"")</f>
        <v/>
      </c>
      <c r="N145" s="80" t="str">
        <f>IF(G145&lt;&gt;"",-$G145/'Elements and ions'!$F$3,"")</f>
        <v/>
      </c>
      <c r="O145" s="65" t="str">
        <f>IF(H145&lt;&gt;"",-$H145/'Elements and ions'!$B$18,"")</f>
        <v/>
      </c>
      <c r="P145" s="81" t="str">
        <f>IF(I145&lt;&gt;"",-2*$I145/'Elements and ions'!$F$4,"")</f>
        <v/>
      </c>
      <c r="Q145" s="80" t="str">
        <f t="shared" si="35"/>
        <v/>
      </c>
      <c r="R145" s="65" t="str">
        <f t="shared" si="36"/>
        <v/>
      </c>
      <c r="S145" s="81" t="str">
        <f t="shared" si="37"/>
        <v/>
      </c>
      <c r="T145" s="80" t="str">
        <f t="shared" si="38"/>
        <v/>
      </c>
      <c r="U145" s="65" t="str">
        <f t="shared" si="39"/>
        <v/>
      </c>
      <c r="V145" s="91" t="str">
        <f t="shared" si="40"/>
        <v/>
      </c>
      <c r="W145" s="70" t="str">
        <f t="shared" si="41"/>
        <v/>
      </c>
      <c r="X145" s="65" t="str">
        <f>IF(V145&lt;&gt;"",IF($V145&lt;&gt;0,(($V145+(0.5*T145))/100+1+$AE$9),-1),"")</f>
        <v/>
      </c>
      <c r="Y145" s="81" t="str">
        <f>IF(AND(W145&lt;&gt;-1,X145&lt;&gt;-1,W145&lt;&gt;"",X145&lt;&gt;"",AA145&lt;&gt;-1,Z145&lt;&gt;-1,AA145&lt;&gt;"",Z145&lt;&gt;""),(W145+X145)/2+(AA145-Z145)/(4*COS(0.5)*$AE$5),"")</f>
        <v/>
      </c>
      <c r="Z145" s="70" t="str">
        <f>IF(S145&lt;&gt;"",IF($S145&lt;&gt;"",((($S145*COS(0.5))*$AE$5)/100),-1),"")</f>
        <v/>
      </c>
      <c r="AA145" s="65" t="str">
        <f>IF(T145&lt;&gt;"",IF($T145&lt;&gt;"",((($T145*COS(0.5))*$AE$5)/100),-1),"")</f>
        <v/>
      </c>
      <c r="AB145" s="66" t="str">
        <f>IF(Y145&lt;&gt;"",2*COS(0.5)*$AE$5*(X145-W145)/2+(AA145+Z145)/2,"")</f>
        <v/>
      </c>
      <c r="AC145" s="5"/>
      <c r="AE145" s="51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V145" s="6"/>
      <c r="AW145" s="6"/>
      <c r="AX145" s="6"/>
      <c r="AY145" s="6"/>
      <c r="AZ145" s="6"/>
      <c r="BA145" s="6"/>
      <c r="BB145" s="6"/>
      <c r="BC145" s="6"/>
    </row>
    <row r="146" spans="1:55" x14ac:dyDescent="0.25">
      <c r="A146" s="37"/>
      <c r="B146" s="38"/>
      <c r="C146" s="37"/>
      <c r="D146" s="2"/>
      <c r="E146" s="2"/>
      <c r="F146" s="38"/>
      <c r="G146" s="37"/>
      <c r="H146" s="2"/>
      <c r="I146" s="3"/>
      <c r="J146" s="90" t="str">
        <f>IF(C146&lt;&gt;"",$C146/'Elements and ions'!$B$12,"")</f>
        <v/>
      </c>
      <c r="K146" s="65" t="str">
        <f>IF(D146&lt;&gt;"",$D146/'Elements and ions'!$B$20,"")</f>
        <v/>
      </c>
      <c r="L146" s="65" t="str">
        <f>IF(E146&lt;&gt;"",$E146/'Elements and ions'!$B$21*2,"")</f>
        <v/>
      </c>
      <c r="M146" s="81" t="str">
        <f>IF(F146&lt;&gt;"",$F146/'Elements and ions'!$B$13*2,"")</f>
        <v/>
      </c>
      <c r="N146" s="80" t="str">
        <f>IF(G146&lt;&gt;"",-$G146/'Elements and ions'!$F$3,"")</f>
        <v/>
      </c>
      <c r="O146" s="65" t="str">
        <f>IF(H146&lt;&gt;"",-$H146/'Elements and ions'!$B$18,"")</f>
        <v/>
      </c>
      <c r="P146" s="81" t="str">
        <f>IF(I146&lt;&gt;"",-2*$I146/'Elements and ions'!$F$4,"")</f>
        <v/>
      </c>
      <c r="Q146" s="80" t="str">
        <f t="shared" si="35"/>
        <v/>
      </c>
      <c r="R146" s="65" t="str">
        <f t="shared" si="36"/>
        <v/>
      </c>
      <c r="S146" s="81" t="str">
        <f t="shared" si="37"/>
        <v/>
      </c>
      <c r="T146" s="80" t="str">
        <f t="shared" si="38"/>
        <v/>
      </c>
      <c r="U146" s="65" t="str">
        <f t="shared" si="39"/>
        <v/>
      </c>
      <c r="V146" s="91" t="str">
        <f t="shared" si="40"/>
        <v/>
      </c>
      <c r="W146" s="70" t="str">
        <f t="shared" si="41"/>
        <v/>
      </c>
      <c r="X146" s="65" t="str">
        <f>IF(V146&lt;&gt;"",IF($V146&lt;&gt;0,(($V146+(0.5*T146))/100+1+$AE$9),-1),"")</f>
        <v/>
      </c>
      <c r="Y146" s="81" t="str">
        <f>IF(AND(W146&lt;&gt;-1,X146&lt;&gt;-1,W146&lt;&gt;"",X146&lt;&gt;"",AA146&lt;&gt;-1,Z146&lt;&gt;-1,AA146&lt;&gt;"",Z146&lt;&gt;""),(W146+X146)/2+(AA146-Z146)/(4*COS(0.5)*$AE$5),"")</f>
        <v/>
      </c>
      <c r="Z146" s="70" t="str">
        <f>IF(S146&lt;&gt;"",IF($S146&lt;&gt;"",((($S146*COS(0.5))*$AE$5)/100),-1),"")</f>
        <v/>
      </c>
      <c r="AA146" s="65" t="str">
        <f>IF(T146&lt;&gt;"",IF($T146&lt;&gt;"",((($T146*COS(0.5))*$AE$5)/100),-1),"")</f>
        <v/>
      </c>
      <c r="AB146" s="66" t="str">
        <f>IF(Y146&lt;&gt;"",2*COS(0.5)*$AE$5*(X146-W146)/2+(AA146+Z146)/2,"")</f>
        <v/>
      </c>
      <c r="AC146" s="5"/>
      <c r="AE146" s="51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</row>
    <row r="147" spans="1:55" x14ac:dyDescent="0.25">
      <c r="A147" s="37"/>
      <c r="B147" s="38"/>
      <c r="C147" s="37"/>
      <c r="D147" s="2"/>
      <c r="E147" s="2"/>
      <c r="F147" s="38"/>
      <c r="G147" s="37"/>
      <c r="H147" s="2"/>
      <c r="I147" s="3"/>
      <c r="J147" s="90" t="str">
        <f>IF(C147&lt;&gt;"",$C147/'Elements and ions'!$B$12,"")</f>
        <v/>
      </c>
      <c r="K147" s="65" t="str">
        <f>IF(D147&lt;&gt;"",$D147/'Elements and ions'!$B$20,"")</f>
        <v/>
      </c>
      <c r="L147" s="65" t="str">
        <f>IF(E147&lt;&gt;"",$E147/'Elements and ions'!$B$21*2,"")</f>
        <v/>
      </c>
      <c r="M147" s="81" t="str">
        <f>IF(F147&lt;&gt;"",$F147/'Elements and ions'!$B$13*2,"")</f>
        <v/>
      </c>
      <c r="N147" s="80" t="str">
        <f>IF(G147&lt;&gt;"",-$G147/'Elements and ions'!$F$3,"")</f>
        <v/>
      </c>
      <c r="O147" s="65" t="str">
        <f>IF(H147&lt;&gt;"",-$H147/'Elements and ions'!$B$18,"")</f>
        <v/>
      </c>
      <c r="P147" s="81" t="str">
        <f>IF(I147&lt;&gt;"",-2*$I147/'Elements and ions'!$F$4,"")</f>
        <v/>
      </c>
      <c r="Q147" s="80" t="str">
        <f t="shared" si="35"/>
        <v/>
      </c>
      <c r="R147" s="65" t="str">
        <f t="shared" si="36"/>
        <v/>
      </c>
      <c r="S147" s="81" t="str">
        <f t="shared" si="37"/>
        <v/>
      </c>
      <c r="T147" s="80" t="str">
        <f t="shared" si="38"/>
        <v/>
      </c>
      <c r="U147" s="65" t="str">
        <f t="shared" si="39"/>
        <v/>
      </c>
      <c r="V147" s="91" t="str">
        <f t="shared" si="40"/>
        <v/>
      </c>
      <c r="W147" s="70" t="str">
        <f t="shared" si="41"/>
        <v/>
      </c>
      <c r="X147" s="65" t="str">
        <f>IF(V147&lt;&gt;"",IF($V147&lt;&gt;0,(($V147+(0.5*T147))/100+1+$AE$9),-1),"")</f>
        <v/>
      </c>
      <c r="Y147" s="81" t="str">
        <f>IF(AND(W147&lt;&gt;-1,X147&lt;&gt;-1,W147&lt;&gt;"",X147&lt;&gt;"",AA147&lt;&gt;-1,Z147&lt;&gt;-1,AA147&lt;&gt;"",Z147&lt;&gt;""),(W147+X147)/2+(AA147-Z147)/(4*COS(0.5)*$AE$5),"")</f>
        <v/>
      </c>
      <c r="Z147" s="70" t="str">
        <f>IF(S147&lt;&gt;"",IF($S147&lt;&gt;"",((($S147*COS(0.5))*$AE$5)/100),-1),"")</f>
        <v/>
      </c>
      <c r="AA147" s="65" t="str">
        <f>IF(T147&lt;&gt;"",IF($T147&lt;&gt;"",((($T147*COS(0.5))*$AE$5)/100),-1),"")</f>
        <v/>
      </c>
      <c r="AB147" s="66" t="str">
        <f>IF(Y147&lt;&gt;"",2*COS(0.5)*$AE$5*(X147-W147)/2+(AA147+Z147)/2,"")</f>
        <v/>
      </c>
      <c r="AC147" s="5"/>
      <c r="AE147" s="51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</row>
    <row r="148" spans="1:55" x14ac:dyDescent="0.25">
      <c r="A148" s="37"/>
      <c r="B148" s="38"/>
      <c r="C148" s="37"/>
      <c r="D148" s="2"/>
      <c r="E148" s="2"/>
      <c r="F148" s="38"/>
      <c r="G148" s="37"/>
      <c r="H148" s="2"/>
      <c r="I148" s="3"/>
      <c r="J148" s="90" t="str">
        <f>IF(C148&lt;&gt;"",$C148/'Elements and ions'!$B$12,"")</f>
        <v/>
      </c>
      <c r="K148" s="65" t="str">
        <f>IF(D148&lt;&gt;"",$D148/'Elements and ions'!$B$20,"")</f>
        <v/>
      </c>
      <c r="L148" s="65" t="str">
        <f>IF(E148&lt;&gt;"",$E148/'Elements and ions'!$B$21*2,"")</f>
        <v/>
      </c>
      <c r="M148" s="81" t="str">
        <f>IF(F148&lt;&gt;"",$F148/'Elements and ions'!$B$13*2,"")</f>
        <v/>
      </c>
      <c r="N148" s="80" t="str">
        <f>IF(G148&lt;&gt;"",-$G148/'Elements and ions'!$F$3,"")</f>
        <v/>
      </c>
      <c r="O148" s="65" t="str">
        <f>IF(H148&lt;&gt;"",-$H148/'Elements and ions'!$B$18,"")</f>
        <v/>
      </c>
      <c r="P148" s="81" t="str">
        <f>IF(I148&lt;&gt;"",-2*$I148/'Elements and ions'!$F$4,"")</f>
        <v/>
      </c>
      <c r="Q148" s="80" t="str">
        <f t="shared" si="35"/>
        <v/>
      </c>
      <c r="R148" s="65" t="str">
        <f t="shared" si="36"/>
        <v/>
      </c>
      <c r="S148" s="81" t="str">
        <f t="shared" si="37"/>
        <v/>
      </c>
      <c r="T148" s="80" t="str">
        <f t="shared" si="38"/>
        <v/>
      </c>
      <c r="U148" s="65" t="str">
        <f t="shared" si="39"/>
        <v/>
      </c>
      <c r="V148" s="91" t="str">
        <f t="shared" si="40"/>
        <v/>
      </c>
      <c r="W148" s="70" t="str">
        <f t="shared" si="41"/>
        <v/>
      </c>
      <c r="X148" s="65" t="str">
        <f>IF(V148&lt;&gt;"",IF($V148&lt;&gt;0,(($V148+(0.5*T148))/100+1+$AE$9),-1),"")</f>
        <v/>
      </c>
      <c r="Y148" s="81" t="str">
        <f>IF(AND(W148&lt;&gt;-1,X148&lt;&gt;-1,W148&lt;&gt;"",X148&lt;&gt;"",AA148&lt;&gt;-1,Z148&lt;&gt;-1,AA148&lt;&gt;"",Z148&lt;&gt;""),(W148+X148)/2+(AA148-Z148)/(4*COS(0.5)*$AE$5),"")</f>
        <v/>
      </c>
      <c r="Z148" s="70" t="str">
        <f>IF(S148&lt;&gt;"",IF($S148&lt;&gt;"",((($S148*COS(0.5))*$AE$5)/100),-1),"")</f>
        <v/>
      </c>
      <c r="AA148" s="65" t="str">
        <f>IF(T148&lt;&gt;"",IF($T148&lt;&gt;"",((($T148*COS(0.5))*$AE$5)/100),-1),"")</f>
        <v/>
      </c>
      <c r="AB148" s="66" t="str">
        <f>IF(Y148&lt;&gt;"",2*COS(0.5)*$AE$5*(X148-W148)/2+(AA148+Z148)/2,"")</f>
        <v/>
      </c>
      <c r="AC148" s="5"/>
      <c r="AE148" s="51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</row>
    <row r="149" spans="1:55" x14ac:dyDescent="0.25">
      <c r="A149" s="37"/>
      <c r="B149" s="38"/>
      <c r="C149" s="37"/>
      <c r="D149" s="2"/>
      <c r="E149" s="2"/>
      <c r="F149" s="38"/>
      <c r="G149" s="37"/>
      <c r="H149" s="2"/>
      <c r="I149" s="3"/>
      <c r="J149" s="90" t="str">
        <f>IF(C149&lt;&gt;"",$C149/'Elements and ions'!$B$12,"")</f>
        <v/>
      </c>
      <c r="K149" s="65" t="str">
        <f>IF(D149&lt;&gt;"",$D149/'Elements and ions'!$B$20,"")</f>
        <v/>
      </c>
      <c r="L149" s="65" t="str">
        <f>IF(E149&lt;&gt;"",$E149/'Elements and ions'!$B$21*2,"")</f>
        <v/>
      </c>
      <c r="M149" s="81" t="str">
        <f>IF(F149&lt;&gt;"",$F149/'Elements and ions'!$B$13*2,"")</f>
        <v/>
      </c>
      <c r="N149" s="80" t="str">
        <f>IF(G149&lt;&gt;"",-$G149/'Elements and ions'!$F$3,"")</f>
        <v/>
      </c>
      <c r="O149" s="65" t="str">
        <f>IF(H149&lt;&gt;"",-$H149/'Elements and ions'!$B$18,"")</f>
        <v/>
      </c>
      <c r="P149" s="81" t="str">
        <f>IF(I149&lt;&gt;"",-2*$I149/'Elements and ions'!$F$4,"")</f>
        <v/>
      </c>
      <c r="Q149" s="80" t="str">
        <f t="shared" si="35"/>
        <v/>
      </c>
      <c r="R149" s="65" t="str">
        <f t="shared" si="36"/>
        <v/>
      </c>
      <c r="S149" s="81" t="str">
        <f t="shared" si="37"/>
        <v/>
      </c>
      <c r="T149" s="80" t="str">
        <f t="shared" si="38"/>
        <v/>
      </c>
      <c r="U149" s="65" t="str">
        <f t="shared" si="39"/>
        <v/>
      </c>
      <c r="V149" s="91" t="str">
        <f t="shared" si="40"/>
        <v/>
      </c>
      <c r="W149" s="70" t="str">
        <f t="shared" si="41"/>
        <v/>
      </c>
      <c r="X149" s="65" t="str">
        <f>IF(V149&lt;&gt;"",IF($V149&lt;&gt;0,(($V149+(0.5*T149))/100+1+$AE$9),-1),"")</f>
        <v/>
      </c>
      <c r="Y149" s="81" t="str">
        <f>IF(AND(W149&lt;&gt;-1,X149&lt;&gt;-1,W149&lt;&gt;"",X149&lt;&gt;"",AA149&lt;&gt;-1,Z149&lt;&gt;-1,AA149&lt;&gt;"",Z149&lt;&gt;""),(W149+X149)/2+(AA149-Z149)/(4*COS(0.5)*$AE$5),"")</f>
        <v/>
      </c>
      <c r="Z149" s="70" t="str">
        <f>IF(S149&lt;&gt;"",IF($S149&lt;&gt;"",((($S149*COS(0.5))*$AE$5)/100),-1),"")</f>
        <v/>
      </c>
      <c r="AA149" s="65" t="str">
        <f>IF(T149&lt;&gt;"",IF($T149&lt;&gt;"",((($T149*COS(0.5))*$AE$5)/100),-1),"")</f>
        <v/>
      </c>
      <c r="AB149" s="66" t="str">
        <f>IF(Y149&lt;&gt;"",2*COS(0.5)*$AE$5*(X149-W149)/2+(AA149+Z149)/2,"")</f>
        <v/>
      </c>
      <c r="AC149" s="5"/>
      <c r="AE149" s="51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</row>
    <row r="150" spans="1:55" x14ac:dyDescent="0.25">
      <c r="A150" s="37"/>
      <c r="B150" s="38"/>
      <c r="C150" s="37"/>
      <c r="D150" s="2"/>
      <c r="E150" s="2"/>
      <c r="F150" s="38"/>
      <c r="G150" s="37"/>
      <c r="H150" s="2"/>
      <c r="I150" s="3"/>
      <c r="J150" s="90" t="str">
        <f>IF(C150&lt;&gt;"",$C150/'Elements and ions'!$B$12,"")</f>
        <v/>
      </c>
      <c r="K150" s="65" t="str">
        <f>IF(D150&lt;&gt;"",$D150/'Elements and ions'!$B$20,"")</f>
        <v/>
      </c>
      <c r="L150" s="65" t="str">
        <f>IF(E150&lt;&gt;"",$E150/'Elements and ions'!$B$21*2,"")</f>
        <v/>
      </c>
      <c r="M150" s="81" t="str">
        <f>IF(F150&lt;&gt;"",$F150/'Elements and ions'!$B$13*2,"")</f>
        <v/>
      </c>
      <c r="N150" s="80" t="str">
        <f>IF(G150&lt;&gt;"",-$G150/'Elements and ions'!$F$3,"")</f>
        <v/>
      </c>
      <c r="O150" s="65" t="str">
        <f>IF(H150&lt;&gt;"",-$H150/'Elements and ions'!$B$18,"")</f>
        <v/>
      </c>
      <c r="P150" s="81" t="str">
        <f>IF(I150&lt;&gt;"",-2*$I150/'Elements and ions'!$F$4,"")</f>
        <v/>
      </c>
      <c r="Q150" s="80" t="str">
        <f t="shared" si="35"/>
        <v/>
      </c>
      <c r="R150" s="65" t="str">
        <f t="shared" si="36"/>
        <v/>
      </c>
      <c r="S150" s="81" t="str">
        <f t="shared" si="37"/>
        <v/>
      </c>
      <c r="T150" s="80" t="str">
        <f t="shared" si="38"/>
        <v/>
      </c>
      <c r="U150" s="65" t="str">
        <f t="shared" si="39"/>
        <v/>
      </c>
      <c r="V150" s="91" t="str">
        <f t="shared" si="40"/>
        <v/>
      </c>
      <c r="W150" s="70" t="str">
        <f t="shared" si="41"/>
        <v/>
      </c>
      <c r="X150" s="65" t="str">
        <f>IF(V150&lt;&gt;"",IF($V150&lt;&gt;0,(($V150+(0.5*T150))/100+1+$AE$9),-1),"")</f>
        <v/>
      </c>
      <c r="Y150" s="81" t="str">
        <f>IF(AND(W150&lt;&gt;-1,X150&lt;&gt;-1,W150&lt;&gt;"",X150&lt;&gt;"",AA150&lt;&gt;-1,Z150&lt;&gt;-1,AA150&lt;&gt;"",Z150&lt;&gt;""),(W150+X150)/2+(AA150-Z150)/(4*COS(0.5)*$AE$5),"")</f>
        <v/>
      </c>
      <c r="Z150" s="70" t="str">
        <f>IF(S150&lt;&gt;"",IF($S150&lt;&gt;"",((($S150*COS(0.5))*$AE$5)/100),-1),"")</f>
        <v/>
      </c>
      <c r="AA150" s="65" t="str">
        <f>IF(T150&lt;&gt;"",IF($T150&lt;&gt;"",((($T150*COS(0.5))*$AE$5)/100),-1),"")</f>
        <v/>
      </c>
      <c r="AB150" s="66" t="str">
        <f>IF(Y150&lt;&gt;"",2*COS(0.5)*$AE$5*(X150-W150)/2+(AA150+Z150)/2,"")</f>
        <v/>
      </c>
      <c r="AC150" s="5"/>
      <c r="AE150" s="51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</row>
    <row r="151" spans="1:55" x14ac:dyDescent="0.25">
      <c r="A151" s="37"/>
      <c r="B151" s="38"/>
      <c r="C151" s="37"/>
      <c r="D151" s="2"/>
      <c r="E151" s="2"/>
      <c r="F151" s="38"/>
      <c r="G151" s="37"/>
      <c r="H151" s="2"/>
      <c r="I151" s="3"/>
      <c r="J151" s="90" t="str">
        <f>IF(C151&lt;&gt;"",$C151/'Elements and ions'!$B$12,"")</f>
        <v/>
      </c>
      <c r="K151" s="65" t="str">
        <f>IF(D151&lt;&gt;"",$D151/'Elements and ions'!$B$20,"")</f>
        <v/>
      </c>
      <c r="L151" s="65" t="str">
        <f>IF(E151&lt;&gt;"",$E151/'Elements and ions'!$B$21*2,"")</f>
        <v/>
      </c>
      <c r="M151" s="81" t="str">
        <f>IF(F151&lt;&gt;"",$F151/'Elements and ions'!$B$13*2,"")</f>
        <v/>
      </c>
      <c r="N151" s="80" t="str">
        <f>IF(G151&lt;&gt;"",-$G151/'Elements and ions'!$F$3,"")</f>
        <v/>
      </c>
      <c r="O151" s="65" t="str">
        <f>IF(H151&lt;&gt;"",-$H151/'Elements and ions'!$B$18,"")</f>
        <v/>
      </c>
      <c r="P151" s="81" t="str">
        <f>IF(I151&lt;&gt;"",-2*$I151/'Elements and ions'!$F$4,"")</f>
        <v/>
      </c>
      <c r="Q151" s="80" t="str">
        <f t="shared" si="35"/>
        <v/>
      </c>
      <c r="R151" s="65" t="str">
        <f t="shared" si="36"/>
        <v/>
      </c>
      <c r="S151" s="81" t="str">
        <f t="shared" si="37"/>
        <v/>
      </c>
      <c r="T151" s="80" t="str">
        <f t="shared" si="38"/>
        <v/>
      </c>
      <c r="U151" s="65" t="str">
        <f t="shared" si="39"/>
        <v/>
      </c>
      <c r="V151" s="91" t="str">
        <f t="shared" si="40"/>
        <v/>
      </c>
      <c r="W151" s="70" t="str">
        <f t="shared" si="41"/>
        <v/>
      </c>
      <c r="X151" s="65" t="str">
        <f>IF(V151&lt;&gt;"",IF($V151&lt;&gt;0,(($V151+(0.5*T151))/100+1+$AE$9),-1),"")</f>
        <v/>
      </c>
      <c r="Y151" s="81" t="str">
        <f>IF(AND(W151&lt;&gt;-1,X151&lt;&gt;-1,W151&lt;&gt;"",X151&lt;&gt;"",AA151&lt;&gt;-1,Z151&lt;&gt;-1,AA151&lt;&gt;"",Z151&lt;&gt;""),(W151+X151)/2+(AA151-Z151)/(4*COS(0.5)*$AE$5),"")</f>
        <v/>
      </c>
      <c r="Z151" s="70" t="str">
        <f>IF(S151&lt;&gt;"",IF($S151&lt;&gt;"",((($S151*COS(0.5))*$AE$5)/100),-1),"")</f>
        <v/>
      </c>
      <c r="AA151" s="65" t="str">
        <f>IF(T151&lt;&gt;"",IF($T151&lt;&gt;"",((($T151*COS(0.5))*$AE$5)/100),-1),"")</f>
        <v/>
      </c>
      <c r="AB151" s="66" t="str">
        <f>IF(Y151&lt;&gt;"",2*COS(0.5)*$AE$5*(X151-W151)/2+(AA151+Z151)/2,"")</f>
        <v/>
      </c>
      <c r="AC151" s="5"/>
      <c r="AE151" s="51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</row>
    <row r="152" spans="1:55" x14ac:dyDescent="0.25">
      <c r="A152" s="37"/>
      <c r="B152" s="38"/>
      <c r="C152" s="37"/>
      <c r="D152" s="2"/>
      <c r="E152" s="2"/>
      <c r="F152" s="38"/>
      <c r="G152" s="37"/>
      <c r="H152" s="2"/>
      <c r="I152" s="3"/>
      <c r="J152" s="90" t="str">
        <f>IF(C152&lt;&gt;"",$C152/'Elements and ions'!$B$12,"")</f>
        <v/>
      </c>
      <c r="K152" s="65" t="str">
        <f>IF(D152&lt;&gt;"",$D152/'Elements and ions'!$B$20,"")</f>
        <v/>
      </c>
      <c r="L152" s="65" t="str">
        <f>IF(E152&lt;&gt;"",$E152/'Elements and ions'!$B$21*2,"")</f>
        <v/>
      </c>
      <c r="M152" s="81" t="str">
        <f>IF(F152&lt;&gt;"",$F152/'Elements and ions'!$B$13*2,"")</f>
        <v/>
      </c>
      <c r="N152" s="80" t="str">
        <f>IF(G152&lt;&gt;"",-$G152/'Elements and ions'!$F$3,"")</f>
        <v/>
      </c>
      <c r="O152" s="65" t="str">
        <f>IF(H152&lt;&gt;"",-$H152/'Elements and ions'!$B$18,"")</f>
        <v/>
      </c>
      <c r="P152" s="81" t="str">
        <f>IF(I152&lt;&gt;"",-2*$I152/'Elements and ions'!$F$4,"")</f>
        <v/>
      </c>
      <c r="Q152" s="80" t="str">
        <f t="shared" si="35"/>
        <v/>
      </c>
      <c r="R152" s="65" t="str">
        <f t="shared" si="36"/>
        <v/>
      </c>
      <c r="S152" s="81" t="str">
        <f t="shared" si="37"/>
        <v/>
      </c>
      <c r="T152" s="80" t="str">
        <f t="shared" si="38"/>
        <v/>
      </c>
      <c r="U152" s="65" t="str">
        <f t="shared" si="39"/>
        <v/>
      </c>
      <c r="V152" s="91" t="str">
        <f t="shared" si="40"/>
        <v/>
      </c>
      <c r="W152" s="70" t="str">
        <f t="shared" si="41"/>
        <v/>
      </c>
      <c r="X152" s="65" t="str">
        <f>IF(V152&lt;&gt;"",IF($V152&lt;&gt;0,(($V152+(0.5*T152))/100+1+$AE$9),-1),"")</f>
        <v/>
      </c>
      <c r="Y152" s="81" t="str">
        <f>IF(AND(W152&lt;&gt;-1,X152&lt;&gt;-1,W152&lt;&gt;"",X152&lt;&gt;"",AA152&lt;&gt;-1,Z152&lt;&gt;-1,AA152&lt;&gt;"",Z152&lt;&gt;""),(W152+X152)/2+(AA152-Z152)/(4*COS(0.5)*$AE$5),"")</f>
        <v/>
      </c>
      <c r="Z152" s="70" t="str">
        <f>IF(S152&lt;&gt;"",IF($S152&lt;&gt;"",((($S152*COS(0.5))*$AE$5)/100),-1),"")</f>
        <v/>
      </c>
      <c r="AA152" s="65" t="str">
        <f>IF(T152&lt;&gt;"",IF($T152&lt;&gt;"",((($T152*COS(0.5))*$AE$5)/100),-1),"")</f>
        <v/>
      </c>
      <c r="AB152" s="66" t="str">
        <f>IF(Y152&lt;&gt;"",2*COS(0.5)*$AE$5*(X152-W152)/2+(AA152+Z152)/2,"")</f>
        <v/>
      </c>
      <c r="AC152" s="5"/>
      <c r="AE152" s="51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</row>
    <row r="153" spans="1:55" x14ac:dyDescent="0.25">
      <c r="A153" s="37"/>
      <c r="B153" s="38"/>
      <c r="C153" s="37"/>
      <c r="D153" s="2"/>
      <c r="E153" s="2"/>
      <c r="F153" s="38"/>
      <c r="G153" s="37"/>
      <c r="H153" s="2"/>
      <c r="I153" s="3"/>
      <c r="J153" s="90" t="str">
        <f>IF(C153&lt;&gt;"",$C153/'Elements and ions'!$B$12,"")</f>
        <v/>
      </c>
      <c r="K153" s="65" t="str">
        <f>IF(D153&lt;&gt;"",$D153/'Elements and ions'!$B$20,"")</f>
        <v/>
      </c>
      <c r="L153" s="65" t="str">
        <f>IF(E153&lt;&gt;"",$E153/'Elements and ions'!$B$21*2,"")</f>
        <v/>
      </c>
      <c r="M153" s="81" t="str">
        <f>IF(F153&lt;&gt;"",$F153/'Elements and ions'!$B$13*2,"")</f>
        <v/>
      </c>
      <c r="N153" s="80" t="str">
        <f>IF(G153&lt;&gt;"",-$G153/'Elements and ions'!$F$3,"")</f>
        <v/>
      </c>
      <c r="O153" s="65" t="str">
        <f>IF(H153&lt;&gt;"",-$H153/'Elements and ions'!$B$18,"")</f>
        <v/>
      </c>
      <c r="P153" s="81" t="str">
        <f>IF(I153&lt;&gt;"",-2*$I153/'Elements and ions'!$F$4,"")</f>
        <v/>
      </c>
      <c r="Q153" s="80" t="str">
        <f t="shared" si="35"/>
        <v/>
      </c>
      <c r="R153" s="65" t="str">
        <f t="shared" si="36"/>
        <v/>
      </c>
      <c r="S153" s="81" t="str">
        <f t="shared" si="37"/>
        <v/>
      </c>
      <c r="T153" s="80" t="str">
        <f t="shared" si="38"/>
        <v/>
      </c>
      <c r="U153" s="65" t="str">
        <f t="shared" si="39"/>
        <v/>
      </c>
      <c r="V153" s="91" t="str">
        <f t="shared" si="40"/>
        <v/>
      </c>
      <c r="W153" s="70" t="str">
        <f t="shared" si="41"/>
        <v/>
      </c>
      <c r="X153" s="65" t="str">
        <f>IF(V153&lt;&gt;"",IF($V153&lt;&gt;0,(($V153+(0.5*T153))/100+1+$AE$9),-1),"")</f>
        <v/>
      </c>
      <c r="Y153" s="81" t="str">
        <f>IF(AND(W153&lt;&gt;-1,X153&lt;&gt;-1,W153&lt;&gt;"",X153&lt;&gt;"",AA153&lt;&gt;-1,Z153&lt;&gt;-1,AA153&lt;&gt;"",Z153&lt;&gt;""),(W153+X153)/2+(AA153-Z153)/(4*COS(0.5)*$AE$5),"")</f>
        <v/>
      </c>
      <c r="Z153" s="70" t="str">
        <f>IF(S153&lt;&gt;"",IF($S153&lt;&gt;"",((($S153*COS(0.5))*$AE$5)/100),-1),"")</f>
        <v/>
      </c>
      <c r="AA153" s="65" t="str">
        <f>IF(T153&lt;&gt;"",IF($T153&lt;&gt;"",((($T153*COS(0.5))*$AE$5)/100),-1),"")</f>
        <v/>
      </c>
      <c r="AB153" s="66" t="str">
        <f>IF(Y153&lt;&gt;"",2*COS(0.5)*$AE$5*(X153-W153)/2+(AA153+Z153)/2,"")</f>
        <v/>
      </c>
      <c r="AC153" s="5"/>
      <c r="AE153" s="51" t="s">
        <v>138</v>
      </c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</row>
    <row r="154" spans="1:55" x14ac:dyDescent="0.25">
      <c r="A154" s="37"/>
      <c r="B154" s="38"/>
      <c r="C154" s="37"/>
      <c r="D154" s="2"/>
      <c r="E154" s="2"/>
      <c r="F154" s="38"/>
      <c r="G154" s="37"/>
      <c r="H154" s="2"/>
      <c r="I154" s="3"/>
      <c r="J154" s="90" t="str">
        <f>IF(C154&lt;&gt;"",$C154/'Elements and ions'!$B$12,"")</f>
        <v/>
      </c>
      <c r="K154" s="65" t="str">
        <f>IF(D154&lt;&gt;"",$D154/'Elements and ions'!$B$20,"")</f>
        <v/>
      </c>
      <c r="L154" s="65" t="str">
        <f>IF(E154&lt;&gt;"",$E154/'Elements and ions'!$B$21*2,"")</f>
        <v/>
      </c>
      <c r="M154" s="81" t="str">
        <f>IF(F154&lt;&gt;"",$F154/'Elements and ions'!$B$13*2,"")</f>
        <v/>
      </c>
      <c r="N154" s="80" t="str">
        <f>IF(G154&lt;&gt;"",-$G154/'Elements and ions'!$F$3,"")</f>
        <v/>
      </c>
      <c r="O154" s="65" t="str">
        <f>IF(H154&lt;&gt;"",-$H154/'Elements and ions'!$B$18,"")</f>
        <v/>
      </c>
      <c r="P154" s="81" t="str">
        <f>IF(I154&lt;&gt;"",-2*$I154/'Elements and ions'!$F$4,"")</f>
        <v/>
      </c>
      <c r="Q154" s="80" t="str">
        <f t="shared" si="35"/>
        <v/>
      </c>
      <c r="R154" s="65" t="str">
        <f t="shared" si="36"/>
        <v/>
      </c>
      <c r="S154" s="81" t="str">
        <f t="shared" si="37"/>
        <v/>
      </c>
      <c r="T154" s="80" t="str">
        <f t="shared" si="38"/>
        <v/>
      </c>
      <c r="U154" s="65" t="str">
        <f t="shared" si="39"/>
        <v/>
      </c>
      <c r="V154" s="91" t="str">
        <f t="shared" si="40"/>
        <v/>
      </c>
      <c r="W154" s="70" t="str">
        <f t="shared" si="41"/>
        <v/>
      </c>
      <c r="X154" s="65" t="str">
        <f>IF(V154&lt;&gt;"",IF($V154&lt;&gt;0,(($V154+(0.5*T154))/100+1+$AE$9),-1),"")</f>
        <v/>
      </c>
      <c r="Y154" s="81" t="str">
        <f>IF(AND(W154&lt;&gt;-1,X154&lt;&gt;-1,W154&lt;&gt;"",X154&lt;&gt;"",AA154&lt;&gt;-1,Z154&lt;&gt;-1,AA154&lt;&gt;"",Z154&lt;&gt;""),(W154+X154)/2+(AA154-Z154)/(4*COS(0.5)*$AE$5),"")</f>
        <v/>
      </c>
      <c r="Z154" s="70" t="str">
        <f>IF(S154&lt;&gt;"",IF($S154&lt;&gt;"",((($S154*COS(0.5))*$AE$5)/100),-1),"")</f>
        <v/>
      </c>
      <c r="AA154" s="65" t="str">
        <f>IF(T154&lt;&gt;"",IF($T154&lt;&gt;"",((($T154*COS(0.5))*$AE$5)/100),-1),"")</f>
        <v/>
      </c>
      <c r="AB154" s="66" t="str">
        <f>IF(Y154&lt;&gt;"",2*COS(0.5)*$AE$5*(X154-W154)/2+(AA154+Z154)/2,"")</f>
        <v/>
      </c>
      <c r="AC154" s="5"/>
      <c r="AE154" s="51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</row>
    <row r="155" spans="1:55" x14ac:dyDescent="0.25">
      <c r="A155" s="37"/>
      <c r="B155" s="38"/>
      <c r="C155" s="37"/>
      <c r="D155" s="2"/>
      <c r="E155" s="2"/>
      <c r="F155" s="38"/>
      <c r="G155" s="37"/>
      <c r="H155" s="2"/>
      <c r="I155" s="3"/>
      <c r="J155" s="90" t="str">
        <f>IF(C155&lt;&gt;"",$C155/'Elements and ions'!$B$12,"")</f>
        <v/>
      </c>
      <c r="K155" s="65" t="str">
        <f>IF(D155&lt;&gt;"",$D155/'Elements and ions'!$B$20,"")</f>
        <v/>
      </c>
      <c r="L155" s="65" t="str">
        <f>IF(E155&lt;&gt;"",$E155/'Elements and ions'!$B$21*2,"")</f>
        <v/>
      </c>
      <c r="M155" s="81" t="str">
        <f>IF(F155&lt;&gt;"",$F155/'Elements and ions'!$B$13*2,"")</f>
        <v/>
      </c>
      <c r="N155" s="80" t="str">
        <f>IF(G155&lt;&gt;"",-$G155/'Elements and ions'!$F$3,"")</f>
        <v/>
      </c>
      <c r="O155" s="65" t="str">
        <f>IF(H155&lt;&gt;"",-$H155/'Elements and ions'!$B$18,"")</f>
        <v/>
      </c>
      <c r="P155" s="81" t="str">
        <f>IF(I155&lt;&gt;"",-2*$I155/'Elements and ions'!$F$4,"")</f>
        <v/>
      </c>
      <c r="Q155" s="80" t="str">
        <f t="shared" si="35"/>
        <v/>
      </c>
      <c r="R155" s="65" t="str">
        <f t="shared" si="36"/>
        <v/>
      </c>
      <c r="S155" s="81" t="str">
        <f t="shared" si="37"/>
        <v/>
      </c>
      <c r="T155" s="80" t="str">
        <f t="shared" si="38"/>
        <v/>
      </c>
      <c r="U155" s="65" t="str">
        <f t="shared" si="39"/>
        <v/>
      </c>
      <c r="V155" s="91" t="str">
        <f t="shared" si="40"/>
        <v/>
      </c>
      <c r="W155" s="70" t="str">
        <f t="shared" si="41"/>
        <v/>
      </c>
      <c r="X155" s="65" t="str">
        <f>IF(V155&lt;&gt;"",IF($V155&lt;&gt;0,(($V155+(0.5*T155))/100+1+$AE$9),-1),"")</f>
        <v/>
      </c>
      <c r="Y155" s="81" t="str">
        <f>IF(AND(W155&lt;&gt;-1,X155&lt;&gt;-1,W155&lt;&gt;"",X155&lt;&gt;"",AA155&lt;&gt;-1,Z155&lt;&gt;-1,AA155&lt;&gt;"",Z155&lt;&gt;""),(W155+X155)/2+(AA155-Z155)/(4*COS(0.5)*$AE$5),"")</f>
        <v/>
      </c>
      <c r="Z155" s="70" t="str">
        <f>IF(S155&lt;&gt;"",IF($S155&lt;&gt;"",((($S155*COS(0.5))*$AE$5)/100),-1),"")</f>
        <v/>
      </c>
      <c r="AA155" s="65" t="str">
        <f>IF(T155&lt;&gt;"",IF($T155&lt;&gt;"",((($T155*COS(0.5))*$AE$5)/100),-1),"")</f>
        <v/>
      </c>
      <c r="AB155" s="66" t="str">
        <f>IF(Y155&lt;&gt;"",2*COS(0.5)*$AE$5*(X155-W155)/2+(AA155+Z155)/2,"")</f>
        <v/>
      </c>
      <c r="AC155" s="5"/>
      <c r="AE155" s="51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</row>
    <row r="156" spans="1:55" x14ac:dyDescent="0.25">
      <c r="A156" s="37"/>
      <c r="B156" s="38"/>
      <c r="C156" s="37"/>
      <c r="D156" s="2"/>
      <c r="E156" s="2"/>
      <c r="F156" s="38"/>
      <c r="G156" s="37"/>
      <c r="H156" s="2"/>
      <c r="I156" s="3"/>
      <c r="J156" s="90" t="str">
        <f>IF(C156&lt;&gt;"",$C156/'Elements and ions'!$B$12,"")</f>
        <v/>
      </c>
      <c r="K156" s="65" t="str">
        <f>IF(D156&lt;&gt;"",$D156/'Elements and ions'!$B$20,"")</f>
        <v/>
      </c>
      <c r="L156" s="65" t="str">
        <f>IF(E156&lt;&gt;"",$E156/'Elements and ions'!$B$21*2,"")</f>
        <v/>
      </c>
      <c r="M156" s="81" t="str">
        <f>IF(F156&lt;&gt;"",$F156/'Elements and ions'!$B$13*2,"")</f>
        <v/>
      </c>
      <c r="N156" s="80" t="str">
        <f>IF(G156&lt;&gt;"",-$G156/'Elements and ions'!$F$3,"")</f>
        <v/>
      </c>
      <c r="O156" s="65" t="str">
        <f>IF(H156&lt;&gt;"",-$H156/'Elements and ions'!$B$18,"")</f>
        <v/>
      </c>
      <c r="P156" s="81" t="str">
        <f>IF(I156&lt;&gt;"",-2*$I156/'Elements and ions'!$F$4,"")</f>
        <v/>
      </c>
      <c r="Q156" s="80" t="str">
        <f t="shared" si="35"/>
        <v/>
      </c>
      <c r="R156" s="65" t="str">
        <f t="shared" si="36"/>
        <v/>
      </c>
      <c r="S156" s="81" t="str">
        <f t="shared" si="37"/>
        <v/>
      </c>
      <c r="T156" s="80" t="str">
        <f t="shared" si="38"/>
        <v/>
      </c>
      <c r="U156" s="65" t="str">
        <f t="shared" si="39"/>
        <v/>
      </c>
      <c r="V156" s="91" t="str">
        <f t="shared" si="40"/>
        <v/>
      </c>
      <c r="W156" s="70" t="str">
        <f t="shared" si="41"/>
        <v/>
      </c>
      <c r="X156" s="65" t="str">
        <f>IF(V156&lt;&gt;"",IF($V156&lt;&gt;0,(($V156+(0.5*T156))/100+1+$AE$9),-1),"")</f>
        <v/>
      </c>
      <c r="Y156" s="81" t="str">
        <f>IF(AND(W156&lt;&gt;-1,X156&lt;&gt;-1,W156&lt;&gt;"",X156&lt;&gt;"",AA156&lt;&gt;-1,Z156&lt;&gt;-1,AA156&lt;&gt;"",Z156&lt;&gt;""),(W156+X156)/2+(AA156-Z156)/(4*COS(0.5)*$AE$5),"")</f>
        <v/>
      </c>
      <c r="Z156" s="70" t="str">
        <f>IF(S156&lt;&gt;"",IF($S156&lt;&gt;"",((($S156*COS(0.5))*$AE$5)/100),-1),"")</f>
        <v/>
      </c>
      <c r="AA156" s="65" t="str">
        <f>IF(T156&lt;&gt;"",IF($T156&lt;&gt;"",((($T156*COS(0.5))*$AE$5)/100),-1),"")</f>
        <v/>
      </c>
      <c r="AB156" s="66" t="str">
        <f>IF(Y156&lt;&gt;"",2*COS(0.5)*$AE$5*(X156-W156)/2+(AA156+Z156)/2,"")</f>
        <v/>
      </c>
      <c r="AC156" s="5"/>
      <c r="AE156" s="51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</row>
    <row r="157" spans="1:55" x14ac:dyDescent="0.25">
      <c r="A157" s="37"/>
      <c r="B157" s="38"/>
      <c r="C157" s="37"/>
      <c r="D157" s="2"/>
      <c r="E157" s="2"/>
      <c r="F157" s="38"/>
      <c r="G157" s="37"/>
      <c r="H157" s="2"/>
      <c r="I157" s="3"/>
      <c r="J157" s="90" t="str">
        <f>IF(C157&lt;&gt;"",$C157/'Elements and ions'!$B$12,"")</f>
        <v/>
      </c>
      <c r="K157" s="65" t="str">
        <f>IF(D157&lt;&gt;"",$D157/'Elements and ions'!$B$20,"")</f>
        <v/>
      </c>
      <c r="L157" s="65" t="str">
        <f>IF(E157&lt;&gt;"",$E157/'Elements and ions'!$B$21*2,"")</f>
        <v/>
      </c>
      <c r="M157" s="81" t="str">
        <f>IF(F157&lt;&gt;"",$F157/'Elements and ions'!$B$13*2,"")</f>
        <v/>
      </c>
      <c r="N157" s="80" t="str">
        <f>IF(G157&lt;&gt;"",-$G157/'Elements and ions'!$F$3,"")</f>
        <v/>
      </c>
      <c r="O157" s="65" t="str">
        <f>IF(H157&lt;&gt;"",-$H157/'Elements and ions'!$B$18,"")</f>
        <v/>
      </c>
      <c r="P157" s="81" t="str">
        <f>IF(I157&lt;&gt;"",-2*$I157/'Elements and ions'!$F$4,"")</f>
        <v/>
      </c>
      <c r="Q157" s="80" t="str">
        <f t="shared" si="35"/>
        <v/>
      </c>
      <c r="R157" s="65" t="str">
        <f t="shared" si="36"/>
        <v/>
      </c>
      <c r="S157" s="81" t="str">
        <f t="shared" si="37"/>
        <v/>
      </c>
      <c r="T157" s="80" t="str">
        <f t="shared" si="38"/>
        <v/>
      </c>
      <c r="U157" s="65" t="str">
        <f t="shared" si="39"/>
        <v/>
      </c>
      <c r="V157" s="91" t="str">
        <f t="shared" si="40"/>
        <v/>
      </c>
      <c r="W157" s="70" t="str">
        <f t="shared" si="41"/>
        <v/>
      </c>
      <c r="X157" s="65" t="str">
        <f>IF(V157&lt;&gt;"",IF($V157&lt;&gt;0,(($V157+(0.5*T157))/100+1+$AE$9),-1),"")</f>
        <v/>
      </c>
      <c r="Y157" s="81" t="str">
        <f>IF(AND(W157&lt;&gt;-1,X157&lt;&gt;-1,W157&lt;&gt;"",X157&lt;&gt;"",AA157&lt;&gt;-1,Z157&lt;&gt;-1,AA157&lt;&gt;"",Z157&lt;&gt;""),(W157+X157)/2+(AA157-Z157)/(4*COS(0.5)*$AE$5),"")</f>
        <v/>
      </c>
      <c r="Z157" s="70" t="str">
        <f>IF(S157&lt;&gt;"",IF($S157&lt;&gt;"",((($S157*COS(0.5))*$AE$5)/100),-1),"")</f>
        <v/>
      </c>
      <c r="AA157" s="65" t="str">
        <f>IF(T157&lt;&gt;"",IF($T157&lt;&gt;"",((($T157*COS(0.5))*$AE$5)/100),-1),"")</f>
        <v/>
      </c>
      <c r="AB157" s="66" t="str">
        <f>IF(Y157&lt;&gt;"",2*COS(0.5)*$AE$5*(X157-W157)/2+(AA157+Z157)/2,"")</f>
        <v/>
      </c>
      <c r="AC157" s="5"/>
      <c r="AE157" s="51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</row>
    <row r="158" spans="1:55" x14ac:dyDescent="0.25">
      <c r="A158" s="37"/>
      <c r="B158" s="38"/>
      <c r="C158" s="37"/>
      <c r="D158" s="2"/>
      <c r="E158" s="2"/>
      <c r="F158" s="38"/>
      <c r="G158" s="37"/>
      <c r="H158" s="2"/>
      <c r="I158" s="3"/>
      <c r="J158" s="90" t="str">
        <f>IF(C158&lt;&gt;"",$C158/'Elements and ions'!$B$12,"")</f>
        <v/>
      </c>
      <c r="K158" s="65" t="str">
        <f>IF(D158&lt;&gt;"",$D158/'Elements and ions'!$B$20,"")</f>
        <v/>
      </c>
      <c r="L158" s="65" t="str">
        <f>IF(E158&lt;&gt;"",$E158/'Elements and ions'!$B$21*2,"")</f>
        <v/>
      </c>
      <c r="M158" s="81" t="str">
        <f>IF(F158&lt;&gt;"",$F158/'Elements and ions'!$B$13*2,"")</f>
        <v/>
      </c>
      <c r="N158" s="80" t="str">
        <f>IF(G158&lt;&gt;"",-$G158/'Elements and ions'!$F$3,"")</f>
        <v/>
      </c>
      <c r="O158" s="65" t="str">
        <f>IF(H158&lt;&gt;"",-$H158/'Elements and ions'!$B$18,"")</f>
        <v/>
      </c>
      <c r="P158" s="81" t="str">
        <f>IF(I158&lt;&gt;"",-2*$I158/'Elements and ions'!$F$4,"")</f>
        <v/>
      </c>
      <c r="Q158" s="80" t="str">
        <f t="shared" si="35"/>
        <v/>
      </c>
      <c r="R158" s="65" t="str">
        <f t="shared" si="36"/>
        <v/>
      </c>
      <c r="S158" s="81" t="str">
        <f t="shared" si="37"/>
        <v/>
      </c>
      <c r="T158" s="80" t="str">
        <f t="shared" si="38"/>
        <v/>
      </c>
      <c r="U158" s="65" t="str">
        <f t="shared" si="39"/>
        <v/>
      </c>
      <c r="V158" s="91" t="str">
        <f t="shared" si="40"/>
        <v/>
      </c>
      <c r="W158" s="70" t="str">
        <f t="shared" si="41"/>
        <v/>
      </c>
      <c r="X158" s="65" t="str">
        <f>IF(V158&lt;&gt;"",IF($V158&lt;&gt;0,(($V158+(0.5*T158))/100+1+$AE$9),-1),"")</f>
        <v/>
      </c>
      <c r="Y158" s="81" t="str">
        <f>IF(AND(W158&lt;&gt;-1,X158&lt;&gt;-1,W158&lt;&gt;"",X158&lt;&gt;"",AA158&lt;&gt;-1,Z158&lt;&gt;-1,AA158&lt;&gt;"",Z158&lt;&gt;""),(W158+X158)/2+(AA158-Z158)/(4*COS(0.5)*$AE$5),"")</f>
        <v/>
      </c>
      <c r="Z158" s="70" t="str">
        <f>IF(S158&lt;&gt;"",IF($S158&lt;&gt;"",((($S158*COS(0.5))*$AE$5)/100),-1),"")</f>
        <v/>
      </c>
      <c r="AA158" s="65" t="str">
        <f>IF(T158&lt;&gt;"",IF($T158&lt;&gt;"",((($T158*COS(0.5))*$AE$5)/100),-1),"")</f>
        <v/>
      </c>
      <c r="AB158" s="66" t="str">
        <f>IF(Y158&lt;&gt;"",2*COS(0.5)*$AE$5*(X158-W158)/2+(AA158+Z158)/2,"")</f>
        <v/>
      </c>
      <c r="AC158" s="5"/>
      <c r="AE158" s="51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</row>
    <row r="159" spans="1:55" x14ac:dyDescent="0.25">
      <c r="A159" s="37"/>
      <c r="B159" s="38"/>
      <c r="C159" s="37"/>
      <c r="D159" s="2"/>
      <c r="E159" s="2"/>
      <c r="F159" s="38"/>
      <c r="G159" s="37"/>
      <c r="H159" s="2"/>
      <c r="I159" s="3"/>
      <c r="J159" s="90" t="str">
        <f>IF(C159&lt;&gt;"",$C159/'Elements and ions'!$B$12,"")</f>
        <v/>
      </c>
      <c r="K159" s="65" t="str">
        <f>IF(D159&lt;&gt;"",$D159/'Elements and ions'!$B$20,"")</f>
        <v/>
      </c>
      <c r="L159" s="65" t="str">
        <f>IF(E159&lt;&gt;"",$E159/'Elements and ions'!$B$21*2,"")</f>
        <v/>
      </c>
      <c r="M159" s="81" t="str">
        <f>IF(F159&lt;&gt;"",$F159/'Elements and ions'!$B$13*2,"")</f>
        <v/>
      </c>
      <c r="N159" s="80" t="str">
        <f>IF(G159&lt;&gt;"",-$G159/'Elements and ions'!$F$3,"")</f>
        <v/>
      </c>
      <c r="O159" s="65" t="str">
        <f>IF(H159&lt;&gt;"",-$H159/'Elements and ions'!$B$18,"")</f>
        <v/>
      </c>
      <c r="P159" s="81" t="str">
        <f>IF(I159&lt;&gt;"",-2*$I159/'Elements and ions'!$F$4,"")</f>
        <v/>
      </c>
      <c r="Q159" s="80" t="str">
        <f t="shared" si="35"/>
        <v/>
      </c>
      <c r="R159" s="65" t="str">
        <f t="shared" si="36"/>
        <v/>
      </c>
      <c r="S159" s="81" t="str">
        <f t="shared" si="37"/>
        <v/>
      </c>
      <c r="T159" s="80" t="str">
        <f t="shared" si="38"/>
        <v/>
      </c>
      <c r="U159" s="65" t="str">
        <f t="shared" si="39"/>
        <v/>
      </c>
      <c r="V159" s="91" t="str">
        <f t="shared" si="40"/>
        <v/>
      </c>
      <c r="W159" s="70" t="str">
        <f t="shared" si="41"/>
        <v/>
      </c>
      <c r="X159" s="65" t="str">
        <f>IF(V159&lt;&gt;"",IF($V159&lt;&gt;0,(($V159+(0.5*T159))/100+1+$AE$9),-1),"")</f>
        <v/>
      </c>
      <c r="Y159" s="81" t="str">
        <f>IF(AND(W159&lt;&gt;-1,X159&lt;&gt;-1,W159&lt;&gt;"",X159&lt;&gt;"",AA159&lt;&gt;-1,Z159&lt;&gt;-1,AA159&lt;&gt;"",Z159&lt;&gt;""),(W159+X159)/2+(AA159-Z159)/(4*COS(0.5)*$AE$5),"")</f>
        <v/>
      </c>
      <c r="Z159" s="70" t="str">
        <f>IF(S159&lt;&gt;"",IF($S159&lt;&gt;"",((($S159*COS(0.5))*$AE$5)/100),-1),"")</f>
        <v/>
      </c>
      <c r="AA159" s="65" t="str">
        <f>IF(T159&lt;&gt;"",IF($T159&lt;&gt;"",((($T159*COS(0.5))*$AE$5)/100),-1),"")</f>
        <v/>
      </c>
      <c r="AB159" s="66" t="str">
        <f>IF(Y159&lt;&gt;"",2*COS(0.5)*$AE$5*(X159-W159)/2+(AA159+Z159)/2,"")</f>
        <v/>
      </c>
      <c r="AC159" s="5"/>
      <c r="AE159" s="51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</row>
    <row r="160" spans="1:55" x14ac:dyDescent="0.25">
      <c r="A160" s="37"/>
      <c r="B160" s="38"/>
      <c r="C160" s="37"/>
      <c r="D160" s="2"/>
      <c r="E160" s="2"/>
      <c r="F160" s="38"/>
      <c r="G160" s="37"/>
      <c r="H160" s="2"/>
      <c r="I160" s="3"/>
      <c r="J160" s="90" t="str">
        <f>IF(C160&lt;&gt;"",$C160/'Elements and ions'!$B$12,"")</f>
        <v/>
      </c>
      <c r="K160" s="65" t="str">
        <f>IF(D160&lt;&gt;"",$D160/'Elements and ions'!$B$20,"")</f>
        <v/>
      </c>
      <c r="L160" s="65" t="str">
        <f>IF(E160&lt;&gt;"",$E160/'Elements and ions'!$B$21*2,"")</f>
        <v/>
      </c>
      <c r="M160" s="81" t="str">
        <f>IF(F160&lt;&gt;"",$F160/'Elements and ions'!$B$13*2,"")</f>
        <v/>
      </c>
      <c r="N160" s="80" t="str">
        <f>IF(G160&lt;&gt;"",-$G160/'Elements and ions'!$F$3,"")</f>
        <v/>
      </c>
      <c r="O160" s="65" t="str">
        <f>IF(H160&lt;&gt;"",-$H160/'Elements and ions'!$B$18,"")</f>
        <v/>
      </c>
      <c r="P160" s="81" t="str">
        <f>IF(I160&lt;&gt;"",-2*$I160/'Elements and ions'!$F$4,"")</f>
        <v/>
      </c>
      <c r="Q160" s="80" t="str">
        <f t="shared" si="35"/>
        <v/>
      </c>
      <c r="R160" s="65" t="str">
        <f t="shared" si="36"/>
        <v/>
      </c>
      <c r="S160" s="81" t="str">
        <f t="shared" si="37"/>
        <v/>
      </c>
      <c r="T160" s="80" t="str">
        <f t="shared" si="38"/>
        <v/>
      </c>
      <c r="U160" s="65" t="str">
        <f t="shared" si="39"/>
        <v/>
      </c>
      <c r="V160" s="91" t="str">
        <f t="shared" si="40"/>
        <v/>
      </c>
      <c r="W160" s="70" t="str">
        <f t="shared" si="41"/>
        <v/>
      </c>
      <c r="X160" s="65" t="str">
        <f>IF(V160&lt;&gt;"",IF($V160&lt;&gt;0,(($V160+(0.5*T160))/100+1+$AE$9),-1),"")</f>
        <v/>
      </c>
      <c r="Y160" s="81" t="str">
        <f>IF(AND(W160&lt;&gt;-1,X160&lt;&gt;-1,W160&lt;&gt;"",X160&lt;&gt;"",AA160&lt;&gt;-1,Z160&lt;&gt;-1,AA160&lt;&gt;"",Z160&lt;&gt;""),(W160+X160)/2+(AA160-Z160)/(4*COS(0.5)*$AE$5),"")</f>
        <v/>
      </c>
      <c r="Z160" s="70" t="str">
        <f>IF(S160&lt;&gt;"",IF($S160&lt;&gt;"",((($S160*COS(0.5))*$AE$5)/100),-1),"")</f>
        <v/>
      </c>
      <c r="AA160" s="65" t="str">
        <f>IF(T160&lt;&gt;"",IF($T160&lt;&gt;"",((($T160*COS(0.5))*$AE$5)/100),-1),"")</f>
        <v/>
      </c>
      <c r="AB160" s="66" t="str">
        <f>IF(Y160&lt;&gt;"",2*COS(0.5)*$AE$5*(X160-W160)/2+(AA160+Z160)/2,"")</f>
        <v/>
      </c>
      <c r="AC160" s="5"/>
      <c r="AE160" s="51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</row>
    <row r="161" spans="1:55" x14ac:dyDescent="0.25">
      <c r="A161" s="37"/>
      <c r="B161" s="38"/>
      <c r="C161" s="37"/>
      <c r="D161" s="2"/>
      <c r="E161" s="2"/>
      <c r="F161" s="38"/>
      <c r="G161" s="37"/>
      <c r="H161" s="2"/>
      <c r="I161" s="3"/>
      <c r="J161" s="90" t="str">
        <f>IF(C161&lt;&gt;"",$C161/'Elements and ions'!$B$12,"")</f>
        <v/>
      </c>
      <c r="K161" s="65" t="str">
        <f>IF(D161&lt;&gt;"",$D161/'Elements and ions'!$B$20,"")</f>
        <v/>
      </c>
      <c r="L161" s="65" t="str">
        <f>IF(E161&lt;&gt;"",$E161/'Elements and ions'!$B$21*2,"")</f>
        <v/>
      </c>
      <c r="M161" s="81" t="str">
        <f>IF(F161&lt;&gt;"",$F161/'Elements and ions'!$B$13*2,"")</f>
        <v/>
      </c>
      <c r="N161" s="80" t="str">
        <f>IF(G161&lt;&gt;"",-$G161/'Elements and ions'!$F$3,"")</f>
        <v/>
      </c>
      <c r="O161" s="65" t="str">
        <f>IF(H161&lt;&gt;"",-$H161/'Elements and ions'!$B$18,"")</f>
        <v/>
      </c>
      <c r="P161" s="81" t="str">
        <f>IF(I161&lt;&gt;"",-2*$I161/'Elements and ions'!$F$4,"")</f>
        <v/>
      </c>
      <c r="Q161" s="80" t="str">
        <f t="shared" si="35"/>
        <v/>
      </c>
      <c r="R161" s="65" t="str">
        <f t="shared" si="36"/>
        <v/>
      </c>
      <c r="S161" s="81" t="str">
        <f t="shared" si="37"/>
        <v/>
      </c>
      <c r="T161" s="80" t="str">
        <f t="shared" si="38"/>
        <v/>
      </c>
      <c r="U161" s="65" t="str">
        <f t="shared" si="39"/>
        <v/>
      </c>
      <c r="V161" s="91" t="str">
        <f t="shared" si="40"/>
        <v/>
      </c>
      <c r="W161" s="70" t="str">
        <f t="shared" si="41"/>
        <v/>
      </c>
      <c r="X161" s="65" t="str">
        <f>IF(V161&lt;&gt;"",IF($V161&lt;&gt;0,(($V161+(0.5*T161))/100+1+$AE$9),-1),"")</f>
        <v/>
      </c>
      <c r="Y161" s="81" t="str">
        <f>IF(AND(W161&lt;&gt;-1,X161&lt;&gt;-1,W161&lt;&gt;"",X161&lt;&gt;"",AA161&lt;&gt;-1,Z161&lt;&gt;-1,AA161&lt;&gt;"",Z161&lt;&gt;""),(W161+X161)/2+(AA161-Z161)/(4*COS(0.5)*$AE$5),"")</f>
        <v/>
      </c>
      <c r="Z161" s="70" t="str">
        <f>IF(S161&lt;&gt;"",IF($S161&lt;&gt;"",((($S161*COS(0.5))*$AE$5)/100),-1),"")</f>
        <v/>
      </c>
      <c r="AA161" s="65" t="str">
        <f>IF(T161&lt;&gt;"",IF($T161&lt;&gt;"",((($T161*COS(0.5))*$AE$5)/100),-1),"")</f>
        <v/>
      </c>
      <c r="AB161" s="66" t="str">
        <f>IF(Y161&lt;&gt;"",2*COS(0.5)*$AE$5*(X161-W161)/2+(AA161+Z161)/2,"")</f>
        <v/>
      </c>
      <c r="AC161" s="5"/>
      <c r="AE161" s="51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</row>
    <row r="162" spans="1:55" x14ac:dyDescent="0.25">
      <c r="A162" s="37"/>
      <c r="B162" s="38"/>
      <c r="C162" s="37"/>
      <c r="D162" s="2"/>
      <c r="E162" s="2"/>
      <c r="F162" s="38"/>
      <c r="G162" s="37"/>
      <c r="H162" s="2"/>
      <c r="I162" s="3"/>
      <c r="J162" s="90" t="str">
        <f>IF(C162&lt;&gt;"",$C162/'Elements and ions'!$B$12,"")</f>
        <v/>
      </c>
      <c r="K162" s="65" t="str">
        <f>IF(D162&lt;&gt;"",$D162/'Elements and ions'!$B$20,"")</f>
        <v/>
      </c>
      <c r="L162" s="65" t="str">
        <f>IF(E162&lt;&gt;"",$E162/'Elements and ions'!$B$21*2,"")</f>
        <v/>
      </c>
      <c r="M162" s="81" t="str">
        <f>IF(F162&lt;&gt;"",$F162/'Elements and ions'!$B$13*2,"")</f>
        <v/>
      </c>
      <c r="N162" s="80" t="str">
        <f>IF(G162&lt;&gt;"",-$G162/'Elements and ions'!$F$3,"")</f>
        <v/>
      </c>
      <c r="O162" s="65" t="str">
        <f>IF(H162&lt;&gt;"",-$H162/'Elements and ions'!$B$18,"")</f>
        <v/>
      </c>
      <c r="P162" s="81" t="str">
        <f>IF(I162&lt;&gt;"",-2*$I162/'Elements and ions'!$F$4,"")</f>
        <v/>
      </c>
      <c r="Q162" s="80" t="str">
        <f t="shared" si="35"/>
        <v/>
      </c>
      <c r="R162" s="65" t="str">
        <f t="shared" si="36"/>
        <v/>
      </c>
      <c r="S162" s="81" t="str">
        <f t="shared" si="37"/>
        <v/>
      </c>
      <c r="T162" s="80" t="str">
        <f t="shared" si="38"/>
        <v/>
      </c>
      <c r="U162" s="65" t="str">
        <f t="shared" si="39"/>
        <v/>
      </c>
      <c r="V162" s="91" t="str">
        <f t="shared" si="40"/>
        <v/>
      </c>
      <c r="W162" s="70" t="str">
        <f t="shared" si="41"/>
        <v/>
      </c>
      <c r="X162" s="65" t="str">
        <f>IF(V162&lt;&gt;"",IF($V162&lt;&gt;0,(($V162+(0.5*T162))/100+1+$AE$9),-1),"")</f>
        <v/>
      </c>
      <c r="Y162" s="81" t="str">
        <f>IF(AND(W162&lt;&gt;-1,X162&lt;&gt;-1,W162&lt;&gt;"",X162&lt;&gt;"",AA162&lt;&gt;-1,Z162&lt;&gt;-1,AA162&lt;&gt;"",Z162&lt;&gt;""),(W162+X162)/2+(AA162-Z162)/(4*COS(0.5)*$AE$5),"")</f>
        <v/>
      </c>
      <c r="Z162" s="70" t="str">
        <f>IF(S162&lt;&gt;"",IF($S162&lt;&gt;"",((($S162*COS(0.5))*$AE$5)/100),-1),"")</f>
        <v/>
      </c>
      <c r="AA162" s="65" t="str">
        <f>IF(T162&lt;&gt;"",IF($T162&lt;&gt;"",((($T162*COS(0.5))*$AE$5)/100),-1),"")</f>
        <v/>
      </c>
      <c r="AB162" s="66" t="str">
        <f>IF(Y162&lt;&gt;"",2*COS(0.5)*$AE$5*(X162-W162)/2+(AA162+Z162)/2,"")</f>
        <v/>
      </c>
      <c r="AC162" s="5"/>
      <c r="AE162" s="51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</row>
    <row r="163" spans="1:55" x14ac:dyDescent="0.25">
      <c r="A163" s="37"/>
      <c r="B163" s="38"/>
      <c r="C163" s="37"/>
      <c r="D163" s="2"/>
      <c r="E163" s="2"/>
      <c r="F163" s="38"/>
      <c r="G163" s="37"/>
      <c r="H163" s="2"/>
      <c r="I163" s="3"/>
      <c r="J163" s="90" t="str">
        <f>IF(C163&lt;&gt;"",$C163/'Elements and ions'!$B$12,"")</f>
        <v/>
      </c>
      <c r="K163" s="65" t="str">
        <f>IF(D163&lt;&gt;"",$D163/'Elements and ions'!$B$20,"")</f>
        <v/>
      </c>
      <c r="L163" s="65" t="str">
        <f>IF(E163&lt;&gt;"",$E163/'Elements and ions'!$B$21*2,"")</f>
        <v/>
      </c>
      <c r="M163" s="81" t="str">
        <f>IF(F163&lt;&gt;"",$F163/'Elements and ions'!$B$13*2,"")</f>
        <v/>
      </c>
      <c r="N163" s="80" t="str">
        <f>IF(G163&lt;&gt;"",-$G163/'Elements and ions'!$F$3,"")</f>
        <v/>
      </c>
      <c r="O163" s="65" t="str">
        <f>IF(H163&lt;&gt;"",-$H163/'Elements and ions'!$B$18,"")</f>
        <v/>
      </c>
      <c r="P163" s="81" t="str">
        <f>IF(I163&lt;&gt;"",-2*$I163/'Elements and ions'!$F$4,"")</f>
        <v/>
      </c>
      <c r="Q163" s="80" t="str">
        <f t="shared" si="35"/>
        <v/>
      </c>
      <c r="R163" s="65" t="str">
        <f t="shared" si="36"/>
        <v/>
      </c>
      <c r="S163" s="81" t="str">
        <f t="shared" si="37"/>
        <v/>
      </c>
      <c r="T163" s="80" t="str">
        <f t="shared" si="38"/>
        <v/>
      </c>
      <c r="U163" s="65" t="str">
        <f t="shared" si="39"/>
        <v/>
      </c>
      <c r="V163" s="91" t="str">
        <f t="shared" si="40"/>
        <v/>
      </c>
      <c r="W163" s="70" t="str">
        <f t="shared" si="41"/>
        <v/>
      </c>
      <c r="X163" s="65" t="str">
        <f>IF(V163&lt;&gt;"",IF($V163&lt;&gt;0,(($V163+(0.5*T163))/100+1+$AE$9),-1),"")</f>
        <v/>
      </c>
      <c r="Y163" s="81" t="str">
        <f>IF(AND(W163&lt;&gt;-1,X163&lt;&gt;-1,W163&lt;&gt;"",X163&lt;&gt;"",AA163&lt;&gt;-1,Z163&lt;&gt;-1,AA163&lt;&gt;"",Z163&lt;&gt;""),(W163+X163)/2+(AA163-Z163)/(4*COS(0.5)*$AE$5),"")</f>
        <v/>
      </c>
      <c r="Z163" s="70" t="str">
        <f>IF(S163&lt;&gt;"",IF($S163&lt;&gt;"",((($S163*COS(0.5))*$AE$5)/100),-1),"")</f>
        <v/>
      </c>
      <c r="AA163" s="65" t="str">
        <f>IF(T163&lt;&gt;"",IF($T163&lt;&gt;"",((($T163*COS(0.5))*$AE$5)/100),-1),"")</f>
        <v/>
      </c>
      <c r="AB163" s="66" t="str">
        <f>IF(Y163&lt;&gt;"",2*COS(0.5)*$AE$5*(X163-W163)/2+(AA163+Z163)/2,"")</f>
        <v/>
      </c>
      <c r="AC163" s="5"/>
      <c r="AE163" s="51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</row>
    <row r="164" spans="1:55" x14ac:dyDescent="0.25">
      <c r="A164" s="37"/>
      <c r="B164" s="38"/>
      <c r="C164" s="37"/>
      <c r="D164" s="2"/>
      <c r="E164" s="2"/>
      <c r="F164" s="38"/>
      <c r="G164" s="37"/>
      <c r="H164" s="2"/>
      <c r="I164" s="3"/>
      <c r="J164" s="90" t="str">
        <f>IF(C164&lt;&gt;"",$C164/'Elements and ions'!$B$12,"")</f>
        <v/>
      </c>
      <c r="K164" s="65" t="str">
        <f>IF(D164&lt;&gt;"",$D164/'Elements and ions'!$B$20,"")</f>
        <v/>
      </c>
      <c r="L164" s="65" t="str">
        <f>IF(E164&lt;&gt;"",$E164/'Elements and ions'!$B$21*2,"")</f>
        <v/>
      </c>
      <c r="M164" s="81" t="str">
        <f>IF(F164&lt;&gt;"",$F164/'Elements and ions'!$B$13*2,"")</f>
        <v/>
      </c>
      <c r="N164" s="80" t="str">
        <f>IF(G164&lt;&gt;"",-$G164/'Elements and ions'!$F$3,"")</f>
        <v/>
      </c>
      <c r="O164" s="65" t="str">
        <f>IF(H164&lt;&gt;"",-$H164/'Elements and ions'!$B$18,"")</f>
        <v/>
      </c>
      <c r="P164" s="81" t="str">
        <f>IF(I164&lt;&gt;"",-2*$I164/'Elements and ions'!$F$4,"")</f>
        <v/>
      </c>
      <c r="Q164" s="80" t="str">
        <f t="shared" si="35"/>
        <v/>
      </c>
      <c r="R164" s="65" t="str">
        <f t="shared" si="36"/>
        <v/>
      </c>
      <c r="S164" s="81" t="str">
        <f t="shared" si="37"/>
        <v/>
      </c>
      <c r="T164" s="80" t="str">
        <f t="shared" si="38"/>
        <v/>
      </c>
      <c r="U164" s="65" t="str">
        <f t="shared" si="39"/>
        <v/>
      </c>
      <c r="V164" s="91" t="str">
        <f t="shared" si="40"/>
        <v/>
      </c>
      <c r="W164" s="70" t="str">
        <f t="shared" si="41"/>
        <v/>
      </c>
      <c r="X164" s="65" t="str">
        <f>IF(V164&lt;&gt;"",IF($V164&lt;&gt;0,(($V164+(0.5*T164))/100+1+$AE$9),-1),"")</f>
        <v/>
      </c>
      <c r="Y164" s="81" t="str">
        <f>IF(AND(W164&lt;&gt;-1,X164&lt;&gt;-1,W164&lt;&gt;"",X164&lt;&gt;"",AA164&lt;&gt;-1,Z164&lt;&gt;-1,AA164&lt;&gt;"",Z164&lt;&gt;""),(W164+X164)/2+(AA164-Z164)/(4*COS(0.5)*$AE$5),"")</f>
        <v/>
      </c>
      <c r="Z164" s="70" t="str">
        <f>IF(S164&lt;&gt;"",IF($S164&lt;&gt;"",((($S164*COS(0.5))*$AE$5)/100),-1),"")</f>
        <v/>
      </c>
      <c r="AA164" s="65" t="str">
        <f>IF(T164&lt;&gt;"",IF($T164&lt;&gt;"",((($T164*COS(0.5))*$AE$5)/100),-1),"")</f>
        <v/>
      </c>
      <c r="AB164" s="66" t="str">
        <f>IF(Y164&lt;&gt;"",2*COS(0.5)*$AE$5*(X164-W164)/2+(AA164+Z164)/2,"")</f>
        <v/>
      </c>
      <c r="AC164" s="5"/>
      <c r="AE164" s="51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</row>
    <row r="165" spans="1:55" x14ac:dyDescent="0.25">
      <c r="A165" s="37"/>
      <c r="B165" s="38"/>
      <c r="C165" s="37"/>
      <c r="D165" s="2"/>
      <c r="E165" s="2"/>
      <c r="F165" s="38"/>
      <c r="G165" s="37"/>
      <c r="H165" s="2"/>
      <c r="I165" s="3"/>
      <c r="J165" s="90" t="str">
        <f>IF(C165&lt;&gt;"",$C165/'Elements and ions'!$B$12,"")</f>
        <v/>
      </c>
      <c r="K165" s="65" t="str">
        <f>IF(D165&lt;&gt;"",$D165/'Elements and ions'!$B$20,"")</f>
        <v/>
      </c>
      <c r="L165" s="65" t="str">
        <f>IF(E165&lt;&gt;"",$E165/'Elements and ions'!$B$21*2,"")</f>
        <v/>
      </c>
      <c r="M165" s="81" t="str">
        <f>IF(F165&lt;&gt;"",$F165/'Elements and ions'!$B$13*2,"")</f>
        <v/>
      </c>
      <c r="N165" s="80" t="str">
        <f>IF(G165&lt;&gt;"",-$G165/'Elements and ions'!$F$3,"")</f>
        <v/>
      </c>
      <c r="O165" s="65" t="str">
        <f>IF(H165&lt;&gt;"",-$H165/'Elements and ions'!$B$18,"")</f>
        <v/>
      </c>
      <c r="P165" s="81" t="str">
        <f>IF(I165&lt;&gt;"",-2*$I165/'Elements and ions'!$F$4,"")</f>
        <v/>
      </c>
      <c r="Q165" s="80" t="str">
        <f t="shared" si="35"/>
        <v/>
      </c>
      <c r="R165" s="65" t="str">
        <f t="shared" si="36"/>
        <v/>
      </c>
      <c r="S165" s="81" t="str">
        <f t="shared" si="37"/>
        <v/>
      </c>
      <c r="T165" s="80" t="str">
        <f t="shared" si="38"/>
        <v/>
      </c>
      <c r="U165" s="65" t="str">
        <f t="shared" si="39"/>
        <v/>
      </c>
      <c r="V165" s="91" t="str">
        <f t="shared" si="40"/>
        <v/>
      </c>
      <c r="W165" s="70" t="str">
        <f t="shared" si="41"/>
        <v/>
      </c>
      <c r="X165" s="65" t="str">
        <f>IF(V165&lt;&gt;"",IF($V165&lt;&gt;0,(($V165+(0.5*T165))/100+1+$AE$9),-1),"")</f>
        <v/>
      </c>
      <c r="Y165" s="81" t="str">
        <f>IF(AND(W165&lt;&gt;-1,X165&lt;&gt;-1,W165&lt;&gt;"",X165&lt;&gt;"",AA165&lt;&gt;-1,Z165&lt;&gt;-1,AA165&lt;&gt;"",Z165&lt;&gt;""),(W165+X165)/2+(AA165-Z165)/(4*COS(0.5)*$AE$5),"")</f>
        <v/>
      </c>
      <c r="Z165" s="70" t="str">
        <f>IF(S165&lt;&gt;"",IF($S165&lt;&gt;"",((($S165*COS(0.5))*$AE$5)/100),-1),"")</f>
        <v/>
      </c>
      <c r="AA165" s="65" t="str">
        <f>IF(T165&lt;&gt;"",IF($T165&lt;&gt;"",((($T165*COS(0.5))*$AE$5)/100),-1),"")</f>
        <v/>
      </c>
      <c r="AB165" s="66" t="str">
        <f>IF(Y165&lt;&gt;"",2*COS(0.5)*$AE$5*(X165-W165)/2+(AA165+Z165)/2,"")</f>
        <v/>
      </c>
      <c r="AC165" s="5"/>
      <c r="AE165" s="51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</row>
    <row r="166" spans="1:55" x14ac:dyDescent="0.25">
      <c r="A166" s="37"/>
      <c r="B166" s="38"/>
      <c r="C166" s="37"/>
      <c r="D166" s="2"/>
      <c r="E166" s="2"/>
      <c r="F166" s="38"/>
      <c r="G166" s="37"/>
      <c r="H166" s="2"/>
      <c r="I166" s="3"/>
      <c r="J166" s="90" t="str">
        <f>IF(C166&lt;&gt;"",$C166/'Elements and ions'!$B$12,"")</f>
        <v/>
      </c>
      <c r="K166" s="65" t="str">
        <f>IF(D166&lt;&gt;"",$D166/'Elements and ions'!$B$20,"")</f>
        <v/>
      </c>
      <c r="L166" s="65" t="str">
        <f>IF(E166&lt;&gt;"",$E166/'Elements and ions'!$B$21*2,"")</f>
        <v/>
      </c>
      <c r="M166" s="81" t="str">
        <f>IF(F166&lt;&gt;"",$F166/'Elements and ions'!$B$13*2,"")</f>
        <v/>
      </c>
      <c r="N166" s="80" t="str">
        <f>IF(G166&lt;&gt;"",-$G166/'Elements and ions'!$F$3,"")</f>
        <v/>
      </c>
      <c r="O166" s="65" t="str">
        <f>IF(H166&lt;&gt;"",-$H166/'Elements and ions'!$B$18,"")</f>
        <v/>
      </c>
      <c r="P166" s="81" t="str">
        <f>IF(I166&lt;&gt;"",-2*$I166/'Elements and ions'!$F$4,"")</f>
        <v/>
      </c>
      <c r="Q166" s="80" t="str">
        <f t="shared" si="35"/>
        <v/>
      </c>
      <c r="R166" s="65" t="str">
        <f t="shared" si="36"/>
        <v/>
      </c>
      <c r="S166" s="81" t="str">
        <f t="shared" si="37"/>
        <v/>
      </c>
      <c r="T166" s="80" t="str">
        <f t="shared" si="38"/>
        <v/>
      </c>
      <c r="U166" s="65" t="str">
        <f t="shared" si="39"/>
        <v/>
      </c>
      <c r="V166" s="91" t="str">
        <f t="shared" si="40"/>
        <v/>
      </c>
      <c r="W166" s="70" t="str">
        <f t="shared" si="41"/>
        <v/>
      </c>
      <c r="X166" s="65" t="str">
        <f>IF(V166&lt;&gt;"",IF($V166&lt;&gt;0,(($V166+(0.5*T166))/100+1+$AE$9),-1),"")</f>
        <v/>
      </c>
      <c r="Y166" s="81" t="str">
        <f>IF(AND(W166&lt;&gt;-1,X166&lt;&gt;-1,W166&lt;&gt;"",X166&lt;&gt;"",AA166&lt;&gt;-1,Z166&lt;&gt;-1,AA166&lt;&gt;"",Z166&lt;&gt;""),(W166+X166)/2+(AA166-Z166)/(4*COS(0.5)*$AE$5),"")</f>
        <v/>
      </c>
      <c r="Z166" s="70" t="str">
        <f>IF(S166&lt;&gt;"",IF($S166&lt;&gt;"",((($S166*COS(0.5))*$AE$5)/100),-1),"")</f>
        <v/>
      </c>
      <c r="AA166" s="65" t="str">
        <f>IF(T166&lt;&gt;"",IF($T166&lt;&gt;"",((($T166*COS(0.5))*$AE$5)/100),-1),"")</f>
        <v/>
      </c>
      <c r="AB166" s="66" t="str">
        <f>IF(Y166&lt;&gt;"",2*COS(0.5)*$AE$5*(X166-W166)/2+(AA166+Z166)/2,"")</f>
        <v/>
      </c>
      <c r="AC166" s="5"/>
      <c r="AE166" s="51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</row>
    <row r="167" spans="1:55" x14ac:dyDescent="0.25">
      <c r="A167" s="37"/>
      <c r="B167" s="38"/>
      <c r="C167" s="37"/>
      <c r="D167" s="2"/>
      <c r="E167" s="2"/>
      <c r="F167" s="38"/>
      <c r="G167" s="37"/>
      <c r="H167" s="2"/>
      <c r="I167" s="3"/>
      <c r="J167" s="90" t="str">
        <f>IF(C167&lt;&gt;"",$C167/'Elements and ions'!$B$12,"")</f>
        <v/>
      </c>
      <c r="K167" s="65" t="str">
        <f>IF(D167&lt;&gt;"",$D167/'Elements and ions'!$B$20,"")</f>
        <v/>
      </c>
      <c r="L167" s="65" t="str">
        <f>IF(E167&lt;&gt;"",$E167/'Elements and ions'!$B$21*2,"")</f>
        <v/>
      </c>
      <c r="M167" s="81" t="str">
        <f>IF(F167&lt;&gt;"",$F167/'Elements and ions'!$B$13*2,"")</f>
        <v/>
      </c>
      <c r="N167" s="80" t="str">
        <f>IF(G167&lt;&gt;"",-$G167/'Elements and ions'!$F$3,"")</f>
        <v/>
      </c>
      <c r="O167" s="65" t="str">
        <f>IF(H167&lt;&gt;"",-$H167/'Elements and ions'!$B$18,"")</f>
        <v/>
      </c>
      <c r="P167" s="81" t="str">
        <f>IF(I167&lt;&gt;"",-2*$I167/'Elements and ions'!$F$4,"")</f>
        <v/>
      </c>
      <c r="Q167" s="80" t="str">
        <f t="shared" si="35"/>
        <v/>
      </c>
      <c r="R167" s="65" t="str">
        <f t="shared" si="36"/>
        <v/>
      </c>
      <c r="S167" s="81" t="str">
        <f t="shared" si="37"/>
        <v/>
      </c>
      <c r="T167" s="80" t="str">
        <f t="shared" si="38"/>
        <v/>
      </c>
      <c r="U167" s="65" t="str">
        <f t="shared" si="39"/>
        <v/>
      </c>
      <c r="V167" s="91" t="str">
        <f t="shared" si="40"/>
        <v/>
      </c>
      <c r="W167" s="70" t="str">
        <f t="shared" si="41"/>
        <v/>
      </c>
      <c r="X167" s="65" t="str">
        <f>IF(V167&lt;&gt;"",IF($V167&lt;&gt;0,(($V167+(0.5*T167))/100+1+$AE$9),-1),"")</f>
        <v/>
      </c>
      <c r="Y167" s="81" t="str">
        <f>IF(AND(W167&lt;&gt;-1,X167&lt;&gt;-1,W167&lt;&gt;"",X167&lt;&gt;"",AA167&lt;&gt;-1,Z167&lt;&gt;-1,AA167&lt;&gt;"",Z167&lt;&gt;""),(W167+X167)/2+(AA167-Z167)/(4*COS(0.5)*$AE$5),"")</f>
        <v/>
      </c>
      <c r="Z167" s="70" t="str">
        <f>IF(S167&lt;&gt;"",IF($S167&lt;&gt;"",((($S167*COS(0.5))*$AE$5)/100),-1),"")</f>
        <v/>
      </c>
      <c r="AA167" s="65" t="str">
        <f>IF(T167&lt;&gt;"",IF($T167&lt;&gt;"",((($T167*COS(0.5))*$AE$5)/100),-1),"")</f>
        <v/>
      </c>
      <c r="AB167" s="66" t="str">
        <f>IF(Y167&lt;&gt;"",2*COS(0.5)*$AE$5*(X167-W167)/2+(AA167+Z167)/2,"")</f>
        <v/>
      </c>
      <c r="AC167" s="5"/>
      <c r="AE167" s="51" t="s">
        <v>138</v>
      </c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</row>
    <row r="168" spans="1:55" x14ac:dyDescent="0.25">
      <c r="A168" s="37"/>
      <c r="B168" s="38"/>
      <c r="C168" s="37"/>
      <c r="D168" s="2"/>
      <c r="E168" s="2"/>
      <c r="F168" s="38"/>
      <c r="G168" s="37"/>
      <c r="H168" s="2"/>
      <c r="I168" s="3"/>
      <c r="J168" s="90" t="str">
        <f>IF(C168&lt;&gt;"",$C168/'Elements and ions'!$B$12,"")</f>
        <v/>
      </c>
      <c r="K168" s="65" t="str">
        <f>IF(D168&lt;&gt;"",$D168/'Elements and ions'!$B$20,"")</f>
        <v/>
      </c>
      <c r="L168" s="65" t="str">
        <f>IF(E168&lt;&gt;"",$E168/'Elements and ions'!$B$21*2,"")</f>
        <v/>
      </c>
      <c r="M168" s="81" t="str">
        <f>IF(F168&lt;&gt;"",$F168/'Elements and ions'!$B$13*2,"")</f>
        <v/>
      </c>
      <c r="N168" s="80" t="str">
        <f>IF(G168&lt;&gt;"",-$G168/'Elements and ions'!$F$3,"")</f>
        <v/>
      </c>
      <c r="O168" s="65" t="str">
        <f>IF(H168&lt;&gt;"",-$H168/'Elements and ions'!$B$18,"")</f>
        <v/>
      </c>
      <c r="P168" s="81" t="str">
        <f>IF(I168&lt;&gt;"",-2*$I168/'Elements and ions'!$F$4,"")</f>
        <v/>
      </c>
      <c r="Q168" s="80" t="str">
        <f t="shared" si="35"/>
        <v/>
      </c>
      <c r="R168" s="65" t="str">
        <f t="shared" si="36"/>
        <v/>
      </c>
      <c r="S168" s="81" t="str">
        <f t="shared" si="37"/>
        <v/>
      </c>
      <c r="T168" s="80" t="str">
        <f t="shared" si="38"/>
        <v/>
      </c>
      <c r="U168" s="65" t="str">
        <f t="shared" si="39"/>
        <v/>
      </c>
      <c r="V168" s="91" t="str">
        <f t="shared" si="40"/>
        <v/>
      </c>
      <c r="W168" s="70" t="str">
        <f t="shared" si="41"/>
        <v/>
      </c>
      <c r="X168" s="65" t="str">
        <f>IF(V168&lt;&gt;"",IF($V168&lt;&gt;0,(($V168+(0.5*T168))/100+1+$AE$9),-1),"")</f>
        <v/>
      </c>
      <c r="Y168" s="81" t="str">
        <f>IF(AND(W168&lt;&gt;-1,X168&lt;&gt;-1,W168&lt;&gt;"",X168&lt;&gt;"",AA168&lt;&gt;-1,Z168&lt;&gt;-1,AA168&lt;&gt;"",Z168&lt;&gt;""),(W168+X168)/2+(AA168-Z168)/(4*COS(0.5)*$AE$5),"")</f>
        <v/>
      </c>
      <c r="Z168" s="70" t="str">
        <f>IF(S168&lt;&gt;"",IF($S168&lt;&gt;"",((($S168*COS(0.5))*$AE$5)/100),-1),"")</f>
        <v/>
      </c>
      <c r="AA168" s="65" t="str">
        <f>IF(T168&lt;&gt;"",IF($T168&lt;&gt;"",((($T168*COS(0.5))*$AE$5)/100),-1),"")</f>
        <v/>
      </c>
      <c r="AB168" s="66" t="str">
        <f>IF(Y168&lt;&gt;"",2*COS(0.5)*$AE$5*(X168-W168)/2+(AA168+Z168)/2,"")</f>
        <v/>
      </c>
      <c r="AC168" s="5"/>
      <c r="AE168" s="51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</row>
    <row r="169" spans="1:55" x14ac:dyDescent="0.25">
      <c r="A169" s="37"/>
      <c r="B169" s="38"/>
      <c r="C169" s="37"/>
      <c r="D169" s="2"/>
      <c r="E169" s="2"/>
      <c r="F169" s="38"/>
      <c r="G169" s="37"/>
      <c r="H169" s="2"/>
      <c r="I169" s="3"/>
      <c r="J169" s="90" t="str">
        <f>IF(C169&lt;&gt;"",$C169/'Elements and ions'!$B$12,"")</f>
        <v/>
      </c>
      <c r="K169" s="65" t="str">
        <f>IF(D169&lt;&gt;"",$D169/'Elements and ions'!$B$20,"")</f>
        <v/>
      </c>
      <c r="L169" s="65" t="str">
        <f>IF(E169&lt;&gt;"",$E169/'Elements and ions'!$B$21*2,"")</f>
        <v/>
      </c>
      <c r="M169" s="81" t="str">
        <f>IF(F169&lt;&gt;"",$F169/'Elements and ions'!$B$13*2,"")</f>
        <v/>
      </c>
      <c r="N169" s="80" t="str">
        <f>IF(G169&lt;&gt;"",-$G169/'Elements and ions'!$F$3,"")</f>
        <v/>
      </c>
      <c r="O169" s="65" t="str">
        <f>IF(H169&lt;&gt;"",-$H169/'Elements and ions'!$B$18,"")</f>
        <v/>
      </c>
      <c r="P169" s="81" t="str">
        <f>IF(I169&lt;&gt;"",-2*$I169/'Elements and ions'!$F$4,"")</f>
        <v/>
      </c>
      <c r="Q169" s="80" t="str">
        <f t="shared" si="35"/>
        <v/>
      </c>
      <c r="R169" s="65" t="str">
        <f t="shared" si="36"/>
        <v/>
      </c>
      <c r="S169" s="81" t="str">
        <f t="shared" si="37"/>
        <v/>
      </c>
      <c r="T169" s="80" t="str">
        <f t="shared" si="38"/>
        <v/>
      </c>
      <c r="U169" s="65" t="str">
        <f t="shared" si="39"/>
        <v/>
      </c>
      <c r="V169" s="91" t="str">
        <f t="shared" si="40"/>
        <v/>
      </c>
      <c r="W169" s="70" t="str">
        <f t="shared" si="41"/>
        <v/>
      </c>
      <c r="X169" s="65" t="str">
        <f>IF(V169&lt;&gt;"",IF($V169&lt;&gt;0,(($V169+(0.5*T169))/100+1+$AE$9),-1),"")</f>
        <v/>
      </c>
      <c r="Y169" s="81" t="str">
        <f>IF(AND(W169&lt;&gt;-1,X169&lt;&gt;-1,W169&lt;&gt;"",X169&lt;&gt;"",AA169&lt;&gt;-1,Z169&lt;&gt;-1,AA169&lt;&gt;"",Z169&lt;&gt;""),(W169+X169)/2+(AA169-Z169)/(4*COS(0.5)*$AE$5),"")</f>
        <v/>
      </c>
      <c r="Z169" s="70" t="str">
        <f>IF(S169&lt;&gt;"",IF($S169&lt;&gt;"",((($S169*COS(0.5))*$AE$5)/100),-1),"")</f>
        <v/>
      </c>
      <c r="AA169" s="65" t="str">
        <f>IF(T169&lt;&gt;"",IF($T169&lt;&gt;"",((($T169*COS(0.5))*$AE$5)/100),-1),"")</f>
        <v/>
      </c>
      <c r="AB169" s="66" t="str">
        <f>IF(Y169&lt;&gt;"",2*COS(0.5)*$AE$5*(X169-W169)/2+(AA169+Z169)/2,"")</f>
        <v/>
      </c>
      <c r="AC169" s="5"/>
      <c r="AE169" s="51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</row>
    <row r="170" spans="1:55" x14ac:dyDescent="0.25">
      <c r="A170" s="37"/>
      <c r="B170" s="38"/>
      <c r="C170" s="37"/>
      <c r="D170" s="2"/>
      <c r="E170" s="2"/>
      <c r="F170" s="38"/>
      <c r="G170" s="37"/>
      <c r="H170" s="2"/>
      <c r="I170" s="3"/>
      <c r="J170" s="90" t="str">
        <f>IF(C170&lt;&gt;"",$C170/'Elements and ions'!$B$12,"")</f>
        <v/>
      </c>
      <c r="K170" s="65" t="str">
        <f>IF(D170&lt;&gt;"",$D170/'Elements and ions'!$B$20,"")</f>
        <v/>
      </c>
      <c r="L170" s="65" t="str">
        <f>IF(E170&lt;&gt;"",$E170/'Elements and ions'!$B$21*2,"")</f>
        <v/>
      </c>
      <c r="M170" s="81" t="str">
        <f>IF(F170&lt;&gt;"",$F170/'Elements and ions'!$B$13*2,"")</f>
        <v/>
      </c>
      <c r="N170" s="80" t="str">
        <f>IF(G170&lt;&gt;"",-$G170/'Elements and ions'!$F$3,"")</f>
        <v/>
      </c>
      <c r="O170" s="65" t="str">
        <f>IF(H170&lt;&gt;"",-$H170/'Elements and ions'!$B$18,"")</f>
        <v/>
      </c>
      <c r="P170" s="81" t="str">
        <f>IF(I170&lt;&gt;"",-2*$I170/'Elements and ions'!$F$4,"")</f>
        <v/>
      </c>
      <c r="Q170" s="80" t="str">
        <f t="shared" si="35"/>
        <v/>
      </c>
      <c r="R170" s="65" t="str">
        <f t="shared" si="36"/>
        <v/>
      </c>
      <c r="S170" s="81" t="str">
        <f t="shared" si="37"/>
        <v/>
      </c>
      <c r="T170" s="80" t="str">
        <f t="shared" si="38"/>
        <v/>
      </c>
      <c r="U170" s="65" t="str">
        <f t="shared" si="39"/>
        <v/>
      </c>
      <c r="V170" s="91" t="str">
        <f t="shared" si="40"/>
        <v/>
      </c>
      <c r="W170" s="70" t="str">
        <f t="shared" si="41"/>
        <v/>
      </c>
      <c r="X170" s="65" t="str">
        <f>IF(V170&lt;&gt;"",IF($V170&lt;&gt;0,(($V170+(0.5*T170))/100+1+$AE$9),-1),"")</f>
        <v/>
      </c>
      <c r="Y170" s="81" t="str">
        <f>IF(AND(W170&lt;&gt;-1,X170&lt;&gt;-1,W170&lt;&gt;"",X170&lt;&gt;"",AA170&lt;&gt;-1,Z170&lt;&gt;-1,AA170&lt;&gt;"",Z170&lt;&gt;""),(W170+X170)/2+(AA170-Z170)/(4*COS(0.5)*$AE$5),"")</f>
        <v/>
      </c>
      <c r="Z170" s="70" t="str">
        <f>IF(S170&lt;&gt;"",IF($S170&lt;&gt;"",((($S170*COS(0.5))*$AE$5)/100),-1),"")</f>
        <v/>
      </c>
      <c r="AA170" s="65" t="str">
        <f>IF(T170&lt;&gt;"",IF($T170&lt;&gt;"",((($T170*COS(0.5))*$AE$5)/100),-1),"")</f>
        <v/>
      </c>
      <c r="AB170" s="66" t="str">
        <f>IF(Y170&lt;&gt;"",2*COS(0.5)*$AE$5*(X170-W170)/2+(AA170+Z170)/2,"")</f>
        <v/>
      </c>
      <c r="AC170" s="5"/>
      <c r="AE170" s="51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</row>
    <row r="171" spans="1:55" x14ac:dyDescent="0.25">
      <c r="A171" s="37"/>
      <c r="B171" s="38"/>
      <c r="C171" s="37"/>
      <c r="D171" s="2"/>
      <c r="E171" s="2"/>
      <c r="F171" s="38"/>
      <c r="G171" s="37"/>
      <c r="H171" s="2"/>
      <c r="I171" s="3"/>
      <c r="J171" s="90" t="str">
        <f>IF(C171&lt;&gt;"",$C171/'Elements and ions'!$B$12,"")</f>
        <v/>
      </c>
      <c r="K171" s="65" t="str">
        <f>IF(D171&lt;&gt;"",$D171/'Elements and ions'!$B$20,"")</f>
        <v/>
      </c>
      <c r="L171" s="65" t="str">
        <f>IF(E171&lt;&gt;"",$E171/'Elements and ions'!$B$21*2,"")</f>
        <v/>
      </c>
      <c r="M171" s="81" t="str">
        <f>IF(F171&lt;&gt;"",$F171/'Elements and ions'!$B$13*2,"")</f>
        <v/>
      </c>
      <c r="N171" s="80" t="str">
        <f>IF(G171&lt;&gt;"",-$G171/'Elements and ions'!$F$3,"")</f>
        <v/>
      </c>
      <c r="O171" s="65" t="str">
        <f>IF(H171&lt;&gt;"",-$H171/'Elements and ions'!$B$18,"")</f>
        <v/>
      </c>
      <c r="P171" s="81" t="str">
        <f>IF(I171&lt;&gt;"",-2*$I171/'Elements and ions'!$F$4,"")</f>
        <v/>
      </c>
      <c r="Q171" s="80" t="str">
        <f t="shared" si="35"/>
        <v/>
      </c>
      <c r="R171" s="65" t="str">
        <f t="shared" si="36"/>
        <v/>
      </c>
      <c r="S171" s="81" t="str">
        <f t="shared" si="37"/>
        <v/>
      </c>
      <c r="T171" s="80" t="str">
        <f t="shared" si="38"/>
        <v/>
      </c>
      <c r="U171" s="65" t="str">
        <f t="shared" si="39"/>
        <v/>
      </c>
      <c r="V171" s="91" t="str">
        <f t="shared" si="40"/>
        <v/>
      </c>
      <c r="W171" s="70" t="str">
        <f t="shared" si="41"/>
        <v/>
      </c>
      <c r="X171" s="65" t="str">
        <f>IF(V171&lt;&gt;"",IF($V171&lt;&gt;0,(($V171+(0.5*T171))/100+1+$AE$9),-1),"")</f>
        <v/>
      </c>
      <c r="Y171" s="81" t="str">
        <f>IF(AND(W171&lt;&gt;-1,X171&lt;&gt;-1,W171&lt;&gt;"",X171&lt;&gt;"",AA171&lt;&gt;-1,Z171&lt;&gt;-1,AA171&lt;&gt;"",Z171&lt;&gt;""),(W171+X171)/2+(AA171-Z171)/(4*COS(0.5)*$AE$5),"")</f>
        <v/>
      </c>
      <c r="Z171" s="70" t="str">
        <f>IF(S171&lt;&gt;"",IF($S171&lt;&gt;"",((($S171*COS(0.5))*$AE$5)/100),-1),"")</f>
        <v/>
      </c>
      <c r="AA171" s="65" t="str">
        <f>IF(T171&lt;&gt;"",IF($T171&lt;&gt;"",((($T171*COS(0.5))*$AE$5)/100),-1),"")</f>
        <v/>
      </c>
      <c r="AB171" s="66" t="str">
        <f>IF(Y171&lt;&gt;"",2*COS(0.5)*$AE$5*(X171-W171)/2+(AA171+Z171)/2,"")</f>
        <v/>
      </c>
      <c r="AC171" s="5"/>
      <c r="AE171" s="51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</row>
    <row r="172" spans="1:55" x14ac:dyDescent="0.25">
      <c r="A172" s="37"/>
      <c r="B172" s="38"/>
      <c r="C172" s="37"/>
      <c r="D172" s="2"/>
      <c r="E172" s="2"/>
      <c r="F172" s="38"/>
      <c r="G172" s="37"/>
      <c r="H172" s="2"/>
      <c r="I172" s="3"/>
      <c r="J172" s="90" t="str">
        <f>IF(C172&lt;&gt;"",$C172/'Elements and ions'!$B$12,"")</f>
        <v/>
      </c>
      <c r="K172" s="65" t="str">
        <f>IF(D172&lt;&gt;"",$D172/'Elements and ions'!$B$20,"")</f>
        <v/>
      </c>
      <c r="L172" s="65" t="str">
        <f>IF(E172&lt;&gt;"",$E172/'Elements and ions'!$B$21*2,"")</f>
        <v/>
      </c>
      <c r="M172" s="81" t="str">
        <f>IF(F172&lt;&gt;"",$F172/'Elements and ions'!$B$13*2,"")</f>
        <v/>
      </c>
      <c r="N172" s="80" t="str">
        <f>IF(G172&lt;&gt;"",-$G172/'Elements and ions'!$F$3,"")</f>
        <v/>
      </c>
      <c r="O172" s="65" t="str">
        <f>IF(H172&lt;&gt;"",-$H172/'Elements and ions'!$B$18,"")</f>
        <v/>
      </c>
      <c r="P172" s="81" t="str">
        <f>IF(I172&lt;&gt;"",-2*$I172/'Elements and ions'!$F$4,"")</f>
        <v/>
      </c>
      <c r="Q172" s="80" t="str">
        <f t="shared" si="35"/>
        <v/>
      </c>
      <c r="R172" s="65" t="str">
        <f t="shared" si="36"/>
        <v/>
      </c>
      <c r="S172" s="81" t="str">
        <f t="shared" si="37"/>
        <v/>
      </c>
      <c r="T172" s="80" t="str">
        <f t="shared" si="38"/>
        <v/>
      </c>
      <c r="U172" s="65" t="str">
        <f t="shared" si="39"/>
        <v/>
      </c>
      <c r="V172" s="91" t="str">
        <f t="shared" si="40"/>
        <v/>
      </c>
      <c r="W172" s="70" t="str">
        <f t="shared" si="41"/>
        <v/>
      </c>
      <c r="X172" s="65" t="str">
        <f>IF(V172&lt;&gt;"",IF($V172&lt;&gt;0,(($V172+(0.5*T172))/100+1+$AE$9),-1),"")</f>
        <v/>
      </c>
      <c r="Y172" s="81" t="str">
        <f>IF(AND(W172&lt;&gt;-1,X172&lt;&gt;-1,W172&lt;&gt;"",X172&lt;&gt;"",AA172&lt;&gt;-1,Z172&lt;&gt;-1,AA172&lt;&gt;"",Z172&lt;&gt;""),(W172+X172)/2+(AA172-Z172)/(4*COS(0.5)*$AE$5),"")</f>
        <v/>
      </c>
      <c r="Z172" s="70" t="str">
        <f>IF(S172&lt;&gt;"",IF($S172&lt;&gt;"",((($S172*COS(0.5))*$AE$5)/100),-1),"")</f>
        <v/>
      </c>
      <c r="AA172" s="65" t="str">
        <f>IF(T172&lt;&gt;"",IF($T172&lt;&gt;"",((($T172*COS(0.5))*$AE$5)/100),-1),"")</f>
        <v/>
      </c>
      <c r="AB172" s="66" t="str">
        <f>IF(Y172&lt;&gt;"",2*COS(0.5)*$AE$5*(X172-W172)/2+(AA172+Z172)/2,"")</f>
        <v/>
      </c>
      <c r="AC172" s="5"/>
      <c r="AE172" s="51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</row>
    <row r="173" spans="1:55" x14ac:dyDescent="0.25">
      <c r="A173" s="37"/>
      <c r="B173" s="38"/>
      <c r="C173" s="37"/>
      <c r="D173" s="2"/>
      <c r="E173" s="2"/>
      <c r="F173" s="38"/>
      <c r="G173" s="37"/>
      <c r="H173" s="2"/>
      <c r="I173" s="3"/>
      <c r="J173" s="90" t="str">
        <f>IF(C173&lt;&gt;"",$C173/'Elements and ions'!$B$12,"")</f>
        <v/>
      </c>
      <c r="K173" s="65" t="str">
        <f>IF(D173&lt;&gt;"",$D173/'Elements and ions'!$B$20,"")</f>
        <v/>
      </c>
      <c r="L173" s="65" t="str">
        <f>IF(E173&lt;&gt;"",$E173/'Elements and ions'!$B$21*2,"")</f>
        <v/>
      </c>
      <c r="M173" s="81" t="str">
        <f>IF(F173&lt;&gt;"",$F173/'Elements and ions'!$B$13*2,"")</f>
        <v/>
      </c>
      <c r="N173" s="80" t="str">
        <f>IF(G173&lt;&gt;"",-$G173/'Elements and ions'!$F$3,"")</f>
        <v/>
      </c>
      <c r="O173" s="65" t="str">
        <f>IF(H173&lt;&gt;"",-$H173/'Elements and ions'!$B$18,"")</f>
        <v/>
      </c>
      <c r="P173" s="81" t="str">
        <f>IF(I173&lt;&gt;"",-2*$I173/'Elements and ions'!$F$4,"")</f>
        <v/>
      </c>
      <c r="Q173" s="80" t="str">
        <f t="shared" si="35"/>
        <v/>
      </c>
      <c r="R173" s="65" t="str">
        <f t="shared" si="36"/>
        <v/>
      </c>
      <c r="S173" s="81" t="str">
        <f t="shared" si="37"/>
        <v/>
      </c>
      <c r="T173" s="80" t="str">
        <f t="shared" si="38"/>
        <v/>
      </c>
      <c r="U173" s="65" t="str">
        <f t="shared" si="39"/>
        <v/>
      </c>
      <c r="V173" s="91" t="str">
        <f t="shared" si="40"/>
        <v/>
      </c>
      <c r="W173" s="70" t="str">
        <f t="shared" si="41"/>
        <v/>
      </c>
      <c r="X173" s="65" t="str">
        <f>IF(V173&lt;&gt;"",IF($V173&lt;&gt;0,(($V173+(0.5*T173))/100+1+$AE$9),-1),"")</f>
        <v/>
      </c>
      <c r="Y173" s="81" t="str">
        <f>IF(AND(W173&lt;&gt;-1,X173&lt;&gt;-1,W173&lt;&gt;"",X173&lt;&gt;"",AA173&lt;&gt;-1,Z173&lt;&gt;-1,AA173&lt;&gt;"",Z173&lt;&gt;""),(W173+X173)/2+(AA173-Z173)/(4*COS(0.5)*$AE$5),"")</f>
        <v/>
      </c>
      <c r="Z173" s="70" t="str">
        <f>IF(S173&lt;&gt;"",IF($S173&lt;&gt;"",((($S173*COS(0.5))*$AE$5)/100),-1),"")</f>
        <v/>
      </c>
      <c r="AA173" s="65" t="str">
        <f>IF(T173&lt;&gt;"",IF($T173&lt;&gt;"",((($T173*COS(0.5))*$AE$5)/100),-1),"")</f>
        <v/>
      </c>
      <c r="AB173" s="66" t="str">
        <f>IF(Y173&lt;&gt;"",2*COS(0.5)*$AE$5*(X173-W173)/2+(AA173+Z173)/2,"")</f>
        <v/>
      </c>
      <c r="AC173" s="5"/>
      <c r="AE173" s="51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</row>
    <row r="174" spans="1:55" x14ac:dyDescent="0.25">
      <c r="A174" s="37"/>
      <c r="B174" s="38"/>
      <c r="C174" s="37"/>
      <c r="D174" s="2"/>
      <c r="E174" s="2"/>
      <c r="F174" s="38"/>
      <c r="G174" s="37"/>
      <c r="H174" s="2"/>
      <c r="I174" s="3"/>
      <c r="J174" s="90" t="str">
        <f>IF(C174&lt;&gt;"",$C174/'Elements and ions'!$B$12,"")</f>
        <v/>
      </c>
      <c r="K174" s="65" t="str">
        <f>IF(D174&lt;&gt;"",$D174/'Elements and ions'!$B$20,"")</f>
        <v/>
      </c>
      <c r="L174" s="65" t="str">
        <f>IF(E174&lt;&gt;"",$E174/'Elements and ions'!$B$21*2,"")</f>
        <v/>
      </c>
      <c r="M174" s="81" t="str">
        <f>IF(F174&lt;&gt;"",$F174/'Elements and ions'!$B$13*2,"")</f>
        <v/>
      </c>
      <c r="N174" s="80" t="str">
        <f>IF(G174&lt;&gt;"",-$G174/'Elements and ions'!$F$3,"")</f>
        <v/>
      </c>
      <c r="O174" s="65" t="str">
        <f>IF(H174&lt;&gt;"",-$H174/'Elements and ions'!$B$18,"")</f>
        <v/>
      </c>
      <c r="P174" s="81" t="str">
        <f>IF(I174&lt;&gt;"",-2*$I174/'Elements and ions'!$F$4,"")</f>
        <v/>
      </c>
      <c r="Q174" s="80" t="str">
        <f t="shared" si="35"/>
        <v/>
      </c>
      <c r="R174" s="65" t="str">
        <f t="shared" si="36"/>
        <v/>
      </c>
      <c r="S174" s="81" t="str">
        <f t="shared" si="37"/>
        <v/>
      </c>
      <c r="T174" s="80" t="str">
        <f t="shared" si="38"/>
        <v/>
      </c>
      <c r="U174" s="65" t="str">
        <f t="shared" si="39"/>
        <v/>
      </c>
      <c r="V174" s="91" t="str">
        <f t="shared" si="40"/>
        <v/>
      </c>
      <c r="W174" s="70" t="str">
        <f t="shared" si="41"/>
        <v/>
      </c>
      <c r="X174" s="65" t="str">
        <f>IF(V174&lt;&gt;"",IF($V174&lt;&gt;0,(($V174+(0.5*T174))/100+1+$AE$9),-1),"")</f>
        <v/>
      </c>
      <c r="Y174" s="81" t="str">
        <f>IF(AND(W174&lt;&gt;-1,X174&lt;&gt;-1,W174&lt;&gt;"",X174&lt;&gt;"",AA174&lt;&gt;-1,Z174&lt;&gt;-1,AA174&lt;&gt;"",Z174&lt;&gt;""),(W174+X174)/2+(AA174-Z174)/(4*COS(0.5)*$AE$5),"")</f>
        <v/>
      </c>
      <c r="Z174" s="70" t="str">
        <f>IF(S174&lt;&gt;"",IF($S174&lt;&gt;"",((($S174*COS(0.5))*$AE$5)/100),-1),"")</f>
        <v/>
      </c>
      <c r="AA174" s="65" t="str">
        <f>IF(T174&lt;&gt;"",IF($T174&lt;&gt;"",((($T174*COS(0.5))*$AE$5)/100),-1),"")</f>
        <v/>
      </c>
      <c r="AB174" s="66" t="str">
        <f>IF(Y174&lt;&gt;"",2*COS(0.5)*$AE$5*(X174-W174)/2+(AA174+Z174)/2,"")</f>
        <v/>
      </c>
      <c r="AC174" s="5"/>
      <c r="AE174" s="51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</row>
    <row r="175" spans="1:55" x14ac:dyDescent="0.25">
      <c r="A175" s="37"/>
      <c r="B175" s="38"/>
      <c r="C175" s="37"/>
      <c r="D175" s="2"/>
      <c r="E175" s="2"/>
      <c r="F175" s="38"/>
      <c r="G175" s="37"/>
      <c r="H175" s="2"/>
      <c r="I175" s="3"/>
      <c r="J175" s="90" t="str">
        <f>IF(C175&lt;&gt;"",$C175/'Elements and ions'!$B$12,"")</f>
        <v/>
      </c>
      <c r="K175" s="65" t="str">
        <f>IF(D175&lt;&gt;"",$D175/'Elements and ions'!$B$20,"")</f>
        <v/>
      </c>
      <c r="L175" s="65" t="str">
        <f>IF(E175&lt;&gt;"",$E175/'Elements and ions'!$B$21*2,"")</f>
        <v/>
      </c>
      <c r="M175" s="81" t="str">
        <f>IF(F175&lt;&gt;"",$F175/'Elements and ions'!$B$13*2,"")</f>
        <v/>
      </c>
      <c r="N175" s="80" t="str">
        <f>IF(G175&lt;&gt;"",-$G175/'Elements and ions'!$F$3,"")</f>
        <v/>
      </c>
      <c r="O175" s="65" t="str">
        <f>IF(H175&lt;&gt;"",-$H175/'Elements and ions'!$B$18,"")</f>
        <v/>
      </c>
      <c r="P175" s="81" t="str">
        <f>IF(I175&lt;&gt;"",-2*$I175/'Elements and ions'!$F$4,"")</f>
        <v/>
      </c>
      <c r="Q175" s="80" t="str">
        <f t="shared" si="35"/>
        <v/>
      </c>
      <c r="R175" s="65" t="str">
        <f t="shared" si="36"/>
        <v/>
      </c>
      <c r="S175" s="81" t="str">
        <f t="shared" si="37"/>
        <v/>
      </c>
      <c r="T175" s="80" t="str">
        <f t="shared" si="38"/>
        <v/>
      </c>
      <c r="U175" s="65" t="str">
        <f t="shared" si="39"/>
        <v/>
      </c>
      <c r="V175" s="91" t="str">
        <f t="shared" si="40"/>
        <v/>
      </c>
      <c r="W175" s="70" t="str">
        <f t="shared" si="41"/>
        <v/>
      </c>
      <c r="X175" s="65" t="str">
        <f>IF(V175&lt;&gt;"",IF($V175&lt;&gt;0,(($V175+(0.5*T175))/100+1+$AE$9),-1),"")</f>
        <v/>
      </c>
      <c r="Y175" s="81" t="str">
        <f>IF(AND(W175&lt;&gt;-1,X175&lt;&gt;-1,W175&lt;&gt;"",X175&lt;&gt;"",AA175&lt;&gt;-1,Z175&lt;&gt;-1,AA175&lt;&gt;"",Z175&lt;&gt;""),(W175+X175)/2+(AA175-Z175)/(4*COS(0.5)*$AE$5),"")</f>
        <v/>
      </c>
      <c r="Z175" s="70" t="str">
        <f>IF(S175&lt;&gt;"",IF($S175&lt;&gt;"",((($S175*COS(0.5))*$AE$5)/100),-1),"")</f>
        <v/>
      </c>
      <c r="AA175" s="65" t="str">
        <f>IF(T175&lt;&gt;"",IF($T175&lt;&gt;"",((($T175*COS(0.5))*$AE$5)/100),-1),"")</f>
        <v/>
      </c>
      <c r="AB175" s="66" t="str">
        <f>IF(Y175&lt;&gt;"",2*COS(0.5)*$AE$5*(X175-W175)/2+(AA175+Z175)/2,"")</f>
        <v/>
      </c>
      <c r="AC175" s="5"/>
      <c r="AE175" s="51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</row>
    <row r="176" spans="1:55" x14ac:dyDescent="0.25">
      <c r="A176" s="37"/>
      <c r="B176" s="38"/>
      <c r="C176" s="37"/>
      <c r="D176" s="2"/>
      <c r="E176" s="2"/>
      <c r="F176" s="38"/>
      <c r="G176" s="37"/>
      <c r="H176" s="2"/>
      <c r="I176" s="3"/>
      <c r="J176" s="90" t="str">
        <f>IF(C176&lt;&gt;"",$C176/'Elements and ions'!$B$12,"")</f>
        <v/>
      </c>
      <c r="K176" s="65" t="str">
        <f>IF(D176&lt;&gt;"",$D176/'Elements and ions'!$B$20,"")</f>
        <v/>
      </c>
      <c r="L176" s="65" t="str">
        <f>IF(E176&lt;&gt;"",$E176/'Elements and ions'!$B$21*2,"")</f>
        <v/>
      </c>
      <c r="M176" s="81" t="str">
        <f>IF(F176&lt;&gt;"",$F176/'Elements and ions'!$B$13*2,"")</f>
        <v/>
      </c>
      <c r="N176" s="80" t="str">
        <f>IF(G176&lt;&gt;"",-$G176/'Elements and ions'!$F$3,"")</f>
        <v/>
      </c>
      <c r="O176" s="65" t="str">
        <f>IF(H176&lt;&gt;"",-$H176/'Elements and ions'!$B$18,"")</f>
        <v/>
      </c>
      <c r="P176" s="81" t="str">
        <f>IF(I176&lt;&gt;"",-2*$I176/'Elements and ions'!$F$4,"")</f>
        <v/>
      </c>
      <c r="Q176" s="80" t="str">
        <f t="shared" si="35"/>
        <v/>
      </c>
      <c r="R176" s="65" t="str">
        <f t="shared" si="36"/>
        <v/>
      </c>
      <c r="S176" s="81" t="str">
        <f t="shared" si="37"/>
        <v/>
      </c>
      <c r="T176" s="80" t="str">
        <f t="shared" si="38"/>
        <v/>
      </c>
      <c r="U176" s="65" t="str">
        <f t="shared" si="39"/>
        <v/>
      </c>
      <c r="V176" s="91" t="str">
        <f t="shared" si="40"/>
        <v/>
      </c>
      <c r="W176" s="70" t="str">
        <f t="shared" si="41"/>
        <v/>
      </c>
      <c r="X176" s="65" t="str">
        <f>IF(V176&lt;&gt;"",IF($V176&lt;&gt;0,(($V176+(0.5*T176))/100+1+$AE$9),-1),"")</f>
        <v/>
      </c>
      <c r="Y176" s="81" t="str">
        <f>IF(AND(W176&lt;&gt;-1,X176&lt;&gt;-1,W176&lt;&gt;"",X176&lt;&gt;"",AA176&lt;&gt;-1,Z176&lt;&gt;-1,AA176&lt;&gt;"",Z176&lt;&gt;""),(W176+X176)/2+(AA176-Z176)/(4*COS(0.5)*$AE$5),"")</f>
        <v/>
      </c>
      <c r="Z176" s="70" t="str">
        <f>IF(S176&lt;&gt;"",IF($S176&lt;&gt;"",((($S176*COS(0.5))*$AE$5)/100),-1),"")</f>
        <v/>
      </c>
      <c r="AA176" s="65" t="str">
        <f>IF(T176&lt;&gt;"",IF($T176&lt;&gt;"",((($T176*COS(0.5))*$AE$5)/100),-1),"")</f>
        <v/>
      </c>
      <c r="AB176" s="66" t="str">
        <f>IF(Y176&lt;&gt;"",2*COS(0.5)*$AE$5*(X176-W176)/2+(AA176+Z176)/2,"")</f>
        <v/>
      </c>
      <c r="AC176" s="5"/>
      <c r="AE176" s="51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</row>
    <row r="177" spans="1:55" x14ac:dyDescent="0.25">
      <c r="A177" s="37"/>
      <c r="B177" s="38"/>
      <c r="C177" s="37"/>
      <c r="D177" s="2"/>
      <c r="E177" s="2"/>
      <c r="F177" s="38"/>
      <c r="G177" s="37"/>
      <c r="H177" s="2"/>
      <c r="I177" s="3"/>
      <c r="J177" s="90" t="str">
        <f>IF(C177&lt;&gt;"",$C177/'Elements and ions'!$B$12,"")</f>
        <v/>
      </c>
      <c r="K177" s="65" t="str">
        <f>IF(D177&lt;&gt;"",$D177/'Elements and ions'!$B$20,"")</f>
        <v/>
      </c>
      <c r="L177" s="65" t="str">
        <f>IF(E177&lt;&gt;"",$E177/'Elements and ions'!$B$21*2,"")</f>
        <v/>
      </c>
      <c r="M177" s="81" t="str">
        <f>IF(F177&lt;&gt;"",$F177/'Elements and ions'!$B$13*2,"")</f>
        <v/>
      </c>
      <c r="N177" s="80" t="str">
        <f>IF(G177&lt;&gt;"",-$G177/'Elements and ions'!$F$3,"")</f>
        <v/>
      </c>
      <c r="O177" s="65" t="str">
        <f>IF(H177&lt;&gt;"",-$H177/'Elements and ions'!$B$18,"")</f>
        <v/>
      </c>
      <c r="P177" s="81" t="str">
        <f>IF(I177&lt;&gt;"",-2*$I177/'Elements and ions'!$F$4,"")</f>
        <v/>
      </c>
      <c r="Q177" s="80" t="str">
        <f t="shared" si="35"/>
        <v/>
      </c>
      <c r="R177" s="65" t="str">
        <f t="shared" si="36"/>
        <v/>
      </c>
      <c r="S177" s="81" t="str">
        <f t="shared" si="37"/>
        <v/>
      </c>
      <c r="T177" s="80" t="str">
        <f t="shared" si="38"/>
        <v/>
      </c>
      <c r="U177" s="65" t="str">
        <f t="shared" si="39"/>
        <v/>
      </c>
      <c r="V177" s="91" t="str">
        <f t="shared" si="40"/>
        <v/>
      </c>
      <c r="W177" s="70" t="str">
        <f t="shared" si="41"/>
        <v/>
      </c>
      <c r="X177" s="65" t="str">
        <f>IF(V177&lt;&gt;"",IF($V177&lt;&gt;0,(($V177+(0.5*T177))/100+1+$AE$9),-1),"")</f>
        <v/>
      </c>
      <c r="Y177" s="81" t="str">
        <f>IF(AND(W177&lt;&gt;-1,X177&lt;&gt;-1,W177&lt;&gt;"",X177&lt;&gt;"",AA177&lt;&gt;-1,Z177&lt;&gt;-1,AA177&lt;&gt;"",Z177&lt;&gt;""),(W177+X177)/2+(AA177-Z177)/(4*COS(0.5)*$AE$5),"")</f>
        <v/>
      </c>
      <c r="Z177" s="70" t="str">
        <f>IF(S177&lt;&gt;"",IF($S177&lt;&gt;"",((($S177*COS(0.5))*$AE$5)/100),-1),"")</f>
        <v/>
      </c>
      <c r="AA177" s="65" t="str">
        <f>IF(T177&lt;&gt;"",IF($T177&lt;&gt;"",((($T177*COS(0.5))*$AE$5)/100),-1),"")</f>
        <v/>
      </c>
      <c r="AB177" s="66" t="str">
        <f>IF(Y177&lt;&gt;"",2*COS(0.5)*$AE$5*(X177-W177)/2+(AA177+Z177)/2,"")</f>
        <v/>
      </c>
      <c r="AC177" s="5"/>
      <c r="AE177" s="51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</row>
    <row r="178" spans="1:55" x14ac:dyDescent="0.25">
      <c r="A178" s="37"/>
      <c r="B178" s="38"/>
      <c r="C178" s="37"/>
      <c r="D178" s="2"/>
      <c r="E178" s="2"/>
      <c r="F178" s="38"/>
      <c r="G178" s="37"/>
      <c r="H178" s="2"/>
      <c r="I178" s="3"/>
      <c r="J178" s="90" t="str">
        <f>IF(C178&lt;&gt;"",$C178/'Elements and ions'!$B$12,"")</f>
        <v/>
      </c>
      <c r="K178" s="65" t="str">
        <f>IF(D178&lt;&gt;"",$D178/'Elements and ions'!$B$20,"")</f>
        <v/>
      </c>
      <c r="L178" s="65" t="str">
        <f>IF(E178&lt;&gt;"",$E178/'Elements and ions'!$B$21*2,"")</f>
        <v/>
      </c>
      <c r="M178" s="81" t="str">
        <f>IF(F178&lt;&gt;"",$F178/'Elements and ions'!$B$13*2,"")</f>
        <v/>
      </c>
      <c r="N178" s="80" t="str">
        <f>IF(G178&lt;&gt;"",-$G178/'Elements and ions'!$F$3,"")</f>
        <v/>
      </c>
      <c r="O178" s="65" t="str">
        <f>IF(H178&lt;&gt;"",-$H178/'Elements and ions'!$B$18,"")</f>
        <v/>
      </c>
      <c r="P178" s="81" t="str">
        <f>IF(I178&lt;&gt;"",-2*$I178/'Elements and ions'!$F$4,"")</f>
        <v/>
      </c>
      <c r="Q178" s="80" t="str">
        <f t="shared" si="35"/>
        <v/>
      </c>
      <c r="R178" s="65" t="str">
        <f t="shared" si="36"/>
        <v/>
      </c>
      <c r="S178" s="81" t="str">
        <f t="shared" si="37"/>
        <v/>
      </c>
      <c r="T178" s="80" t="str">
        <f t="shared" si="38"/>
        <v/>
      </c>
      <c r="U178" s="65" t="str">
        <f t="shared" si="39"/>
        <v/>
      </c>
      <c r="V178" s="91" t="str">
        <f t="shared" si="40"/>
        <v/>
      </c>
      <c r="W178" s="70" t="str">
        <f t="shared" si="41"/>
        <v/>
      </c>
      <c r="X178" s="65" t="str">
        <f>IF(V178&lt;&gt;"",IF($V178&lt;&gt;0,(($V178+(0.5*T178))/100+1+$AE$9),-1),"")</f>
        <v/>
      </c>
      <c r="Y178" s="81" t="str">
        <f>IF(AND(W178&lt;&gt;-1,X178&lt;&gt;-1,W178&lt;&gt;"",X178&lt;&gt;"",AA178&lt;&gt;-1,Z178&lt;&gt;-1,AA178&lt;&gt;"",Z178&lt;&gt;""),(W178+X178)/2+(AA178-Z178)/(4*COS(0.5)*$AE$5),"")</f>
        <v/>
      </c>
      <c r="Z178" s="70" t="str">
        <f>IF(S178&lt;&gt;"",IF($S178&lt;&gt;"",((($S178*COS(0.5))*$AE$5)/100),-1),"")</f>
        <v/>
      </c>
      <c r="AA178" s="65" t="str">
        <f>IF(T178&lt;&gt;"",IF($T178&lt;&gt;"",((($T178*COS(0.5))*$AE$5)/100),-1),"")</f>
        <v/>
      </c>
      <c r="AB178" s="66" t="str">
        <f>IF(Y178&lt;&gt;"",2*COS(0.5)*$AE$5*(X178-W178)/2+(AA178+Z178)/2,"")</f>
        <v/>
      </c>
      <c r="AC178" s="5"/>
      <c r="AE178" s="51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</row>
    <row r="179" spans="1:55" x14ac:dyDescent="0.25">
      <c r="A179" s="37"/>
      <c r="B179" s="38"/>
      <c r="C179" s="37"/>
      <c r="D179" s="2"/>
      <c r="E179" s="2"/>
      <c r="F179" s="38"/>
      <c r="G179" s="37"/>
      <c r="H179" s="2"/>
      <c r="I179" s="3"/>
      <c r="J179" s="90" t="str">
        <f>IF(C179&lt;&gt;"",$C179/'Elements and ions'!$B$12,"")</f>
        <v/>
      </c>
      <c r="K179" s="65" t="str">
        <f>IF(D179&lt;&gt;"",$D179/'Elements and ions'!$B$20,"")</f>
        <v/>
      </c>
      <c r="L179" s="65" t="str">
        <f>IF(E179&lt;&gt;"",$E179/'Elements and ions'!$B$21*2,"")</f>
        <v/>
      </c>
      <c r="M179" s="81" t="str">
        <f>IF(F179&lt;&gt;"",$F179/'Elements and ions'!$B$13*2,"")</f>
        <v/>
      </c>
      <c r="N179" s="80" t="str">
        <f>IF(G179&lt;&gt;"",-$G179/'Elements and ions'!$F$3,"")</f>
        <v/>
      </c>
      <c r="O179" s="65" t="str">
        <f>IF(H179&lt;&gt;"",-$H179/'Elements and ions'!$B$18,"")</f>
        <v/>
      </c>
      <c r="P179" s="81" t="str">
        <f>IF(I179&lt;&gt;"",-2*$I179/'Elements and ions'!$F$4,"")</f>
        <v/>
      </c>
      <c r="Q179" s="80" t="str">
        <f t="shared" si="35"/>
        <v/>
      </c>
      <c r="R179" s="65" t="str">
        <f t="shared" si="36"/>
        <v/>
      </c>
      <c r="S179" s="81" t="str">
        <f t="shared" si="37"/>
        <v/>
      </c>
      <c r="T179" s="80" t="str">
        <f t="shared" si="38"/>
        <v/>
      </c>
      <c r="U179" s="65" t="str">
        <f t="shared" si="39"/>
        <v/>
      </c>
      <c r="V179" s="91" t="str">
        <f t="shared" si="40"/>
        <v/>
      </c>
      <c r="W179" s="70" t="str">
        <f t="shared" si="41"/>
        <v/>
      </c>
      <c r="X179" s="65" t="str">
        <f>IF(V179&lt;&gt;"",IF($V179&lt;&gt;0,(($V179+(0.5*T179))/100+1+$AE$9),-1),"")</f>
        <v/>
      </c>
      <c r="Y179" s="81" t="str">
        <f>IF(AND(W179&lt;&gt;-1,X179&lt;&gt;-1,W179&lt;&gt;"",X179&lt;&gt;"",AA179&lt;&gt;-1,Z179&lt;&gt;-1,AA179&lt;&gt;"",Z179&lt;&gt;""),(W179+X179)/2+(AA179-Z179)/(4*COS(0.5)*$AE$5),"")</f>
        <v/>
      </c>
      <c r="Z179" s="70" t="str">
        <f>IF(S179&lt;&gt;"",IF($S179&lt;&gt;"",((($S179*COS(0.5))*$AE$5)/100),-1),"")</f>
        <v/>
      </c>
      <c r="AA179" s="65" t="str">
        <f>IF(T179&lt;&gt;"",IF($T179&lt;&gt;"",((($T179*COS(0.5))*$AE$5)/100),-1),"")</f>
        <v/>
      </c>
      <c r="AB179" s="66" t="str">
        <f>IF(Y179&lt;&gt;"",2*COS(0.5)*$AE$5*(X179-W179)/2+(AA179+Z179)/2,"")</f>
        <v/>
      </c>
      <c r="AC179" s="5"/>
      <c r="AE179" s="51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</row>
    <row r="180" spans="1:55" x14ac:dyDescent="0.25">
      <c r="A180" s="37"/>
      <c r="B180" s="38"/>
      <c r="C180" s="37"/>
      <c r="D180" s="2"/>
      <c r="E180" s="2"/>
      <c r="F180" s="38"/>
      <c r="G180" s="37"/>
      <c r="H180" s="2"/>
      <c r="I180" s="3"/>
      <c r="J180" s="90" t="str">
        <f>IF(C180&lt;&gt;"",$C180/'Elements and ions'!$B$12,"")</f>
        <v/>
      </c>
      <c r="K180" s="65" t="str">
        <f>IF(D180&lt;&gt;"",$D180/'Elements and ions'!$B$20,"")</f>
        <v/>
      </c>
      <c r="L180" s="65" t="str">
        <f>IF(E180&lt;&gt;"",$E180/'Elements and ions'!$B$21*2,"")</f>
        <v/>
      </c>
      <c r="M180" s="81" t="str">
        <f>IF(F180&lt;&gt;"",$F180/'Elements and ions'!$B$13*2,"")</f>
        <v/>
      </c>
      <c r="N180" s="80" t="str">
        <f>IF(G180&lt;&gt;"",-$G180/'Elements and ions'!$F$3,"")</f>
        <v/>
      </c>
      <c r="O180" s="65" t="str">
        <f>IF(H180&lt;&gt;"",-$H180/'Elements and ions'!$B$18,"")</f>
        <v/>
      </c>
      <c r="P180" s="81" t="str">
        <f>IF(I180&lt;&gt;"",-2*$I180/'Elements and ions'!$F$4,"")</f>
        <v/>
      </c>
      <c r="Q180" s="80" t="str">
        <f t="shared" si="35"/>
        <v/>
      </c>
      <c r="R180" s="65" t="str">
        <f t="shared" si="36"/>
        <v/>
      </c>
      <c r="S180" s="81" t="str">
        <f t="shared" si="37"/>
        <v/>
      </c>
      <c r="T180" s="80" t="str">
        <f t="shared" si="38"/>
        <v/>
      </c>
      <c r="U180" s="65" t="str">
        <f t="shared" si="39"/>
        <v/>
      </c>
      <c r="V180" s="91" t="str">
        <f t="shared" si="40"/>
        <v/>
      </c>
      <c r="W180" s="70" t="str">
        <f t="shared" si="41"/>
        <v/>
      </c>
      <c r="X180" s="65" t="str">
        <f>IF(V180&lt;&gt;"",IF($V180&lt;&gt;0,(($V180+(0.5*T180))/100+1+$AE$9),-1),"")</f>
        <v/>
      </c>
      <c r="Y180" s="81" t="str">
        <f>IF(AND(W180&lt;&gt;-1,X180&lt;&gt;-1,W180&lt;&gt;"",X180&lt;&gt;"",AA180&lt;&gt;-1,Z180&lt;&gt;-1,AA180&lt;&gt;"",Z180&lt;&gt;""),(W180+X180)/2+(AA180-Z180)/(4*COS(0.5)*$AE$5),"")</f>
        <v/>
      </c>
      <c r="Z180" s="70" t="str">
        <f>IF(S180&lt;&gt;"",IF($S180&lt;&gt;"",((($S180*COS(0.5))*$AE$5)/100),-1),"")</f>
        <v/>
      </c>
      <c r="AA180" s="65" t="str">
        <f>IF(T180&lt;&gt;"",IF($T180&lt;&gt;"",((($T180*COS(0.5))*$AE$5)/100),-1),"")</f>
        <v/>
      </c>
      <c r="AB180" s="66" t="str">
        <f>IF(Y180&lt;&gt;"",2*COS(0.5)*$AE$5*(X180-W180)/2+(AA180+Z180)/2,"")</f>
        <v/>
      </c>
      <c r="AC180" s="5"/>
      <c r="AE180" s="51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</row>
    <row r="181" spans="1:55" x14ac:dyDescent="0.25">
      <c r="A181" s="37"/>
      <c r="B181" s="38"/>
      <c r="C181" s="37"/>
      <c r="D181" s="2"/>
      <c r="E181" s="2"/>
      <c r="F181" s="38"/>
      <c r="G181" s="37"/>
      <c r="H181" s="2"/>
      <c r="I181" s="3"/>
      <c r="J181" s="90" t="str">
        <f>IF(C181&lt;&gt;"",$C181/'Elements and ions'!$B$12,"")</f>
        <v/>
      </c>
      <c r="K181" s="65" t="str">
        <f>IF(D181&lt;&gt;"",$D181/'Elements and ions'!$B$20,"")</f>
        <v/>
      </c>
      <c r="L181" s="65" t="str">
        <f>IF(E181&lt;&gt;"",$E181/'Elements and ions'!$B$21*2,"")</f>
        <v/>
      </c>
      <c r="M181" s="81" t="str">
        <f>IF(F181&lt;&gt;"",$F181/'Elements and ions'!$B$13*2,"")</f>
        <v/>
      </c>
      <c r="N181" s="80" t="str">
        <f>IF(G181&lt;&gt;"",-$G181/'Elements and ions'!$F$3,"")</f>
        <v/>
      </c>
      <c r="O181" s="65" t="str">
        <f>IF(H181&lt;&gt;"",-$H181/'Elements and ions'!$B$18,"")</f>
        <v/>
      </c>
      <c r="P181" s="81" t="str">
        <f>IF(I181&lt;&gt;"",-2*$I181/'Elements and ions'!$F$4,"")</f>
        <v/>
      </c>
      <c r="Q181" s="80" t="str">
        <f t="shared" si="35"/>
        <v/>
      </c>
      <c r="R181" s="65" t="str">
        <f t="shared" si="36"/>
        <v/>
      </c>
      <c r="S181" s="81" t="str">
        <f t="shared" si="37"/>
        <v/>
      </c>
      <c r="T181" s="80" t="str">
        <f t="shared" si="38"/>
        <v/>
      </c>
      <c r="U181" s="65" t="str">
        <f t="shared" si="39"/>
        <v/>
      </c>
      <c r="V181" s="91" t="str">
        <f t="shared" si="40"/>
        <v/>
      </c>
      <c r="W181" s="70" t="str">
        <f t="shared" si="41"/>
        <v/>
      </c>
      <c r="X181" s="65" t="str">
        <f>IF(V181&lt;&gt;"",IF($V181&lt;&gt;0,(($V181+(0.5*T181))/100+1+$AE$9),-1),"")</f>
        <v/>
      </c>
      <c r="Y181" s="81" t="str">
        <f>IF(AND(W181&lt;&gt;-1,X181&lt;&gt;-1,W181&lt;&gt;"",X181&lt;&gt;"",AA181&lt;&gt;-1,Z181&lt;&gt;-1,AA181&lt;&gt;"",Z181&lt;&gt;""),(W181+X181)/2+(AA181-Z181)/(4*COS(0.5)*$AE$5),"")</f>
        <v/>
      </c>
      <c r="Z181" s="70" t="str">
        <f>IF(S181&lt;&gt;"",IF($S181&lt;&gt;"",((($S181*COS(0.5))*$AE$5)/100),-1),"")</f>
        <v/>
      </c>
      <c r="AA181" s="65" t="str">
        <f>IF(T181&lt;&gt;"",IF($T181&lt;&gt;"",((($T181*COS(0.5))*$AE$5)/100),-1),"")</f>
        <v/>
      </c>
      <c r="AB181" s="66" t="str">
        <f>IF(Y181&lt;&gt;"",2*COS(0.5)*$AE$5*(X181-W181)/2+(AA181+Z181)/2,"")</f>
        <v/>
      </c>
      <c r="AC181" s="5"/>
      <c r="AE181" s="51" t="s">
        <v>138</v>
      </c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</row>
    <row r="182" spans="1:55" x14ac:dyDescent="0.25">
      <c r="A182" s="37"/>
      <c r="B182" s="38"/>
      <c r="C182" s="37"/>
      <c r="D182" s="2"/>
      <c r="E182" s="2"/>
      <c r="F182" s="38"/>
      <c r="G182" s="37"/>
      <c r="H182" s="2"/>
      <c r="I182" s="3"/>
      <c r="J182" s="90" t="str">
        <f>IF(C182&lt;&gt;"",$C182/'Elements and ions'!$B$12,"")</f>
        <v/>
      </c>
      <c r="K182" s="65" t="str">
        <f>IF(D182&lt;&gt;"",$D182/'Elements and ions'!$B$20,"")</f>
        <v/>
      </c>
      <c r="L182" s="65" t="str">
        <f>IF(E182&lt;&gt;"",$E182/'Elements and ions'!$B$21*2,"")</f>
        <v/>
      </c>
      <c r="M182" s="81" t="str">
        <f>IF(F182&lt;&gt;"",$F182/'Elements and ions'!$B$13*2,"")</f>
        <v/>
      </c>
      <c r="N182" s="80" t="str">
        <f>IF(G182&lt;&gt;"",-$G182/'Elements and ions'!$F$3,"")</f>
        <v/>
      </c>
      <c r="O182" s="65" t="str">
        <f>IF(H182&lt;&gt;"",-$H182/'Elements and ions'!$B$18,"")</f>
        <v/>
      </c>
      <c r="P182" s="81" t="str">
        <f>IF(I182&lt;&gt;"",-2*$I182/'Elements and ions'!$F$4,"")</f>
        <v/>
      </c>
      <c r="Q182" s="80" t="str">
        <f t="shared" si="35"/>
        <v/>
      </c>
      <c r="R182" s="65" t="str">
        <f t="shared" si="36"/>
        <v/>
      </c>
      <c r="S182" s="81" t="str">
        <f t="shared" si="37"/>
        <v/>
      </c>
      <c r="T182" s="80" t="str">
        <f t="shared" si="38"/>
        <v/>
      </c>
      <c r="U182" s="65" t="str">
        <f t="shared" si="39"/>
        <v/>
      </c>
      <c r="V182" s="91" t="str">
        <f t="shared" si="40"/>
        <v/>
      </c>
      <c r="W182" s="70" t="str">
        <f t="shared" si="41"/>
        <v/>
      </c>
      <c r="X182" s="65" t="str">
        <f>IF(V182&lt;&gt;"",IF($V182&lt;&gt;0,(($V182+(0.5*T182))/100+1+$AE$9),-1),"")</f>
        <v/>
      </c>
      <c r="Y182" s="81" t="str">
        <f>IF(AND(W182&lt;&gt;-1,X182&lt;&gt;-1,W182&lt;&gt;"",X182&lt;&gt;"",AA182&lt;&gt;-1,Z182&lt;&gt;-1,AA182&lt;&gt;"",Z182&lt;&gt;""),(W182+X182)/2+(AA182-Z182)/(4*COS(0.5)*$AE$5),"")</f>
        <v/>
      </c>
      <c r="Z182" s="70" t="str">
        <f>IF(S182&lt;&gt;"",IF($S182&lt;&gt;"",((($S182*COS(0.5))*$AE$5)/100),-1),"")</f>
        <v/>
      </c>
      <c r="AA182" s="65" t="str">
        <f>IF(T182&lt;&gt;"",IF($T182&lt;&gt;"",((($T182*COS(0.5))*$AE$5)/100),-1),"")</f>
        <v/>
      </c>
      <c r="AB182" s="66" t="str">
        <f>IF(Y182&lt;&gt;"",2*COS(0.5)*$AE$5*(X182-W182)/2+(AA182+Z182)/2,"")</f>
        <v/>
      </c>
      <c r="AC182" s="5"/>
      <c r="AE182" s="51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1:55" x14ac:dyDescent="0.25">
      <c r="A183" s="37"/>
      <c r="B183" s="38"/>
      <c r="C183" s="37"/>
      <c r="D183" s="2"/>
      <c r="E183" s="2"/>
      <c r="F183" s="38"/>
      <c r="G183" s="37"/>
      <c r="H183" s="2"/>
      <c r="I183" s="3"/>
      <c r="J183" s="90" t="str">
        <f>IF(C183&lt;&gt;"",$C183/'Elements and ions'!$B$12,"")</f>
        <v/>
      </c>
      <c r="K183" s="65" t="str">
        <f>IF(D183&lt;&gt;"",$D183/'Elements and ions'!$B$20,"")</f>
        <v/>
      </c>
      <c r="L183" s="65" t="str">
        <f>IF(E183&lt;&gt;"",$E183/'Elements and ions'!$B$21*2,"")</f>
        <v/>
      </c>
      <c r="M183" s="81" t="str">
        <f>IF(F183&lt;&gt;"",$F183/'Elements and ions'!$B$13*2,"")</f>
        <v/>
      </c>
      <c r="N183" s="80" t="str">
        <f>IF(G183&lt;&gt;"",-$G183/'Elements and ions'!$F$3,"")</f>
        <v/>
      </c>
      <c r="O183" s="65" t="str">
        <f>IF(H183&lt;&gt;"",-$H183/'Elements and ions'!$B$18,"")</f>
        <v/>
      </c>
      <c r="P183" s="81" t="str">
        <f>IF(I183&lt;&gt;"",-2*$I183/'Elements and ions'!$F$4,"")</f>
        <v/>
      </c>
      <c r="Q183" s="80" t="str">
        <f t="shared" si="35"/>
        <v/>
      </c>
      <c r="R183" s="65" t="str">
        <f t="shared" si="36"/>
        <v/>
      </c>
      <c r="S183" s="81" t="str">
        <f t="shared" si="37"/>
        <v/>
      </c>
      <c r="T183" s="80" t="str">
        <f t="shared" si="38"/>
        <v/>
      </c>
      <c r="U183" s="65" t="str">
        <f t="shared" si="39"/>
        <v/>
      </c>
      <c r="V183" s="91" t="str">
        <f t="shared" si="40"/>
        <v/>
      </c>
      <c r="W183" s="70" t="str">
        <f t="shared" si="41"/>
        <v/>
      </c>
      <c r="X183" s="65" t="str">
        <f>IF(V183&lt;&gt;"",IF($V183&lt;&gt;0,(($V183+(0.5*T183))/100+1+$AE$9),-1),"")</f>
        <v/>
      </c>
      <c r="Y183" s="81" t="str">
        <f>IF(AND(W183&lt;&gt;-1,X183&lt;&gt;-1,W183&lt;&gt;"",X183&lt;&gt;"",AA183&lt;&gt;-1,Z183&lt;&gt;-1,AA183&lt;&gt;"",Z183&lt;&gt;""),(W183+X183)/2+(AA183-Z183)/(4*COS(0.5)*$AE$5),"")</f>
        <v/>
      </c>
      <c r="Z183" s="70" t="str">
        <f>IF(S183&lt;&gt;"",IF($S183&lt;&gt;"",((($S183*COS(0.5))*$AE$5)/100),-1),"")</f>
        <v/>
      </c>
      <c r="AA183" s="65" t="str">
        <f>IF(T183&lt;&gt;"",IF($T183&lt;&gt;"",((($T183*COS(0.5))*$AE$5)/100),-1),"")</f>
        <v/>
      </c>
      <c r="AB183" s="66" t="str">
        <f>IF(Y183&lt;&gt;"",2*COS(0.5)*$AE$5*(X183-W183)/2+(AA183+Z183)/2,"")</f>
        <v/>
      </c>
      <c r="AC183" s="5"/>
      <c r="AE183" s="51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1:55" x14ac:dyDescent="0.25">
      <c r="A184" s="37"/>
      <c r="B184" s="38"/>
      <c r="C184" s="37"/>
      <c r="D184" s="2"/>
      <c r="E184" s="2"/>
      <c r="F184" s="38"/>
      <c r="G184" s="37"/>
      <c r="H184" s="2"/>
      <c r="I184" s="3"/>
      <c r="J184" s="90" t="str">
        <f>IF(C184&lt;&gt;"",$C184/'Elements and ions'!$B$12,"")</f>
        <v/>
      </c>
      <c r="K184" s="65" t="str">
        <f>IF(D184&lt;&gt;"",$D184/'Elements and ions'!$B$20,"")</f>
        <v/>
      </c>
      <c r="L184" s="65" t="str">
        <f>IF(E184&lt;&gt;"",$E184/'Elements and ions'!$B$21*2,"")</f>
        <v/>
      </c>
      <c r="M184" s="81" t="str">
        <f>IF(F184&lt;&gt;"",$F184/'Elements and ions'!$B$13*2,"")</f>
        <v/>
      </c>
      <c r="N184" s="80" t="str">
        <f>IF(G184&lt;&gt;"",-$G184/'Elements and ions'!$F$3,"")</f>
        <v/>
      </c>
      <c r="O184" s="65" t="str">
        <f>IF(H184&lt;&gt;"",-$H184/'Elements and ions'!$B$18,"")</f>
        <v/>
      </c>
      <c r="P184" s="81" t="str">
        <f>IF(I184&lt;&gt;"",-2*$I184/'Elements and ions'!$F$4,"")</f>
        <v/>
      </c>
      <c r="Q184" s="80" t="str">
        <f t="shared" si="35"/>
        <v/>
      </c>
      <c r="R184" s="65" t="str">
        <f t="shared" si="36"/>
        <v/>
      </c>
      <c r="S184" s="81" t="str">
        <f t="shared" si="37"/>
        <v/>
      </c>
      <c r="T184" s="80" t="str">
        <f t="shared" si="38"/>
        <v/>
      </c>
      <c r="U184" s="65" t="str">
        <f t="shared" si="39"/>
        <v/>
      </c>
      <c r="V184" s="91" t="str">
        <f t="shared" si="40"/>
        <v/>
      </c>
      <c r="W184" s="70" t="str">
        <f t="shared" si="41"/>
        <v/>
      </c>
      <c r="X184" s="65" t="str">
        <f>IF(V184&lt;&gt;"",IF($V184&lt;&gt;0,(($V184+(0.5*T184))/100+1+$AE$9),-1),"")</f>
        <v/>
      </c>
      <c r="Y184" s="81" t="str">
        <f>IF(AND(W184&lt;&gt;-1,X184&lt;&gt;-1,W184&lt;&gt;"",X184&lt;&gt;"",AA184&lt;&gt;-1,Z184&lt;&gt;-1,AA184&lt;&gt;"",Z184&lt;&gt;""),(W184+X184)/2+(AA184-Z184)/(4*COS(0.5)*$AE$5),"")</f>
        <v/>
      </c>
      <c r="Z184" s="70" t="str">
        <f>IF(S184&lt;&gt;"",IF($S184&lt;&gt;"",((($S184*COS(0.5))*$AE$5)/100),-1),"")</f>
        <v/>
      </c>
      <c r="AA184" s="65" t="str">
        <f>IF(T184&lt;&gt;"",IF($T184&lt;&gt;"",((($T184*COS(0.5))*$AE$5)/100),-1),"")</f>
        <v/>
      </c>
      <c r="AB184" s="66" t="str">
        <f>IF(Y184&lt;&gt;"",2*COS(0.5)*$AE$5*(X184-W184)/2+(AA184+Z184)/2,"")</f>
        <v/>
      </c>
      <c r="AC184" s="5"/>
      <c r="AE184" s="51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1:55" x14ac:dyDescent="0.25">
      <c r="A185" s="37"/>
      <c r="B185" s="38"/>
      <c r="C185" s="37"/>
      <c r="D185" s="2"/>
      <c r="E185" s="2"/>
      <c r="F185" s="38"/>
      <c r="G185" s="37"/>
      <c r="H185" s="2"/>
      <c r="I185" s="3"/>
      <c r="J185" s="90" t="str">
        <f>IF(C185&lt;&gt;"",$C185/'Elements and ions'!$B$12,"")</f>
        <v/>
      </c>
      <c r="K185" s="65" t="str">
        <f>IF(D185&lt;&gt;"",$D185/'Elements and ions'!$B$20,"")</f>
        <v/>
      </c>
      <c r="L185" s="65" t="str">
        <f>IF(E185&lt;&gt;"",$E185/'Elements and ions'!$B$21*2,"")</f>
        <v/>
      </c>
      <c r="M185" s="81" t="str">
        <f>IF(F185&lt;&gt;"",$F185/'Elements and ions'!$B$13*2,"")</f>
        <v/>
      </c>
      <c r="N185" s="80" t="str">
        <f>IF(G185&lt;&gt;"",-$G185/'Elements and ions'!$F$3,"")</f>
        <v/>
      </c>
      <c r="O185" s="65" t="str">
        <f>IF(H185&lt;&gt;"",-$H185/'Elements and ions'!$B$18,"")</f>
        <v/>
      </c>
      <c r="P185" s="81" t="str">
        <f>IF(I185&lt;&gt;"",-2*$I185/'Elements and ions'!$F$4,"")</f>
        <v/>
      </c>
      <c r="Q185" s="80" t="str">
        <f t="shared" si="35"/>
        <v/>
      </c>
      <c r="R185" s="65" t="str">
        <f t="shared" si="36"/>
        <v/>
      </c>
      <c r="S185" s="81" t="str">
        <f t="shared" si="37"/>
        <v/>
      </c>
      <c r="T185" s="80" t="str">
        <f t="shared" si="38"/>
        <v/>
      </c>
      <c r="U185" s="65" t="str">
        <f t="shared" si="39"/>
        <v/>
      </c>
      <c r="V185" s="91" t="str">
        <f t="shared" si="40"/>
        <v/>
      </c>
      <c r="W185" s="70" t="str">
        <f t="shared" si="41"/>
        <v/>
      </c>
      <c r="X185" s="65" t="str">
        <f>IF(V185&lt;&gt;"",IF($V185&lt;&gt;0,(($V185+(0.5*T185))/100+1+$AE$9),-1),"")</f>
        <v/>
      </c>
      <c r="Y185" s="81" t="str">
        <f>IF(AND(W185&lt;&gt;-1,X185&lt;&gt;-1,W185&lt;&gt;"",X185&lt;&gt;"",AA185&lt;&gt;-1,Z185&lt;&gt;-1,AA185&lt;&gt;"",Z185&lt;&gt;""),(W185+X185)/2+(AA185-Z185)/(4*COS(0.5)*$AE$5),"")</f>
        <v/>
      </c>
      <c r="Z185" s="70" t="str">
        <f>IF(S185&lt;&gt;"",IF($S185&lt;&gt;"",((($S185*COS(0.5))*$AE$5)/100),-1),"")</f>
        <v/>
      </c>
      <c r="AA185" s="65" t="str">
        <f>IF(T185&lt;&gt;"",IF($T185&lt;&gt;"",((($T185*COS(0.5))*$AE$5)/100),-1),"")</f>
        <v/>
      </c>
      <c r="AB185" s="66" t="str">
        <f>IF(Y185&lt;&gt;"",2*COS(0.5)*$AE$5*(X185-W185)/2+(AA185+Z185)/2,"")</f>
        <v/>
      </c>
      <c r="AC185" s="5"/>
      <c r="AE185" s="51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1:55" x14ac:dyDescent="0.25">
      <c r="A186" s="37"/>
      <c r="B186" s="38"/>
      <c r="C186" s="37"/>
      <c r="D186" s="2"/>
      <c r="E186" s="2"/>
      <c r="F186" s="38"/>
      <c r="G186" s="37"/>
      <c r="H186" s="2"/>
      <c r="I186" s="3"/>
      <c r="J186" s="90" t="str">
        <f>IF(C186&lt;&gt;"",$C186/'Elements and ions'!$B$12,"")</f>
        <v/>
      </c>
      <c r="K186" s="65" t="str">
        <f>IF(D186&lt;&gt;"",$D186/'Elements and ions'!$B$20,"")</f>
        <v/>
      </c>
      <c r="L186" s="65" t="str">
        <f>IF(E186&lt;&gt;"",$E186/'Elements and ions'!$B$21*2,"")</f>
        <v/>
      </c>
      <c r="M186" s="81" t="str">
        <f>IF(F186&lt;&gt;"",$F186/'Elements and ions'!$B$13*2,"")</f>
        <v/>
      </c>
      <c r="N186" s="80" t="str">
        <f>IF(G186&lt;&gt;"",-$G186/'Elements and ions'!$F$3,"")</f>
        <v/>
      </c>
      <c r="O186" s="65" t="str">
        <f>IF(H186&lt;&gt;"",-$H186/'Elements and ions'!$B$18,"")</f>
        <v/>
      </c>
      <c r="P186" s="81" t="str">
        <f>IF(I186&lt;&gt;"",-2*$I186/'Elements and ions'!$F$4,"")</f>
        <v/>
      </c>
      <c r="Q186" s="80" t="str">
        <f t="shared" si="35"/>
        <v/>
      </c>
      <c r="R186" s="65" t="str">
        <f t="shared" si="36"/>
        <v/>
      </c>
      <c r="S186" s="81" t="str">
        <f t="shared" si="37"/>
        <v/>
      </c>
      <c r="T186" s="80" t="str">
        <f t="shared" si="38"/>
        <v/>
      </c>
      <c r="U186" s="65" t="str">
        <f t="shared" si="39"/>
        <v/>
      </c>
      <c r="V186" s="91" t="str">
        <f t="shared" si="40"/>
        <v/>
      </c>
      <c r="W186" s="70" t="str">
        <f t="shared" si="41"/>
        <v/>
      </c>
      <c r="X186" s="65" t="str">
        <f>IF(V186&lt;&gt;"",IF($V186&lt;&gt;0,(($V186+(0.5*T186))/100+1+$AE$9),-1),"")</f>
        <v/>
      </c>
      <c r="Y186" s="81" t="str">
        <f>IF(AND(W186&lt;&gt;-1,X186&lt;&gt;-1,W186&lt;&gt;"",X186&lt;&gt;"",AA186&lt;&gt;-1,Z186&lt;&gt;-1,AA186&lt;&gt;"",Z186&lt;&gt;""),(W186+X186)/2+(AA186-Z186)/(4*COS(0.5)*$AE$5),"")</f>
        <v/>
      </c>
      <c r="Z186" s="70" t="str">
        <f>IF(S186&lt;&gt;"",IF($S186&lt;&gt;"",((($S186*COS(0.5))*$AE$5)/100),-1),"")</f>
        <v/>
      </c>
      <c r="AA186" s="65" t="str">
        <f>IF(T186&lt;&gt;"",IF($T186&lt;&gt;"",((($T186*COS(0.5))*$AE$5)/100),-1),"")</f>
        <v/>
      </c>
      <c r="AB186" s="66" t="str">
        <f>IF(Y186&lt;&gt;"",2*COS(0.5)*$AE$5*(X186-W186)/2+(AA186+Z186)/2,"")</f>
        <v/>
      </c>
      <c r="AC186" s="5"/>
      <c r="AE186" s="51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1:55" x14ac:dyDescent="0.25">
      <c r="A187" s="37"/>
      <c r="B187" s="38"/>
      <c r="C187" s="37"/>
      <c r="D187" s="2"/>
      <c r="E187" s="2"/>
      <c r="F187" s="38"/>
      <c r="G187" s="37"/>
      <c r="H187" s="2"/>
      <c r="I187" s="3"/>
      <c r="J187" s="90" t="str">
        <f>IF(C187&lt;&gt;"",$C187/'Elements and ions'!$B$12,"")</f>
        <v/>
      </c>
      <c r="K187" s="65" t="str">
        <f>IF(D187&lt;&gt;"",$D187/'Elements and ions'!$B$20,"")</f>
        <v/>
      </c>
      <c r="L187" s="65" t="str">
        <f>IF(E187&lt;&gt;"",$E187/'Elements and ions'!$B$21*2,"")</f>
        <v/>
      </c>
      <c r="M187" s="81" t="str">
        <f>IF(F187&lt;&gt;"",$F187/'Elements and ions'!$B$13*2,"")</f>
        <v/>
      </c>
      <c r="N187" s="80" t="str">
        <f>IF(G187&lt;&gt;"",-$G187/'Elements and ions'!$F$3,"")</f>
        <v/>
      </c>
      <c r="O187" s="65" t="str">
        <f>IF(H187&lt;&gt;"",-$H187/'Elements and ions'!$B$18,"")</f>
        <v/>
      </c>
      <c r="P187" s="81" t="str">
        <f>IF(I187&lt;&gt;"",-2*$I187/'Elements and ions'!$F$4,"")</f>
        <v/>
      </c>
      <c r="Q187" s="80" t="str">
        <f t="shared" si="35"/>
        <v/>
      </c>
      <c r="R187" s="65" t="str">
        <f t="shared" si="36"/>
        <v/>
      </c>
      <c r="S187" s="81" t="str">
        <f t="shared" si="37"/>
        <v/>
      </c>
      <c r="T187" s="80" t="str">
        <f t="shared" si="38"/>
        <v/>
      </c>
      <c r="U187" s="65" t="str">
        <f t="shared" si="39"/>
        <v/>
      </c>
      <c r="V187" s="91" t="str">
        <f t="shared" si="40"/>
        <v/>
      </c>
      <c r="W187" s="70" t="str">
        <f t="shared" si="41"/>
        <v/>
      </c>
      <c r="X187" s="65" t="str">
        <f>IF(V187&lt;&gt;"",IF($V187&lt;&gt;0,(($V187+(0.5*T187))/100+1+$AE$9),-1),"")</f>
        <v/>
      </c>
      <c r="Y187" s="81" t="str">
        <f>IF(AND(W187&lt;&gt;-1,X187&lt;&gt;-1,W187&lt;&gt;"",X187&lt;&gt;"",AA187&lt;&gt;-1,Z187&lt;&gt;-1,AA187&lt;&gt;"",Z187&lt;&gt;""),(W187+X187)/2+(AA187-Z187)/(4*COS(0.5)*$AE$5),"")</f>
        <v/>
      </c>
      <c r="Z187" s="70" t="str">
        <f>IF(S187&lt;&gt;"",IF($S187&lt;&gt;"",((($S187*COS(0.5))*$AE$5)/100),-1),"")</f>
        <v/>
      </c>
      <c r="AA187" s="65" t="str">
        <f>IF(T187&lt;&gt;"",IF($T187&lt;&gt;"",((($T187*COS(0.5))*$AE$5)/100),-1),"")</f>
        <v/>
      </c>
      <c r="AB187" s="66" t="str">
        <f>IF(Y187&lt;&gt;"",2*COS(0.5)*$AE$5*(X187-W187)/2+(AA187+Z187)/2,"")</f>
        <v/>
      </c>
      <c r="AC187" s="5"/>
      <c r="AE187" s="51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1:55" x14ac:dyDescent="0.25">
      <c r="A188" s="37"/>
      <c r="B188" s="38"/>
      <c r="C188" s="37"/>
      <c r="D188" s="2"/>
      <c r="E188" s="2"/>
      <c r="F188" s="38"/>
      <c r="G188" s="37"/>
      <c r="H188" s="2"/>
      <c r="I188" s="3"/>
      <c r="J188" s="90" t="str">
        <f>IF(C188&lt;&gt;"",$C188/'Elements and ions'!$B$12,"")</f>
        <v/>
      </c>
      <c r="K188" s="65" t="str">
        <f>IF(D188&lt;&gt;"",$D188/'Elements and ions'!$B$20,"")</f>
        <v/>
      </c>
      <c r="L188" s="65" t="str">
        <f>IF(E188&lt;&gt;"",$E188/'Elements and ions'!$B$21*2,"")</f>
        <v/>
      </c>
      <c r="M188" s="81" t="str">
        <f>IF(F188&lt;&gt;"",$F188/'Elements and ions'!$B$13*2,"")</f>
        <v/>
      </c>
      <c r="N188" s="80" t="str">
        <f>IF(G188&lt;&gt;"",-$G188/'Elements and ions'!$F$3,"")</f>
        <v/>
      </c>
      <c r="O188" s="65" t="str">
        <f>IF(H188&lt;&gt;"",-$H188/'Elements and ions'!$B$18,"")</f>
        <v/>
      </c>
      <c r="P188" s="81" t="str">
        <f>IF(I188&lt;&gt;"",-2*$I188/'Elements and ions'!$F$4,"")</f>
        <v/>
      </c>
      <c r="Q188" s="80" t="str">
        <f t="shared" si="35"/>
        <v/>
      </c>
      <c r="R188" s="65" t="str">
        <f t="shared" si="36"/>
        <v/>
      </c>
      <c r="S188" s="81" t="str">
        <f t="shared" si="37"/>
        <v/>
      </c>
      <c r="T188" s="80" t="str">
        <f t="shared" si="38"/>
        <v/>
      </c>
      <c r="U188" s="65" t="str">
        <f t="shared" si="39"/>
        <v/>
      </c>
      <c r="V188" s="91" t="str">
        <f t="shared" si="40"/>
        <v/>
      </c>
      <c r="W188" s="70" t="str">
        <f t="shared" si="41"/>
        <v/>
      </c>
      <c r="X188" s="65" t="str">
        <f>IF(V188&lt;&gt;"",IF($V188&lt;&gt;0,(($V188+(0.5*T188))/100+1+$AE$9),-1),"")</f>
        <v/>
      </c>
      <c r="Y188" s="81" t="str">
        <f>IF(AND(W188&lt;&gt;-1,X188&lt;&gt;-1,W188&lt;&gt;"",X188&lt;&gt;"",AA188&lt;&gt;-1,Z188&lt;&gt;-1,AA188&lt;&gt;"",Z188&lt;&gt;""),(W188+X188)/2+(AA188-Z188)/(4*COS(0.5)*$AE$5),"")</f>
        <v/>
      </c>
      <c r="Z188" s="70" t="str">
        <f>IF(S188&lt;&gt;"",IF($S188&lt;&gt;"",((($S188*COS(0.5))*$AE$5)/100),-1),"")</f>
        <v/>
      </c>
      <c r="AA188" s="65" t="str">
        <f>IF(T188&lt;&gt;"",IF($T188&lt;&gt;"",((($T188*COS(0.5))*$AE$5)/100),-1),"")</f>
        <v/>
      </c>
      <c r="AB188" s="66" t="str">
        <f>IF(Y188&lt;&gt;"",2*COS(0.5)*$AE$5*(X188-W188)/2+(AA188+Z188)/2,"")</f>
        <v/>
      </c>
      <c r="AC188" s="5"/>
      <c r="AE188" s="51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</row>
    <row r="189" spans="1:55" x14ac:dyDescent="0.25">
      <c r="A189" s="37"/>
      <c r="B189" s="38"/>
      <c r="C189" s="37"/>
      <c r="D189" s="2"/>
      <c r="E189" s="2"/>
      <c r="F189" s="38"/>
      <c r="G189" s="37"/>
      <c r="H189" s="2"/>
      <c r="I189" s="3"/>
      <c r="J189" s="90" t="str">
        <f>IF(C189&lt;&gt;"",$C189/'Elements and ions'!$B$12,"")</f>
        <v/>
      </c>
      <c r="K189" s="65" t="str">
        <f>IF(D189&lt;&gt;"",$D189/'Elements and ions'!$B$20,"")</f>
        <v/>
      </c>
      <c r="L189" s="65" t="str">
        <f>IF(E189&lt;&gt;"",$E189/'Elements and ions'!$B$21*2,"")</f>
        <v/>
      </c>
      <c r="M189" s="81" t="str">
        <f>IF(F189&lt;&gt;"",$F189/'Elements and ions'!$B$13*2,"")</f>
        <v/>
      </c>
      <c r="N189" s="80" t="str">
        <f>IF(G189&lt;&gt;"",-$G189/'Elements and ions'!$F$3,"")</f>
        <v/>
      </c>
      <c r="O189" s="65" t="str">
        <f>IF(H189&lt;&gt;"",-$H189/'Elements and ions'!$B$18,"")</f>
        <v/>
      </c>
      <c r="P189" s="81" t="str">
        <f>IF(I189&lt;&gt;"",-2*$I189/'Elements and ions'!$F$4,"")</f>
        <v/>
      </c>
      <c r="Q189" s="80" t="str">
        <f t="shared" si="35"/>
        <v/>
      </c>
      <c r="R189" s="65" t="str">
        <f t="shared" si="36"/>
        <v/>
      </c>
      <c r="S189" s="81" t="str">
        <f t="shared" si="37"/>
        <v/>
      </c>
      <c r="T189" s="80" t="str">
        <f t="shared" si="38"/>
        <v/>
      </c>
      <c r="U189" s="65" t="str">
        <f t="shared" si="39"/>
        <v/>
      </c>
      <c r="V189" s="91" t="str">
        <f t="shared" si="40"/>
        <v/>
      </c>
      <c r="W189" s="70" t="str">
        <f t="shared" si="41"/>
        <v/>
      </c>
      <c r="X189" s="65" t="str">
        <f>IF(V189&lt;&gt;"",IF($V189&lt;&gt;0,(($V189+(0.5*T189))/100+1+$AE$9),-1),"")</f>
        <v/>
      </c>
      <c r="Y189" s="81" t="str">
        <f>IF(AND(W189&lt;&gt;-1,X189&lt;&gt;-1,W189&lt;&gt;"",X189&lt;&gt;"",AA189&lt;&gt;-1,Z189&lt;&gt;-1,AA189&lt;&gt;"",Z189&lt;&gt;""),(W189+X189)/2+(AA189-Z189)/(4*COS(0.5)*$AE$5),"")</f>
        <v/>
      </c>
      <c r="Z189" s="70" t="str">
        <f>IF(S189&lt;&gt;"",IF($S189&lt;&gt;"",((($S189*COS(0.5))*$AE$5)/100),-1),"")</f>
        <v/>
      </c>
      <c r="AA189" s="65" t="str">
        <f>IF(T189&lt;&gt;"",IF($T189&lt;&gt;"",((($T189*COS(0.5))*$AE$5)/100),-1),"")</f>
        <v/>
      </c>
      <c r="AB189" s="66" t="str">
        <f>IF(Y189&lt;&gt;"",2*COS(0.5)*$AE$5*(X189-W189)/2+(AA189+Z189)/2,"")</f>
        <v/>
      </c>
      <c r="AC189" s="5"/>
      <c r="AE189" s="51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</row>
    <row r="190" spans="1:55" x14ac:dyDescent="0.25">
      <c r="A190" s="37"/>
      <c r="B190" s="38"/>
      <c r="C190" s="37"/>
      <c r="D190" s="2"/>
      <c r="E190" s="2"/>
      <c r="F190" s="38"/>
      <c r="G190" s="37"/>
      <c r="H190" s="2"/>
      <c r="I190" s="3"/>
      <c r="J190" s="90" t="str">
        <f>IF(C190&lt;&gt;"",$C190/'Elements and ions'!$B$12,"")</f>
        <v/>
      </c>
      <c r="K190" s="65" t="str">
        <f>IF(D190&lt;&gt;"",$D190/'Elements and ions'!$B$20,"")</f>
        <v/>
      </c>
      <c r="L190" s="65" t="str">
        <f>IF(E190&lt;&gt;"",$E190/'Elements and ions'!$B$21*2,"")</f>
        <v/>
      </c>
      <c r="M190" s="81" t="str">
        <f>IF(F190&lt;&gt;"",$F190/'Elements and ions'!$B$13*2,"")</f>
        <v/>
      </c>
      <c r="N190" s="80" t="str">
        <f>IF(G190&lt;&gt;"",-$G190/'Elements and ions'!$F$3,"")</f>
        <v/>
      </c>
      <c r="O190" s="65" t="str">
        <f>IF(H190&lt;&gt;"",-$H190/'Elements and ions'!$B$18,"")</f>
        <v/>
      </c>
      <c r="P190" s="81" t="str">
        <f>IF(I190&lt;&gt;"",-2*$I190/'Elements and ions'!$F$4,"")</f>
        <v/>
      </c>
      <c r="Q190" s="80" t="str">
        <f t="shared" si="35"/>
        <v/>
      </c>
      <c r="R190" s="65" t="str">
        <f t="shared" si="36"/>
        <v/>
      </c>
      <c r="S190" s="81" t="str">
        <f t="shared" si="37"/>
        <v/>
      </c>
      <c r="T190" s="80" t="str">
        <f t="shared" si="38"/>
        <v/>
      </c>
      <c r="U190" s="65" t="str">
        <f t="shared" si="39"/>
        <v/>
      </c>
      <c r="V190" s="91" t="str">
        <f t="shared" si="40"/>
        <v/>
      </c>
      <c r="W190" s="70" t="str">
        <f t="shared" si="41"/>
        <v/>
      </c>
      <c r="X190" s="65" t="str">
        <f>IF(V190&lt;&gt;"",IF($V190&lt;&gt;0,(($V190+(0.5*T190))/100+1+$AE$9),-1),"")</f>
        <v/>
      </c>
      <c r="Y190" s="81" t="str">
        <f>IF(AND(W190&lt;&gt;-1,X190&lt;&gt;-1,W190&lt;&gt;"",X190&lt;&gt;"",AA190&lt;&gt;-1,Z190&lt;&gt;-1,AA190&lt;&gt;"",Z190&lt;&gt;""),(W190+X190)/2+(AA190-Z190)/(4*COS(0.5)*$AE$5),"")</f>
        <v/>
      </c>
      <c r="Z190" s="70" t="str">
        <f>IF(S190&lt;&gt;"",IF($S190&lt;&gt;"",((($S190*COS(0.5))*$AE$5)/100),-1),"")</f>
        <v/>
      </c>
      <c r="AA190" s="65" t="str">
        <f>IF(T190&lt;&gt;"",IF($T190&lt;&gt;"",((($T190*COS(0.5))*$AE$5)/100),-1),"")</f>
        <v/>
      </c>
      <c r="AB190" s="66" t="str">
        <f>IF(Y190&lt;&gt;"",2*COS(0.5)*$AE$5*(X190-W190)/2+(AA190+Z190)/2,"")</f>
        <v/>
      </c>
      <c r="AC190" s="5"/>
      <c r="AE190" s="51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</row>
    <row r="191" spans="1:55" x14ac:dyDescent="0.25">
      <c r="A191" s="37"/>
      <c r="B191" s="38"/>
      <c r="C191" s="37"/>
      <c r="D191" s="2"/>
      <c r="E191" s="2"/>
      <c r="F191" s="38"/>
      <c r="G191" s="37"/>
      <c r="H191" s="2"/>
      <c r="I191" s="3"/>
      <c r="J191" s="90" t="str">
        <f>IF(C191&lt;&gt;"",$C191/'Elements and ions'!$B$12,"")</f>
        <v/>
      </c>
      <c r="K191" s="65" t="str">
        <f>IF(D191&lt;&gt;"",$D191/'Elements and ions'!$B$20,"")</f>
        <v/>
      </c>
      <c r="L191" s="65" t="str">
        <f>IF(E191&lt;&gt;"",$E191/'Elements and ions'!$B$21*2,"")</f>
        <v/>
      </c>
      <c r="M191" s="81" t="str">
        <f>IF(F191&lt;&gt;"",$F191/'Elements and ions'!$B$13*2,"")</f>
        <v/>
      </c>
      <c r="N191" s="80" t="str">
        <f>IF(G191&lt;&gt;"",-$G191/'Elements and ions'!$F$3,"")</f>
        <v/>
      </c>
      <c r="O191" s="65" t="str">
        <f>IF(H191&lt;&gt;"",-$H191/'Elements and ions'!$B$18,"")</f>
        <v/>
      </c>
      <c r="P191" s="81" t="str">
        <f>IF(I191&lt;&gt;"",-2*$I191/'Elements and ions'!$F$4,"")</f>
        <v/>
      </c>
      <c r="Q191" s="80" t="str">
        <f t="shared" si="35"/>
        <v/>
      </c>
      <c r="R191" s="65" t="str">
        <f t="shared" si="36"/>
        <v/>
      </c>
      <c r="S191" s="81" t="str">
        <f t="shared" si="37"/>
        <v/>
      </c>
      <c r="T191" s="80" t="str">
        <f t="shared" si="38"/>
        <v/>
      </c>
      <c r="U191" s="65" t="str">
        <f t="shared" si="39"/>
        <v/>
      </c>
      <c r="V191" s="91" t="str">
        <f t="shared" si="40"/>
        <v/>
      </c>
      <c r="W191" s="70" t="str">
        <f t="shared" si="41"/>
        <v/>
      </c>
      <c r="X191" s="65" t="str">
        <f>IF(V191&lt;&gt;"",IF($V191&lt;&gt;0,(($V191+(0.5*T191))/100+1+$AE$9),-1),"")</f>
        <v/>
      </c>
      <c r="Y191" s="81" t="str">
        <f>IF(AND(W191&lt;&gt;-1,X191&lt;&gt;-1,W191&lt;&gt;"",X191&lt;&gt;"",AA191&lt;&gt;-1,Z191&lt;&gt;-1,AA191&lt;&gt;"",Z191&lt;&gt;""),(W191+X191)/2+(AA191-Z191)/(4*COS(0.5)*$AE$5),"")</f>
        <v/>
      </c>
      <c r="Z191" s="70" t="str">
        <f>IF(S191&lt;&gt;"",IF($S191&lt;&gt;"",((($S191*COS(0.5))*$AE$5)/100),-1),"")</f>
        <v/>
      </c>
      <c r="AA191" s="65" t="str">
        <f>IF(T191&lt;&gt;"",IF($T191&lt;&gt;"",((($T191*COS(0.5))*$AE$5)/100),-1),"")</f>
        <v/>
      </c>
      <c r="AB191" s="66" t="str">
        <f>IF(Y191&lt;&gt;"",2*COS(0.5)*$AE$5*(X191-W191)/2+(AA191+Z191)/2,"")</f>
        <v/>
      </c>
      <c r="AC191" s="5"/>
      <c r="AE191" s="51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</row>
    <row r="192" spans="1:55" x14ac:dyDescent="0.25">
      <c r="A192" s="37"/>
      <c r="B192" s="38"/>
      <c r="C192" s="37"/>
      <c r="D192" s="2"/>
      <c r="E192" s="2"/>
      <c r="F192" s="38"/>
      <c r="G192" s="37"/>
      <c r="H192" s="2"/>
      <c r="I192" s="3"/>
      <c r="J192" s="90" t="str">
        <f>IF(C192&lt;&gt;"",$C192/'Elements and ions'!$B$12,"")</f>
        <v/>
      </c>
      <c r="K192" s="65" t="str">
        <f>IF(D192&lt;&gt;"",$D192/'Elements and ions'!$B$20,"")</f>
        <v/>
      </c>
      <c r="L192" s="65" t="str">
        <f>IF(E192&lt;&gt;"",$E192/'Elements and ions'!$B$21*2,"")</f>
        <v/>
      </c>
      <c r="M192" s="81" t="str">
        <f>IF(F192&lt;&gt;"",$F192/'Elements and ions'!$B$13*2,"")</f>
        <v/>
      </c>
      <c r="N192" s="80" t="str">
        <f>IF(G192&lt;&gt;"",-$G192/'Elements and ions'!$F$3,"")</f>
        <v/>
      </c>
      <c r="O192" s="65" t="str">
        <f>IF(H192&lt;&gt;"",-$H192/'Elements and ions'!$B$18,"")</f>
        <v/>
      </c>
      <c r="P192" s="81" t="str">
        <f>IF(I192&lt;&gt;"",-2*$I192/'Elements and ions'!$F$4,"")</f>
        <v/>
      </c>
      <c r="Q192" s="80" t="str">
        <f t="shared" si="35"/>
        <v/>
      </c>
      <c r="R192" s="65" t="str">
        <f t="shared" si="36"/>
        <v/>
      </c>
      <c r="S192" s="81" t="str">
        <f t="shared" si="37"/>
        <v/>
      </c>
      <c r="T192" s="80" t="str">
        <f t="shared" si="38"/>
        <v/>
      </c>
      <c r="U192" s="65" t="str">
        <f t="shared" si="39"/>
        <v/>
      </c>
      <c r="V192" s="91" t="str">
        <f t="shared" si="40"/>
        <v/>
      </c>
      <c r="W192" s="70" t="str">
        <f t="shared" si="41"/>
        <v/>
      </c>
      <c r="X192" s="65" t="str">
        <f>IF(V192&lt;&gt;"",IF($V192&lt;&gt;0,(($V192+(0.5*T192))/100+1+$AE$9),-1),"")</f>
        <v/>
      </c>
      <c r="Y192" s="81" t="str">
        <f>IF(AND(W192&lt;&gt;-1,X192&lt;&gt;-1,W192&lt;&gt;"",X192&lt;&gt;"",AA192&lt;&gt;-1,Z192&lt;&gt;-1,AA192&lt;&gt;"",Z192&lt;&gt;""),(W192+X192)/2+(AA192-Z192)/(4*COS(0.5)*$AE$5),"")</f>
        <v/>
      </c>
      <c r="Z192" s="70" t="str">
        <f>IF(S192&lt;&gt;"",IF($S192&lt;&gt;"",((($S192*COS(0.5))*$AE$5)/100),-1),"")</f>
        <v/>
      </c>
      <c r="AA192" s="65" t="str">
        <f>IF(T192&lt;&gt;"",IF($T192&lt;&gt;"",((($T192*COS(0.5))*$AE$5)/100),-1),"")</f>
        <v/>
      </c>
      <c r="AB192" s="66" t="str">
        <f>IF(Y192&lt;&gt;"",2*COS(0.5)*$AE$5*(X192-W192)/2+(AA192+Z192)/2,"")</f>
        <v/>
      </c>
      <c r="AC192" s="5"/>
      <c r="AE192" s="51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</row>
    <row r="193" spans="1:55" x14ac:dyDescent="0.25">
      <c r="A193" s="37"/>
      <c r="B193" s="38"/>
      <c r="C193" s="37"/>
      <c r="D193" s="2"/>
      <c r="E193" s="2"/>
      <c r="F193" s="38"/>
      <c r="G193" s="37"/>
      <c r="H193" s="2"/>
      <c r="I193" s="3"/>
      <c r="J193" s="90" t="str">
        <f>IF(C193&lt;&gt;"",$C193/'Elements and ions'!$B$12,"")</f>
        <v/>
      </c>
      <c r="K193" s="65" t="str">
        <f>IF(D193&lt;&gt;"",$D193/'Elements and ions'!$B$20,"")</f>
        <v/>
      </c>
      <c r="L193" s="65" t="str">
        <f>IF(E193&lt;&gt;"",$E193/'Elements and ions'!$B$21*2,"")</f>
        <v/>
      </c>
      <c r="M193" s="81" t="str">
        <f>IF(F193&lt;&gt;"",$F193/'Elements and ions'!$B$13*2,"")</f>
        <v/>
      </c>
      <c r="N193" s="80" t="str">
        <f>IF(G193&lt;&gt;"",-$G193/'Elements and ions'!$F$3,"")</f>
        <v/>
      </c>
      <c r="O193" s="65" t="str">
        <f>IF(H193&lt;&gt;"",-$H193/'Elements and ions'!$B$18,"")</f>
        <v/>
      </c>
      <c r="P193" s="81" t="str">
        <f>IF(I193&lt;&gt;"",-2*$I193/'Elements and ions'!$F$4,"")</f>
        <v/>
      </c>
      <c r="Q193" s="80" t="str">
        <f t="shared" si="35"/>
        <v/>
      </c>
      <c r="R193" s="65" t="str">
        <f t="shared" si="36"/>
        <v/>
      </c>
      <c r="S193" s="81" t="str">
        <f t="shared" si="37"/>
        <v/>
      </c>
      <c r="T193" s="80" t="str">
        <f t="shared" si="38"/>
        <v/>
      </c>
      <c r="U193" s="65" t="str">
        <f t="shared" si="39"/>
        <v/>
      </c>
      <c r="V193" s="91" t="str">
        <f t="shared" si="40"/>
        <v/>
      </c>
      <c r="W193" s="70" t="str">
        <f t="shared" si="41"/>
        <v/>
      </c>
      <c r="X193" s="65" t="str">
        <f>IF(V193&lt;&gt;"",IF($V193&lt;&gt;0,(($V193+(0.5*T193))/100+1+$AE$9),-1),"")</f>
        <v/>
      </c>
      <c r="Y193" s="81" t="str">
        <f>IF(AND(W193&lt;&gt;-1,X193&lt;&gt;-1,W193&lt;&gt;"",X193&lt;&gt;"",AA193&lt;&gt;-1,Z193&lt;&gt;-1,AA193&lt;&gt;"",Z193&lt;&gt;""),(W193+X193)/2+(AA193-Z193)/(4*COS(0.5)*$AE$5),"")</f>
        <v/>
      </c>
      <c r="Z193" s="70" t="str">
        <f>IF(S193&lt;&gt;"",IF($S193&lt;&gt;"",((($S193*COS(0.5))*$AE$5)/100),-1),"")</f>
        <v/>
      </c>
      <c r="AA193" s="65" t="str">
        <f>IF(T193&lt;&gt;"",IF($T193&lt;&gt;"",((($T193*COS(0.5))*$AE$5)/100),-1),"")</f>
        <v/>
      </c>
      <c r="AB193" s="66" t="str">
        <f>IF(Y193&lt;&gt;"",2*COS(0.5)*$AE$5*(X193-W193)/2+(AA193+Z193)/2,"")</f>
        <v/>
      </c>
      <c r="AC193" s="5"/>
      <c r="AE193" s="51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</row>
    <row r="194" spans="1:55" x14ac:dyDescent="0.25">
      <c r="A194" s="37"/>
      <c r="B194" s="38"/>
      <c r="C194" s="37"/>
      <c r="D194" s="2"/>
      <c r="E194" s="2"/>
      <c r="F194" s="38"/>
      <c r="G194" s="37"/>
      <c r="H194" s="2"/>
      <c r="I194" s="3"/>
      <c r="J194" s="90" t="str">
        <f>IF(C194&lt;&gt;"",$C194/'Elements and ions'!$B$12,"")</f>
        <v/>
      </c>
      <c r="K194" s="65" t="str">
        <f>IF(D194&lt;&gt;"",$D194/'Elements and ions'!$B$20,"")</f>
        <v/>
      </c>
      <c r="L194" s="65" t="str">
        <f>IF(E194&lt;&gt;"",$E194/'Elements and ions'!$B$21*2,"")</f>
        <v/>
      </c>
      <c r="M194" s="81" t="str">
        <f>IF(F194&lt;&gt;"",$F194/'Elements and ions'!$B$13*2,"")</f>
        <v/>
      </c>
      <c r="N194" s="80" t="str">
        <f>IF(G194&lt;&gt;"",-$G194/'Elements and ions'!$F$3,"")</f>
        <v/>
      </c>
      <c r="O194" s="65" t="str">
        <f>IF(H194&lt;&gt;"",-$H194/'Elements and ions'!$B$18,"")</f>
        <v/>
      </c>
      <c r="P194" s="81" t="str">
        <f>IF(I194&lt;&gt;"",-2*$I194/'Elements and ions'!$F$4,"")</f>
        <v/>
      </c>
      <c r="Q194" s="80" t="str">
        <f t="shared" si="35"/>
        <v/>
      </c>
      <c r="R194" s="65" t="str">
        <f t="shared" si="36"/>
        <v/>
      </c>
      <c r="S194" s="81" t="str">
        <f t="shared" si="37"/>
        <v/>
      </c>
      <c r="T194" s="80" t="str">
        <f t="shared" si="38"/>
        <v/>
      </c>
      <c r="U194" s="65" t="str">
        <f t="shared" si="39"/>
        <v/>
      </c>
      <c r="V194" s="91" t="str">
        <f t="shared" si="40"/>
        <v/>
      </c>
      <c r="W194" s="70" t="str">
        <f t="shared" si="41"/>
        <v/>
      </c>
      <c r="X194" s="65" t="str">
        <f>IF(V194&lt;&gt;"",IF($V194&lt;&gt;0,(($V194+(0.5*T194))/100+1+$AE$9),-1),"")</f>
        <v/>
      </c>
      <c r="Y194" s="81" t="str">
        <f>IF(AND(W194&lt;&gt;-1,X194&lt;&gt;-1,W194&lt;&gt;"",X194&lt;&gt;"",AA194&lt;&gt;-1,Z194&lt;&gt;-1,AA194&lt;&gt;"",Z194&lt;&gt;""),(W194+X194)/2+(AA194-Z194)/(4*COS(0.5)*$AE$5),"")</f>
        <v/>
      </c>
      <c r="Z194" s="70" t="str">
        <f>IF(S194&lt;&gt;"",IF($S194&lt;&gt;"",((($S194*COS(0.5))*$AE$5)/100),-1),"")</f>
        <v/>
      </c>
      <c r="AA194" s="65" t="str">
        <f>IF(T194&lt;&gt;"",IF($T194&lt;&gt;"",((($T194*COS(0.5))*$AE$5)/100),-1),"")</f>
        <v/>
      </c>
      <c r="AB194" s="66" t="str">
        <f>IF(Y194&lt;&gt;"",2*COS(0.5)*$AE$5*(X194-W194)/2+(AA194+Z194)/2,"")</f>
        <v/>
      </c>
      <c r="AC194" s="5"/>
      <c r="AE194" s="51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</row>
    <row r="195" spans="1:55" x14ac:dyDescent="0.25">
      <c r="A195" s="37"/>
      <c r="B195" s="38"/>
      <c r="C195" s="37"/>
      <c r="D195" s="2"/>
      <c r="E195" s="2"/>
      <c r="F195" s="38"/>
      <c r="G195" s="37"/>
      <c r="H195" s="2"/>
      <c r="I195" s="3"/>
      <c r="J195" s="90" t="str">
        <f>IF(C195&lt;&gt;"",$C195/'Elements and ions'!$B$12,"")</f>
        <v/>
      </c>
      <c r="K195" s="65" t="str">
        <f>IF(D195&lt;&gt;"",$D195/'Elements and ions'!$B$20,"")</f>
        <v/>
      </c>
      <c r="L195" s="65" t="str">
        <f>IF(E195&lt;&gt;"",$E195/'Elements and ions'!$B$21*2,"")</f>
        <v/>
      </c>
      <c r="M195" s="81" t="str">
        <f>IF(F195&lt;&gt;"",$F195/'Elements and ions'!$B$13*2,"")</f>
        <v/>
      </c>
      <c r="N195" s="80" t="str">
        <f>IF(G195&lt;&gt;"",-$G195/'Elements and ions'!$F$3,"")</f>
        <v/>
      </c>
      <c r="O195" s="65" t="str">
        <f>IF(H195&lt;&gt;"",-$H195/'Elements and ions'!$B$18,"")</f>
        <v/>
      </c>
      <c r="P195" s="81" t="str">
        <f>IF(I195&lt;&gt;"",-2*$I195/'Elements and ions'!$F$4,"")</f>
        <v/>
      </c>
      <c r="Q195" s="80" t="str">
        <f t="shared" si="35"/>
        <v/>
      </c>
      <c r="R195" s="65" t="str">
        <f t="shared" si="36"/>
        <v/>
      </c>
      <c r="S195" s="81" t="str">
        <f t="shared" si="37"/>
        <v/>
      </c>
      <c r="T195" s="80" t="str">
        <f t="shared" si="38"/>
        <v/>
      </c>
      <c r="U195" s="65" t="str">
        <f t="shared" si="39"/>
        <v/>
      </c>
      <c r="V195" s="91" t="str">
        <f t="shared" si="40"/>
        <v/>
      </c>
      <c r="W195" s="70" t="str">
        <f t="shared" si="41"/>
        <v/>
      </c>
      <c r="X195" s="65" t="str">
        <f>IF(V195&lt;&gt;"",IF($V195&lt;&gt;0,(($V195+(0.5*T195))/100+1+$AE$9),-1),"")</f>
        <v/>
      </c>
      <c r="Y195" s="81" t="str">
        <f>IF(AND(W195&lt;&gt;-1,X195&lt;&gt;-1,W195&lt;&gt;"",X195&lt;&gt;"",AA195&lt;&gt;-1,Z195&lt;&gt;-1,AA195&lt;&gt;"",Z195&lt;&gt;""),(W195+X195)/2+(AA195-Z195)/(4*COS(0.5)*$AE$5),"")</f>
        <v/>
      </c>
      <c r="Z195" s="70" t="str">
        <f>IF(S195&lt;&gt;"",IF($S195&lt;&gt;"",((($S195*COS(0.5))*$AE$5)/100),-1),"")</f>
        <v/>
      </c>
      <c r="AA195" s="65" t="str">
        <f>IF(T195&lt;&gt;"",IF($T195&lt;&gt;"",((($T195*COS(0.5))*$AE$5)/100),-1),"")</f>
        <v/>
      </c>
      <c r="AB195" s="66" t="str">
        <f>IF(Y195&lt;&gt;"",2*COS(0.5)*$AE$5*(X195-W195)/2+(AA195+Z195)/2,"")</f>
        <v/>
      </c>
      <c r="AC195" s="5"/>
      <c r="AE195" s="51" t="s">
        <v>138</v>
      </c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</row>
    <row r="196" spans="1:55" x14ac:dyDescent="0.25">
      <c r="A196" s="37"/>
      <c r="B196" s="38"/>
      <c r="C196" s="37"/>
      <c r="D196" s="2"/>
      <c r="E196" s="2"/>
      <c r="F196" s="38"/>
      <c r="G196" s="37"/>
      <c r="H196" s="2"/>
      <c r="I196" s="3"/>
      <c r="J196" s="90" t="str">
        <f>IF(C196&lt;&gt;"",$C196/'Elements and ions'!$B$12,"")</f>
        <v/>
      </c>
      <c r="K196" s="65" t="str">
        <f>IF(D196&lt;&gt;"",$D196/'Elements and ions'!$B$20,"")</f>
        <v/>
      </c>
      <c r="L196" s="65" t="str">
        <f>IF(E196&lt;&gt;"",$E196/'Elements and ions'!$B$21*2,"")</f>
        <v/>
      </c>
      <c r="M196" s="81" t="str">
        <f>IF(F196&lt;&gt;"",$F196/'Elements and ions'!$B$13*2,"")</f>
        <v/>
      </c>
      <c r="N196" s="80" t="str">
        <f>IF(G196&lt;&gt;"",-$G196/'Elements and ions'!$F$3,"")</f>
        <v/>
      </c>
      <c r="O196" s="65" t="str">
        <f>IF(H196&lt;&gt;"",-$H196/'Elements and ions'!$B$18,"")</f>
        <v/>
      </c>
      <c r="P196" s="81" t="str">
        <f>IF(I196&lt;&gt;"",-2*$I196/'Elements and ions'!$F$4,"")</f>
        <v/>
      </c>
      <c r="Q196" s="80" t="str">
        <f t="shared" si="35"/>
        <v/>
      </c>
      <c r="R196" s="65" t="str">
        <f t="shared" si="36"/>
        <v/>
      </c>
      <c r="S196" s="81" t="str">
        <f t="shared" si="37"/>
        <v/>
      </c>
      <c r="T196" s="80" t="str">
        <f t="shared" si="38"/>
        <v/>
      </c>
      <c r="U196" s="65" t="str">
        <f t="shared" si="39"/>
        <v/>
      </c>
      <c r="V196" s="91" t="str">
        <f t="shared" si="40"/>
        <v/>
      </c>
      <c r="W196" s="70" t="str">
        <f t="shared" si="41"/>
        <v/>
      </c>
      <c r="X196" s="65" t="str">
        <f>IF(V196&lt;&gt;"",IF($V196&lt;&gt;0,(($V196+(0.5*T196))/100+1+$AE$9),-1),"")</f>
        <v/>
      </c>
      <c r="Y196" s="81" t="str">
        <f>IF(AND(W196&lt;&gt;-1,X196&lt;&gt;-1,W196&lt;&gt;"",X196&lt;&gt;"",AA196&lt;&gt;-1,Z196&lt;&gt;-1,AA196&lt;&gt;"",Z196&lt;&gt;""),(W196+X196)/2+(AA196-Z196)/(4*COS(0.5)*$AE$5),"")</f>
        <v/>
      </c>
      <c r="Z196" s="70" t="str">
        <f>IF(S196&lt;&gt;"",IF($S196&lt;&gt;"",((($S196*COS(0.5))*$AE$5)/100),-1),"")</f>
        <v/>
      </c>
      <c r="AA196" s="65" t="str">
        <f>IF(T196&lt;&gt;"",IF($T196&lt;&gt;"",((($T196*COS(0.5))*$AE$5)/100),-1),"")</f>
        <v/>
      </c>
      <c r="AB196" s="66" t="str">
        <f>IF(Y196&lt;&gt;"",2*COS(0.5)*$AE$5*(X196-W196)/2+(AA196+Z196)/2,"")</f>
        <v/>
      </c>
      <c r="AC196" s="5"/>
      <c r="AE196" s="51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</row>
    <row r="197" spans="1:55" x14ac:dyDescent="0.25">
      <c r="A197" s="37"/>
      <c r="B197" s="38"/>
      <c r="C197" s="37"/>
      <c r="D197" s="2"/>
      <c r="E197" s="2"/>
      <c r="F197" s="38"/>
      <c r="G197" s="37"/>
      <c r="H197" s="2"/>
      <c r="I197" s="3"/>
      <c r="J197" s="90" t="str">
        <f>IF(C197&lt;&gt;"",$C197/'Elements and ions'!$B$12,"")</f>
        <v/>
      </c>
      <c r="K197" s="65" t="str">
        <f>IF(D197&lt;&gt;"",$D197/'Elements and ions'!$B$20,"")</f>
        <v/>
      </c>
      <c r="L197" s="65" t="str">
        <f>IF(E197&lt;&gt;"",$E197/'Elements and ions'!$B$21*2,"")</f>
        <v/>
      </c>
      <c r="M197" s="81" t="str">
        <f>IF(F197&lt;&gt;"",$F197/'Elements and ions'!$B$13*2,"")</f>
        <v/>
      </c>
      <c r="N197" s="80" t="str">
        <f>IF(G197&lt;&gt;"",-$G197/'Elements and ions'!$F$3,"")</f>
        <v/>
      </c>
      <c r="O197" s="65" t="str">
        <f>IF(H197&lt;&gt;"",-$H197/'Elements and ions'!$B$18,"")</f>
        <v/>
      </c>
      <c r="P197" s="81" t="str">
        <f>IF(I197&lt;&gt;"",-2*$I197/'Elements and ions'!$F$4,"")</f>
        <v/>
      </c>
      <c r="Q197" s="80" t="str">
        <f t="shared" ref="Q197:Q204" si="42">IF(OR(J197&lt;&gt;"",K197&lt;&gt;""),(J197+K197)/(J197+K197+L197+M197)*100,"")</f>
        <v/>
      </c>
      <c r="R197" s="65" t="str">
        <f t="shared" ref="R197:R204" si="43">IF(L197&lt;&gt;"",L197/(J197+K197+L197+M197)*100,"")</f>
        <v/>
      </c>
      <c r="S197" s="81" t="str">
        <f t="shared" ref="S197:S204" si="44">IF(M197&lt;&gt;"",M197/(K197+L197+M197+J197)*100,"")</f>
        <v/>
      </c>
      <c r="T197" s="80" t="str">
        <f t="shared" ref="T197:T204" si="45">IF(N197&lt;&gt;"",N197/(N197+O197+P197)*100,"")</f>
        <v/>
      </c>
      <c r="U197" s="65" t="str">
        <f t="shared" ref="U197:U204" si="46">IF(O197&lt;&gt;"",O197/(O197+P197+N197)*100,"")</f>
        <v/>
      </c>
      <c r="V197" s="91" t="str">
        <f t="shared" ref="V197:V204" si="47">IF(P197&lt;&gt;"",P197/(P197+N197+O197)*100,"")</f>
        <v/>
      </c>
      <c r="W197" s="70" t="str">
        <f t="shared" ref="W197:W204" si="48">IF(Q197&lt;&gt;"",IF(Q197&lt;&gt;0,((Q197+(0.5*S197))/100),-1),"")</f>
        <v/>
      </c>
      <c r="X197" s="65" t="str">
        <f>IF(V197&lt;&gt;"",IF($V197&lt;&gt;0,(($V197+(0.5*T197))/100+1+$AE$9),-1),"")</f>
        <v/>
      </c>
      <c r="Y197" s="81" t="str">
        <f>IF(AND(W197&lt;&gt;-1,X197&lt;&gt;-1,W197&lt;&gt;"",X197&lt;&gt;"",AA197&lt;&gt;-1,Z197&lt;&gt;-1,AA197&lt;&gt;"",Z197&lt;&gt;""),(W197+X197)/2+(AA197-Z197)/(4*COS(0.5)*$AE$5),"")</f>
        <v/>
      </c>
      <c r="Z197" s="70" t="str">
        <f>IF(S197&lt;&gt;"",IF($S197&lt;&gt;"",((($S197*COS(0.5))*$AE$5)/100),-1),"")</f>
        <v/>
      </c>
      <c r="AA197" s="65" t="str">
        <f>IF(T197&lt;&gt;"",IF($T197&lt;&gt;"",((($T197*COS(0.5))*$AE$5)/100),-1),"")</f>
        <v/>
      </c>
      <c r="AB197" s="66" t="str">
        <f>IF(Y197&lt;&gt;"",2*COS(0.5)*$AE$5*(X197-W197)/2+(AA197+Z197)/2,"")</f>
        <v/>
      </c>
      <c r="AC197" s="5"/>
      <c r="AE197" s="51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</row>
    <row r="198" spans="1:55" x14ac:dyDescent="0.25">
      <c r="A198" s="37"/>
      <c r="B198" s="38"/>
      <c r="C198" s="37"/>
      <c r="D198" s="2"/>
      <c r="E198" s="2"/>
      <c r="F198" s="38"/>
      <c r="G198" s="37"/>
      <c r="H198" s="2"/>
      <c r="I198" s="3"/>
      <c r="J198" s="90" t="str">
        <f>IF(C198&lt;&gt;"",$C198/'Elements and ions'!$B$12,"")</f>
        <v/>
      </c>
      <c r="K198" s="65" t="str">
        <f>IF(D198&lt;&gt;"",$D198/'Elements and ions'!$B$20,"")</f>
        <v/>
      </c>
      <c r="L198" s="65" t="str">
        <f>IF(E198&lt;&gt;"",$E198/'Elements and ions'!$B$21*2,"")</f>
        <v/>
      </c>
      <c r="M198" s="81" t="str">
        <f>IF(F198&lt;&gt;"",$F198/'Elements and ions'!$B$13*2,"")</f>
        <v/>
      </c>
      <c r="N198" s="80" t="str">
        <f>IF(G198&lt;&gt;"",-$G198/'Elements and ions'!$F$3,"")</f>
        <v/>
      </c>
      <c r="O198" s="65" t="str">
        <f>IF(H198&lt;&gt;"",-$H198/'Elements and ions'!$B$18,"")</f>
        <v/>
      </c>
      <c r="P198" s="81" t="str">
        <f>IF(I198&lt;&gt;"",-2*$I198/'Elements and ions'!$F$4,"")</f>
        <v/>
      </c>
      <c r="Q198" s="80" t="str">
        <f t="shared" si="42"/>
        <v/>
      </c>
      <c r="R198" s="65" t="str">
        <f t="shared" si="43"/>
        <v/>
      </c>
      <c r="S198" s="81" t="str">
        <f t="shared" si="44"/>
        <v/>
      </c>
      <c r="T198" s="80" t="str">
        <f t="shared" si="45"/>
        <v/>
      </c>
      <c r="U198" s="65" t="str">
        <f t="shared" si="46"/>
        <v/>
      </c>
      <c r="V198" s="91" t="str">
        <f t="shared" si="47"/>
        <v/>
      </c>
      <c r="W198" s="70" t="str">
        <f t="shared" si="48"/>
        <v/>
      </c>
      <c r="X198" s="65" t="str">
        <f>IF(V198&lt;&gt;"",IF($V198&lt;&gt;0,(($V198+(0.5*T198))/100+1+$AE$9),-1),"")</f>
        <v/>
      </c>
      <c r="Y198" s="81" t="str">
        <f>IF(AND(W198&lt;&gt;-1,X198&lt;&gt;-1,W198&lt;&gt;"",X198&lt;&gt;"",AA198&lt;&gt;-1,Z198&lt;&gt;-1,AA198&lt;&gt;"",Z198&lt;&gt;""),(W198+X198)/2+(AA198-Z198)/(4*COS(0.5)*$AE$5),"")</f>
        <v/>
      </c>
      <c r="Z198" s="70" t="str">
        <f>IF(S198&lt;&gt;"",IF($S198&lt;&gt;"",((($S198*COS(0.5))*$AE$5)/100),-1),"")</f>
        <v/>
      </c>
      <c r="AA198" s="65" t="str">
        <f>IF(T198&lt;&gt;"",IF($T198&lt;&gt;"",((($T198*COS(0.5))*$AE$5)/100),-1),"")</f>
        <v/>
      </c>
      <c r="AB198" s="66" t="str">
        <f>IF(Y198&lt;&gt;"",2*COS(0.5)*$AE$5*(X198-W198)/2+(AA198+Z198)/2,"")</f>
        <v/>
      </c>
      <c r="AC198" s="5"/>
      <c r="AE198" s="51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</row>
    <row r="199" spans="1:55" x14ac:dyDescent="0.25">
      <c r="A199" s="37"/>
      <c r="B199" s="38"/>
      <c r="C199" s="37"/>
      <c r="D199" s="2"/>
      <c r="E199" s="2"/>
      <c r="F199" s="38"/>
      <c r="G199" s="37"/>
      <c r="H199" s="2"/>
      <c r="I199" s="3"/>
      <c r="J199" s="90" t="str">
        <f>IF(C199&lt;&gt;"",$C199/'Elements and ions'!$B$12,"")</f>
        <v/>
      </c>
      <c r="K199" s="65" t="str">
        <f>IF(D199&lt;&gt;"",$D199/'Elements and ions'!$B$20,"")</f>
        <v/>
      </c>
      <c r="L199" s="65" t="str">
        <f>IF(E199&lt;&gt;"",$E199/'Elements and ions'!$B$21*2,"")</f>
        <v/>
      </c>
      <c r="M199" s="81" t="str">
        <f>IF(F199&lt;&gt;"",$F199/'Elements and ions'!$B$13*2,"")</f>
        <v/>
      </c>
      <c r="N199" s="80" t="str">
        <f>IF(G199&lt;&gt;"",-$G199/'Elements and ions'!$F$3,"")</f>
        <v/>
      </c>
      <c r="O199" s="65" t="str">
        <f>IF(H199&lt;&gt;"",-$H199/'Elements and ions'!$B$18,"")</f>
        <v/>
      </c>
      <c r="P199" s="81" t="str">
        <f>IF(I199&lt;&gt;"",-2*$I199/'Elements and ions'!$F$4,"")</f>
        <v/>
      </c>
      <c r="Q199" s="80" t="str">
        <f t="shared" si="42"/>
        <v/>
      </c>
      <c r="R199" s="65" t="str">
        <f t="shared" si="43"/>
        <v/>
      </c>
      <c r="S199" s="81" t="str">
        <f t="shared" si="44"/>
        <v/>
      </c>
      <c r="T199" s="80" t="str">
        <f t="shared" si="45"/>
        <v/>
      </c>
      <c r="U199" s="65" t="str">
        <f t="shared" si="46"/>
        <v/>
      </c>
      <c r="V199" s="91" t="str">
        <f t="shared" si="47"/>
        <v/>
      </c>
      <c r="W199" s="70" t="str">
        <f t="shared" si="48"/>
        <v/>
      </c>
      <c r="X199" s="65" t="str">
        <f>IF(V199&lt;&gt;"",IF($V199&lt;&gt;0,(($V199+(0.5*T199))/100+1+$AE$9),-1),"")</f>
        <v/>
      </c>
      <c r="Y199" s="81" t="str">
        <f>IF(AND(W199&lt;&gt;-1,X199&lt;&gt;-1,W199&lt;&gt;"",X199&lt;&gt;"",AA199&lt;&gt;-1,Z199&lt;&gt;-1,AA199&lt;&gt;"",Z199&lt;&gt;""),(W199+X199)/2+(AA199-Z199)/(4*COS(0.5)*$AE$5),"")</f>
        <v/>
      </c>
      <c r="Z199" s="70" t="str">
        <f>IF(S199&lt;&gt;"",IF($S199&lt;&gt;"",((($S199*COS(0.5))*$AE$5)/100),-1),"")</f>
        <v/>
      </c>
      <c r="AA199" s="65" t="str">
        <f>IF(T199&lt;&gt;"",IF($T199&lt;&gt;"",((($T199*COS(0.5))*$AE$5)/100),-1),"")</f>
        <v/>
      </c>
      <c r="AB199" s="66" t="str">
        <f>IF(Y199&lt;&gt;"",2*COS(0.5)*$AE$5*(X199-W199)/2+(AA199+Z199)/2,"")</f>
        <v/>
      </c>
      <c r="AC199" s="5"/>
      <c r="AE199" s="51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</row>
    <row r="200" spans="1:55" x14ac:dyDescent="0.25">
      <c r="A200" s="37"/>
      <c r="B200" s="38"/>
      <c r="C200" s="37"/>
      <c r="D200" s="2"/>
      <c r="E200" s="2"/>
      <c r="F200" s="38"/>
      <c r="G200" s="37"/>
      <c r="H200" s="2"/>
      <c r="I200" s="3"/>
      <c r="J200" s="90" t="str">
        <f>IF(C200&lt;&gt;"",$C200/'Elements and ions'!$B$12,"")</f>
        <v/>
      </c>
      <c r="K200" s="65" t="str">
        <f>IF(D200&lt;&gt;"",$D200/'Elements and ions'!$B$20,"")</f>
        <v/>
      </c>
      <c r="L200" s="65" t="str">
        <f>IF(E200&lt;&gt;"",$E200/'Elements and ions'!$B$21*2,"")</f>
        <v/>
      </c>
      <c r="M200" s="81" t="str">
        <f>IF(F200&lt;&gt;"",$F200/'Elements and ions'!$B$13*2,"")</f>
        <v/>
      </c>
      <c r="N200" s="80" t="str">
        <f>IF(G200&lt;&gt;"",-$G200/'Elements and ions'!$F$3,"")</f>
        <v/>
      </c>
      <c r="O200" s="65" t="str">
        <f>IF(H200&lt;&gt;"",-$H200/'Elements and ions'!$B$18,"")</f>
        <v/>
      </c>
      <c r="P200" s="81" t="str">
        <f>IF(I200&lt;&gt;"",-2*$I200/'Elements and ions'!$F$4,"")</f>
        <v/>
      </c>
      <c r="Q200" s="80" t="str">
        <f t="shared" si="42"/>
        <v/>
      </c>
      <c r="R200" s="65" t="str">
        <f t="shared" si="43"/>
        <v/>
      </c>
      <c r="S200" s="81" t="str">
        <f t="shared" si="44"/>
        <v/>
      </c>
      <c r="T200" s="80" t="str">
        <f t="shared" si="45"/>
        <v/>
      </c>
      <c r="U200" s="65" t="str">
        <f t="shared" si="46"/>
        <v/>
      </c>
      <c r="V200" s="91" t="str">
        <f t="shared" si="47"/>
        <v/>
      </c>
      <c r="W200" s="70" t="str">
        <f t="shared" si="48"/>
        <v/>
      </c>
      <c r="X200" s="65" t="str">
        <f>IF(V200&lt;&gt;"",IF($V200&lt;&gt;0,(($V200+(0.5*T200))/100+1+$AE$9),-1),"")</f>
        <v/>
      </c>
      <c r="Y200" s="81" t="str">
        <f>IF(AND(W200&lt;&gt;-1,X200&lt;&gt;-1,W200&lt;&gt;"",X200&lt;&gt;"",AA200&lt;&gt;-1,Z200&lt;&gt;-1,AA200&lt;&gt;"",Z200&lt;&gt;""),(W200+X200)/2+(AA200-Z200)/(4*COS(0.5)*$AE$5),"")</f>
        <v/>
      </c>
      <c r="Z200" s="70" t="str">
        <f>IF(S200&lt;&gt;"",IF($S200&lt;&gt;"",((($S200*COS(0.5))*$AE$5)/100),-1),"")</f>
        <v/>
      </c>
      <c r="AA200" s="65" t="str">
        <f>IF(T200&lt;&gt;"",IF($T200&lt;&gt;"",((($T200*COS(0.5))*$AE$5)/100),-1),"")</f>
        <v/>
      </c>
      <c r="AB200" s="66" t="str">
        <f>IF(Y200&lt;&gt;"",2*COS(0.5)*$AE$5*(X200-W200)/2+(AA200+Z200)/2,"")</f>
        <v/>
      </c>
      <c r="AC200" s="5"/>
      <c r="AE200" s="51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</row>
    <row r="201" spans="1:55" x14ac:dyDescent="0.25">
      <c r="A201" s="37"/>
      <c r="B201" s="38"/>
      <c r="C201" s="37"/>
      <c r="D201" s="2"/>
      <c r="E201" s="2"/>
      <c r="F201" s="38"/>
      <c r="G201" s="37"/>
      <c r="H201" s="2"/>
      <c r="I201" s="3"/>
      <c r="J201" s="90" t="str">
        <f>IF(C201&lt;&gt;"",$C201/'Elements and ions'!$B$12,"")</f>
        <v/>
      </c>
      <c r="K201" s="65" t="str">
        <f>IF(D201&lt;&gt;"",$D201/'Elements and ions'!$B$20,"")</f>
        <v/>
      </c>
      <c r="L201" s="65" t="str">
        <f>IF(E201&lt;&gt;"",$E201/'Elements and ions'!$B$21*2,"")</f>
        <v/>
      </c>
      <c r="M201" s="81" t="str">
        <f>IF(F201&lt;&gt;"",$F201/'Elements and ions'!$B$13*2,"")</f>
        <v/>
      </c>
      <c r="N201" s="80" t="str">
        <f>IF(G201&lt;&gt;"",-$G201/'Elements and ions'!$F$3,"")</f>
        <v/>
      </c>
      <c r="O201" s="65" t="str">
        <f>IF(H201&lt;&gt;"",-$H201/'Elements and ions'!$B$18,"")</f>
        <v/>
      </c>
      <c r="P201" s="81" t="str">
        <f>IF(I201&lt;&gt;"",-2*$I201/'Elements and ions'!$F$4,"")</f>
        <v/>
      </c>
      <c r="Q201" s="80" t="str">
        <f t="shared" si="42"/>
        <v/>
      </c>
      <c r="R201" s="65" t="str">
        <f t="shared" si="43"/>
        <v/>
      </c>
      <c r="S201" s="81" t="str">
        <f t="shared" si="44"/>
        <v/>
      </c>
      <c r="T201" s="80" t="str">
        <f t="shared" si="45"/>
        <v/>
      </c>
      <c r="U201" s="65" t="str">
        <f t="shared" si="46"/>
        <v/>
      </c>
      <c r="V201" s="91" t="str">
        <f t="shared" si="47"/>
        <v/>
      </c>
      <c r="W201" s="70" t="str">
        <f t="shared" si="48"/>
        <v/>
      </c>
      <c r="X201" s="65" t="str">
        <f>IF(V201&lt;&gt;"",IF($V201&lt;&gt;0,(($V201+(0.5*T201))/100+1+$AE$9),-1),"")</f>
        <v/>
      </c>
      <c r="Y201" s="81" t="str">
        <f>IF(AND(W201&lt;&gt;-1,X201&lt;&gt;-1,W201&lt;&gt;"",X201&lt;&gt;"",AA201&lt;&gt;-1,Z201&lt;&gt;-1,AA201&lt;&gt;"",Z201&lt;&gt;""),(W201+X201)/2+(AA201-Z201)/(4*COS(0.5)*$AE$5),"")</f>
        <v/>
      </c>
      <c r="Z201" s="70" t="str">
        <f>IF(S201&lt;&gt;"",IF($S201&lt;&gt;"",((($S201*COS(0.5))*$AE$5)/100),-1),"")</f>
        <v/>
      </c>
      <c r="AA201" s="65" t="str">
        <f>IF(T201&lt;&gt;"",IF($T201&lt;&gt;"",((($T201*COS(0.5))*$AE$5)/100),-1),"")</f>
        <v/>
      </c>
      <c r="AB201" s="66" t="str">
        <f>IF(Y201&lt;&gt;"",2*COS(0.5)*$AE$5*(X201-W201)/2+(AA201+Z201)/2,"")</f>
        <v/>
      </c>
      <c r="AC201" s="5"/>
      <c r="AE201" s="51"/>
      <c r="AI201" s="8"/>
      <c r="AJ201" s="7"/>
      <c r="AK201" s="7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</row>
    <row r="202" spans="1:55" x14ac:dyDescent="0.25">
      <c r="A202" s="37"/>
      <c r="B202" s="38"/>
      <c r="C202" s="37"/>
      <c r="D202" s="2"/>
      <c r="E202" s="2"/>
      <c r="F202" s="38"/>
      <c r="G202" s="37"/>
      <c r="H202" s="2"/>
      <c r="I202" s="3"/>
      <c r="J202" s="90" t="str">
        <f>IF(C202&lt;&gt;"",$C202/'Elements and ions'!$B$12,"")</f>
        <v/>
      </c>
      <c r="K202" s="65" t="str">
        <f>IF(D202&lt;&gt;"",$D202/'Elements and ions'!$B$20,"")</f>
        <v/>
      </c>
      <c r="L202" s="65" t="str">
        <f>IF(E202&lt;&gt;"",$E202/'Elements and ions'!$B$21*2,"")</f>
        <v/>
      </c>
      <c r="M202" s="81" t="str">
        <f>IF(F202&lt;&gt;"",$F202/'Elements and ions'!$B$13*2,"")</f>
        <v/>
      </c>
      <c r="N202" s="80" t="str">
        <f>IF(G202&lt;&gt;"",-$G202/'Elements and ions'!$F$3,"")</f>
        <v/>
      </c>
      <c r="O202" s="65" t="str">
        <f>IF(H202&lt;&gt;"",-$H202/'Elements and ions'!$B$18,"")</f>
        <v/>
      </c>
      <c r="P202" s="81" t="str">
        <f>IF(I202&lt;&gt;"",-2*$I202/'Elements and ions'!$F$4,"")</f>
        <v/>
      </c>
      <c r="Q202" s="80" t="str">
        <f t="shared" si="42"/>
        <v/>
      </c>
      <c r="R202" s="65" t="str">
        <f t="shared" si="43"/>
        <v/>
      </c>
      <c r="S202" s="81" t="str">
        <f t="shared" si="44"/>
        <v/>
      </c>
      <c r="T202" s="80" t="str">
        <f t="shared" si="45"/>
        <v/>
      </c>
      <c r="U202" s="65" t="str">
        <f t="shared" si="46"/>
        <v/>
      </c>
      <c r="V202" s="91" t="str">
        <f t="shared" si="47"/>
        <v/>
      </c>
      <c r="W202" s="70" t="str">
        <f t="shared" si="48"/>
        <v/>
      </c>
      <c r="X202" s="65" t="str">
        <f>IF(V202&lt;&gt;"",IF($V202&lt;&gt;0,(($V202+(0.5*T202))/100+1+$AE$9),-1),"")</f>
        <v/>
      </c>
      <c r="Y202" s="81" t="str">
        <f>IF(AND(W202&lt;&gt;-1,X202&lt;&gt;-1,W202&lt;&gt;"",X202&lt;&gt;"",AA202&lt;&gt;-1,Z202&lt;&gt;-1,AA202&lt;&gt;"",Z202&lt;&gt;""),(W202+X202)/2+(AA202-Z202)/(4*COS(0.5)*$AE$5),"")</f>
        <v/>
      </c>
      <c r="Z202" s="70" t="str">
        <f>IF(S202&lt;&gt;"",IF($S202&lt;&gt;"",((($S202*COS(0.5))*$AE$5)/100),-1),"")</f>
        <v/>
      </c>
      <c r="AA202" s="65" t="str">
        <f>IF(T202&lt;&gt;"",IF($T202&lt;&gt;"",((($T202*COS(0.5))*$AE$5)/100),-1),"")</f>
        <v/>
      </c>
      <c r="AB202" s="66" t="str">
        <f>IF(Y202&lt;&gt;"",2*COS(0.5)*$AE$5*(X202-W202)/2+(AA202+Z202)/2,"")</f>
        <v/>
      </c>
      <c r="AC202" s="5"/>
      <c r="AE202" s="51"/>
      <c r="AI202" s="8"/>
      <c r="AJ202" s="7"/>
      <c r="AK202" s="7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</row>
    <row r="203" spans="1:55" x14ac:dyDescent="0.25">
      <c r="A203" s="37"/>
      <c r="B203" s="38"/>
      <c r="C203" s="37"/>
      <c r="D203" s="2"/>
      <c r="E203" s="2"/>
      <c r="F203" s="38"/>
      <c r="G203" s="37"/>
      <c r="H203" s="2"/>
      <c r="I203" s="3"/>
      <c r="J203" s="90" t="str">
        <f>IF(C203&lt;&gt;"",$C203/'Elements and ions'!$B$12,"")</f>
        <v/>
      </c>
      <c r="K203" s="65" t="str">
        <f>IF(D203&lt;&gt;"",$D203/'Elements and ions'!$B$20,"")</f>
        <v/>
      </c>
      <c r="L203" s="65" t="str">
        <f>IF(E203&lt;&gt;"",$E203/'Elements and ions'!$B$21*2,"")</f>
        <v/>
      </c>
      <c r="M203" s="81" t="str">
        <f>IF(F203&lt;&gt;"",$F203/'Elements and ions'!$B$13*2,"")</f>
        <v/>
      </c>
      <c r="N203" s="80" t="str">
        <f>IF(G203&lt;&gt;"",-$G203/'Elements and ions'!$F$3,"")</f>
        <v/>
      </c>
      <c r="O203" s="65" t="str">
        <f>IF(H203&lt;&gt;"",-$H203/'Elements and ions'!$B$18,"")</f>
        <v/>
      </c>
      <c r="P203" s="81" t="str">
        <f>IF(I203&lt;&gt;"",-2*$I203/'Elements and ions'!$F$4,"")</f>
        <v/>
      </c>
      <c r="Q203" s="80" t="str">
        <f t="shared" si="42"/>
        <v/>
      </c>
      <c r="R203" s="65" t="str">
        <f t="shared" si="43"/>
        <v/>
      </c>
      <c r="S203" s="81" t="str">
        <f t="shared" si="44"/>
        <v/>
      </c>
      <c r="T203" s="80" t="str">
        <f t="shared" si="45"/>
        <v/>
      </c>
      <c r="U203" s="65" t="str">
        <f t="shared" si="46"/>
        <v/>
      </c>
      <c r="V203" s="91" t="str">
        <f t="shared" si="47"/>
        <v/>
      </c>
      <c r="W203" s="70" t="str">
        <f t="shared" si="48"/>
        <v/>
      </c>
      <c r="X203" s="65" t="str">
        <f>IF(V203&lt;&gt;"",IF($V203&lt;&gt;0,(($V203+(0.5*T203))/100+1+$AE$9),-1),"")</f>
        <v/>
      </c>
      <c r="Y203" s="81" t="str">
        <f>IF(AND(W203&lt;&gt;-1,X203&lt;&gt;-1,W203&lt;&gt;"",X203&lt;&gt;"",AA203&lt;&gt;-1,Z203&lt;&gt;-1,AA203&lt;&gt;"",Z203&lt;&gt;""),(W203+X203)/2+(AA203-Z203)/(4*COS(0.5)*$AE$5),"")</f>
        <v/>
      </c>
      <c r="Z203" s="70" t="str">
        <f>IF(S203&lt;&gt;"",IF($S203&lt;&gt;"",((($S203*COS(0.5))*$AE$5)/100),-1),"")</f>
        <v/>
      </c>
      <c r="AA203" s="65" t="str">
        <f>IF(T203&lt;&gt;"",IF($T203&lt;&gt;"",((($T203*COS(0.5))*$AE$5)/100),-1),"")</f>
        <v/>
      </c>
      <c r="AB203" s="66" t="str">
        <f>IF(Y203&lt;&gt;"",2*COS(0.5)*$AE$5*(X203-W203)/2+(AA203+Z203)/2,"")</f>
        <v/>
      </c>
      <c r="AC203" s="5"/>
      <c r="AE203" s="51"/>
      <c r="AI203" s="8"/>
      <c r="AJ203" s="7"/>
      <c r="AK203" s="7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</row>
    <row r="204" spans="1:55" x14ac:dyDescent="0.25">
      <c r="A204" s="39"/>
      <c r="B204" s="40"/>
      <c r="C204" s="39"/>
      <c r="D204" s="41"/>
      <c r="E204" s="41"/>
      <c r="F204" s="40"/>
      <c r="G204" s="39"/>
      <c r="H204" s="41"/>
      <c r="I204" s="110"/>
      <c r="J204" s="116" t="str">
        <f>IF(C204&lt;&gt;"",$C204/'Elements and ions'!$B$12,"")</f>
        <v/>
      </c>
      <c r="K204" s="83" t="str">
        <f>IF(D204&lt;&gt;"",$D204/'Elements and ions'!$B$20,"")</f>
        <v/>
      </c>
      <c r="L204" s="83" t="str">
        <f>IF(E204&lt;&gt;"",$E204/'Elements and ions'!$B$21*2,"")</f>
        <v/>
      </c>
      <c r="M204" s="84" t="str">
        <f>IF(F204&lt;&gt;"",$F204/'Elements and ions'!$B$13*2,"")</f>
        <v/>
      </c>
      <c r="N204" s="82" t="str">
        <f>IF(G204&lt;&gt;"",-$G204/'Elements and ions'!$F$3,"")</f>
        <v/>
      </c>
      <c r="O204" s="83" t="str">
        <f>IF(H204&lt;&gt;"",-$H204/'Elements and ions'!$B$18,"")</f>
        <v/>
      </c>
      <c r="P204" s="84" t="str">
        <f>IF(I204&lt;&gt;"",-2*$I204/'Elements and ions'!$F$4,"")</f>
        <v/>
      </c>
      <c r="Q204" s="82" t="str">
        <f t="shared" si="42"/>
        <v/>
      </c>
      <c r="R204" s="83" t="str">
        <f t="shared" si="43"/>
        <v/>
      </c>
      <c r="S204" s="84" t="str">
        <f t="shared" si="44"/>
        <v/>
      </c>
      <c r="T204" s="82" t="str">
        <f t="shared" si="45"/>
        <v/>
      </c>
      <c r="U204" s="83" t="str">
        <f t="shared" si="46"/>
        <v/>
      </c>
      <c r="V204" s="117" t="str">
        <f t="shared" si="47"/>
        <v/>
      </c>
      <c r="W204" s="107" t="str">
        <f t="shared" si="48"/>
        <v/>
      </c>
      <c r="X204" s="83" t="str">
        <f>IF(V204&lt;&gt;"",IF($V204&lt;&gt;0,(($V204+(0.5*T204))/100+1+$AE$9),-1),"")</f>
        <v/>
      </c>
      <c r="Y204" s="84" t="str">
        <f>IF(AND(W204&lt;&gt;-1,X204&lt;&gt;-1,W204&lt;&gt;"",X204&lt;&gt;"",AA204&lt;&gt;-1,Z204&lt;&gt;-1,AA204&lt;&gt;"",Z204&lt;&gt;""),(W204+X204)/2+(AA204-Z204)/(4*COS(0.5)*$AE$5),"")</f>
        <v/>
      </c>
      <c r="Z204" s="71" t="str">
        <f>IF(S204&lt;&gt;"",IF($S204&lt;&gt;"",((($S204*COS(0.5))*$AE$5)/100),-1),"")</f>
        <v/>
      </c>
      <c r="AA204" s="67" t="str">
        <f>IF(T204&lt;&gt;"",IF($T204&lt;&gt;"",((($T204*COS(0.5))*$AE$5)/100),-1),"")</f>
        <v/>
      </c>
      <c r="AB204" s="68" t="str">
        <f>IF(Y204&lt;&gt;"",2*COS(0.5)*$AE$5*(X204-W204)/2+(AA204+Z204)/2,"")</f>
        <v/>
      </c>
      <c r="AC204" s="5"/>
      <c r="AE204" s="51"/>
      <c r="AI204" s="8"/>
      <c r="AJ204" s="7"/>
      <c r="AK204" s="7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</row>
    <row r="205" spans="1:55" x14ac:dyDescent="0.25">
      <c r="Y205" s="5"/>
      <c r="Z205" s="5"/>
      <c r="AA205" s="5"/>
      <c r="AB205" s="5"/>
      <c r="AC205" s="5"/>
      <c r="AI205" s="8"/>
      <c r="AJ205" s="7"/>
      <c r="AK205" s="7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</row>
    <row r="206" spans="1:55" x14ac:dyDescent="0.25">
      <c r="Y206" s="5"/>
      <c r="Z206" s="5"/>
      <c r="AA206" s="5"/>
      <c r="AB206" s="5"/>
      <c r="AC206" s="5"/>
      <c r="AI206" s="8"/>
      <c r="AJ206" s="7"/>
      <c r="AK206" s="7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</row>
    <row r="207" spans="1:55" x14ac:dyDescent="0.25">
      <c r="Y207" s="5"/>
      <c r="Z207" s="5"/>
      <c r="AA207" s="5"/>
      <c r="AB207" s="5"/>
      <c r="AC207" s="5"/>
      <c r="AI207" s="8"/>
      <c r="AJ207" s="7"/>
      <c r="AK207" s="7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</row>
    <row r="208" spans="1:55" x14ac:dyDescent="0.25">
      <c r="Y208" s="5"/>
      <c r="Z208" s="5"/>
      <c r="AA208" s="5"/>
      <c r="AB208" s="5"/>
      <c r="AC208" s="5"/>
      <c r="AI208" s="8"/>
      <c r="AJ208" s="7"/>
      <c r="AK208" s="7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</row>
    <row r="209" spans="25:55" x14ac:dyDescent="0.25">
      <c r="Y209" s="5"/>
      <c r="Z209" s="5"/>
      <c r="AA209" s="5"/>
      <c r="AB209" s="5"/>
      <c r="AC209" s="5"/>
      <c r="AI209" s="8"/>
      <c r="AJ209" s="7"/>
      <c r="AK209" s="7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</row>
    <row r="210" spans="25:55" x14ac:dyDescent="0.25">
      <c r="Y210" s="5"/>
      <c r="Z210" s="5"/>
      <c r="AA210" s="5"/>
      <c r="AB210" s="5"/>
      <c r="AC210" s="5"/>
      <c r="AI210" s="8"/>
      <c r="AJ210" s="7"/>
      <c r="AK210" s="7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</row>
    <row r="211" spans="25:55" x14ac:dyDescent="0.25">
      <c r="Y211" s="5"/>
      <c r="Z211" s="5"/>
      <c r="AA211" s="5"/>
      <c r="AB211" s="5"/>
      <c r="AC211" s="5"/>
      <c r="AI211" s="8"/>
      <c r="AJ211" s="7"/>
      <c r="AK211" s="7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</row>
    <row r="212" spans="25:55" x14ac:dyDescent="0.25">
      <c r="Y212" s="5"/>
      <c r="Z212" s="5"/>
      <c r="AA212" s="5"/>
      <c r="AB212" s="5"/>
      <c r="AC212" s="5"/>
      <c r="AI212" s="8"/>
      <c r="AJ212" s="7"/>
      <c r="AK212" s="7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</row>
    <row r="213" spans="25:55" x14ac:dyDescent="0.25">
      <c r="Y213" s="5"/>
      <c r="Z213" s="5"/>
      <c r="AA213" s="5"/>
      <c r="AB213" s="5"/>
      <c r="AC213" s="5"/>
      <c r="AI213" s="8"/>
      <c r="AJ213" s="7"/>
      <c r="AK213" s="7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</row>
    <row r="214" spans="25:55" x14ac:dyDescent="0.25">
      <c r="Y214" s="5"/>
      <c r="Z214" s="5"/>
      <c r="AA214" s="5"/>
      <c r="AB214" s="5"/>
      <c r="AC214" s="5"/>
      <c r="AI214" s="8"/>
      <c r="AJ214" s="7"/>
      <c r="AK214" s="7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</row>
    <row r="215" spans="25:55" x14ac:dyDescent="0.25">
      <c r="Y215" s="5"/>
      <c r="Z215" s="5"/>
      <c r="AA215" s="5"/>
      <c r="AB215" s="5"/>
      <c r="AC215" s="5"/>
      <c r="AI215" s="8"/>
      <c r="AJ215" s="7"/>
      <c r="AK215" s="7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</row>
    <row r="216" spans="25:55" x14ac:dyDescent="0.25">
      <c r="Y216" s="5"/>
      <c r="Z216" s="5"/>
      <c r="AA216" s="5"/>
      <c r="AB216" s="5"/>
      <c r="AC216" s="5"/>
      <c r="AI216" s="8"/>
      <c r="AJ216" s="7"/>
      <c r="AK216" s="7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</row>
    <row r="217" spans="25:55" x14ac:dyDescent="0.25">
      <c r="Y217" s="5"/>
      <c r="Z217" s="5"/>
      <c r="AA217" s="5"/>
      <c r="AB217" s="5"/>
      <c r="AC217" s="5"/>
      <c r="AI217" s="8"/>
      <c r="AJ217" s="7"/>
      <c r="AK217" s="7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</row>
    <row r="218" spans="25:55" x14ac:dyDescent="0.25">
      <c r="Y218" s="5"/>
      <c r="Z218" s="5"/>
      <c r="AA218" s="5"/>
      <c r="AB218" s="5"/>
      <c r="AC218" s="5"/>
      <c r="AI218" s="8"/>
      <c r="AJ218" s="7"/>
      <c r="AK218" s="7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</row>
    <row r="219" spans="25:55" x14ac:dyDescent="0.25">
      <c r="Y219" s="5"/>
      <c r="Z219" s="5"/>
      <c r="AA219" s="5"/>
      <c r="AB219" s="5"/>
      <c r="AC219" s="5"/>
      <c r="AI219" s="8"/>
      <c r="AJ219" s="7"/>
      <c r="AK219" s="7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</row>
    <row r="220" spans="25:55" x14ac:dyDescent="0.25">
      <c r="Y220" s="5"/>
      <c r="Z220" s="5"/>
      <c r="AA220" s="5"/>
      <c r="AB220" s="5"/>
      <c r="AC220" s="5"/>
      <c r="AI220" s="8"/>
      <c r="AJ220" s="7"/>
      <c r="AK220" s="7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</row>
    <row r="221" spans="25:55" x14ac:dyDescent="0.25">
      <c r="Y221" s="5"/>
      <c r="Z221" s="5"/>
      <c r="AA221" s="5"/>
      <c r="AB221" s="5"/>
      <c r="AC221" s="5"/>
      <c r="AI221" s="8"/>
      <c r="AJ221" s="7"/>
      <c r="AK221" s="7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</row>
    <row r="222" spans="25:55" x14ac:dyDescent="0.25">
      <c r="Y222" s="5"/>
      <c r="Z222" s="5"/>
      <c r="AA222" s="5"/>
      <c r="AB222" s="5"/>
      <c r="AC222" s="5"/>
      <c r="AI222" s="8"/>
      <c r="AJ222" s="7"/>
      <c r="AK222" s="7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</row>
    <row r="223" spans="25:55" x14ac:dyDescent="0.25">
      <c r="Y223" s="5"/>
      <c r="Z223" s="5"/>
      <c r="AA223" s="5"/>
      <c r="AB223" s="5"/>
      <c r="AC223" s="5"/>
      <c r="AI223" s="8"/>
      <c r="AJ223" s="7"/>
      <c r="AK223" s="7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</row>
    <row r="224" spans="25:55" x14ac:dyDescent="0.25">
      <c r="Y224" s="5"/>
      <c r="Z224" s="5"/>
      <c r="AA224" s="5"/>
      <c r="AB224" s="5"/>
      <c r="AC224" s="5"/>
      <c r="AI224" s="8"/>
      <c r="AJ224" s="7"/>
      <c r="AK224" s="7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</row>
    <row r="225" spans="25:55" x14ac:dyDescent="0.25">
      <c r="Y225" s="5"/>
      <c r="Z225" s="5"/>
      <c r="AA225" s="5"/>
      <c r="AB225" s="5"/>
      <c r="AC225" s="5"/>
      <c r="AI225" s="8"/>
      <c r="AJ225" s="7"/>
      <c r="AK225" s="7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</row>
    <row r="226" spans="25:55" x14ac:dyDescent="0.25">
      <c r="Y226" s="5"/>
      <c r="Z226" s="5"/>
      <c r="AA226" s="5"/>
      <c r="AB226" s="5"/>
      <c r="AC226" s="5"/>
      <c r="AI226" s="8"/>
      <c r="AJ226" s="7"/>
      <c r="AK226" s="7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</row>
    <row r="227" spans="25:55" x14ac:dyDescent="0.25">
      <c r="Y227" s="5"/>
      <c r="Z227" s="5"/>
      <c r="AA227" s="5"/>
      <c r="AB227" s="5"/>
      <c r="AC227" s="5"/>
      <c r="AI227" s="8"/>
      <c r="AJ227" s="7"/>
      <c r="AK227" s="7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</row>
    <row r="228" spans="25:55" x14ac:dyDescent="0.25">
      <c r="Y228" s="5"/>
      <c r="Z228" s="5"/>
      <c r="AA228" s="5"/>
      <c r="AB228" s="5"/>
      <c r="AC228" s="5"/>
      <c r="AI228" s="8"/>
      <c r="AJ228" s="7"/>
      <c r="AK228" s="7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</row>
    <row r="229" spans="25:55" x14ac:dyDescent="0.25">
      <c r="Y229" s="5"/>
      <c r="Z229" s="5"/>
      <c r="AA229" s="5"/>
      <c r="AB229" s="5"/>
      <c r="AC229" s="5"/>
      <c r="AI229" s="8"/>
      <c r="AJ229" s="7"/>
      <c r="AK229" s="7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</row>
    <row r="230" spans="25:55" x14ac:dyDescent="0.25">
      <c r="Y230" s="5"/>
      <c r="Z230" s="5"/>
      <c r="AA230" s="5"/>
      <c r="AB230" s="5"/>
      <c r="AC230" s="5"/>
      <c r="AI230" s="8"/>
      <c r="AJ230" s="7"/>
      <c r="AK230" s="7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</row>
    <row r="231" spans="25:55" x14ac:dyDescent="0.25">
      <c r="Y231" s="5"/>
      <c r="Z231" s="5"/>
      <c r="AA231" s="5"/>
      <c r="AB231" s="5"/>
      <c r="AC231" s="5"/>
      <c r="AI231" s="8"/>
      <c r="AJ231" s="7"/>
      <c r="AK231" s="7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</row>
    <row r="232" spans="25:55" x14ac:dyDescent="0.25">
      <c r="Y232" s="5"/>
      <c r="Z232" s="5"/>
      <c r="AA232" s="5"/>
      <c r="AB232" s="5"/>
      <c r="AC232" s="5"/>
      <c r="AI232" s="8"/>
      <c r="AJ232" s="7"/>
      <c r="AK232" s="7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</row>
    <row r="233" spans="25:55" x14ac:dyDescent="0.25">
      <c r="Y233" s="5"/>
      <c r="Z233" s="5"/>
      <c r="AA233" s="5"/>
      <c r="AB233" s="5"/>
      <c r="AC233" s="5"/>
      <c r="AI233" s="8"/>
      <c r="AJ233" s="7"/>
      <c r="AK233" s="7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</row>
    <row r="234" spans="25:55" x14ac:dyDescent="0.25">
      <c r="Y234" s="5"/>
      <c r="Z234" s="5"/>
      <c r="AA234" s="5"/>
      <c r="AB234" s="5"/>
      <c r="AC234" s="5"/>
      <c r="AI234" s="8"/>
      <c r="AJ234" s="7"/>
      <c r="AK234" s="7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</row>
    <row r="235" spans="25:55" x14ac:dyDescent="0.25">
      <c r="Y235" s="5"/>
      <c r="Z235" s="5"/>
      <c r="AA235" s="5"/>
      <c r="AB235" s="5"/>
      <c r="AC235" s="5"/>
      <c r="AI235" s="8"/>
      <c r="AJ235" s="7"/>
      <c r="AK235" s="7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</row>
    <row r="236" spans="25:55" x14ac:dyDescent="0.25">
      <c r="Y236" s="5"/>
      <c r="Z236" s="5"/>
      <c r="AA236" s="5"/>
      <c r="AB236" s="5"/>
      <c r="AC236" s="5"/>
      <c r="AI236" s="8"/>
      <c r="AJ236" s="7"/>
      <c r="AK236" s="7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</row>
    <row r="237" spans="25:55" x14ac:dyDescent="0.25">
      <c r="Y237" s="5"/>
      <c r="Z237" s="5"/>
      <c r="AA237" s="5"/>
      <c r="AB237" s="5"/>
      <c r="AC237" s="5"/>
      <c r="AI237" s="8"/>
      <c r="AJ237" s="7"/>
      <c r="AK237" s="7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</row>
    <row r="238" spans="25:55" x14ac:dyDescent="0.25">
      <c r="Y238" s="5"/>
      <c r="Z238" s="5"/>
      <c r="AA238" s="5"/>
      <c r="AB238" s="5"/>
      <c r="AC238" s="5"/>
      <c r="AI238" s="8"/>
      <c r="AJ238" s="7"/>
      <c r="AK238" s="7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</row>
    <row r="239" spans="25:55" x14ac:dyDescent="0.25">
      <c r="Y239" s="5"/>
      <c r="Z239" s="5"/>
      <c r="AA239" s="5"/>
      <c r="AB239" s="5"/>
      <c r="AC239" s="5"/>
      <c r="AI239" s="8"/>
      <c r="AJ239" s="7"/>
      <c r="AK239" s="7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</row>
    <row r="240" spans="25:55" x14ac:dyDescent="0.25">
      <c r="Y240" s="5"/>
      <c r="Z240" s="5"/>
      <c r="AA240" s="5"/>
      <c r="AB240" s="5"/>
      <c r="AC240" s="5"/>
      <c r="AI240" s="8"/>
      <c r="AJ240" s="7"/>
      <c r="AK240" s="7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</row>
    <row r="241" spans="25:55" x14ac:dyDescent="0.25">
      <c r="Y241" s="5"/>
      <c r="Z241" s="5"/>
      <c r="AA241" s="5"/>
      <c r="AB241" s="5"/>
      <c r="AC241" s="5"/>
      <c r="AI241" s="8"/>
      <c r="AJ241" s="7"/>
      <c r="AK241" s="7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</row>
    <row r="242" spans="25:55" x14ac:dyDescent="0.25">
      <c r="Y242" s="5"/>
      <c r="Z242" s="5"/>
      <c r="AA242" s="5"/>
      <c r="AB242" s="5"/>
      <c r="AC242" s="5"/>
      <c r="AI242" s="8"/>
      <c r="AJ242" s="7"/>
      <c r="AK242" s="7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</row>
    <row r="243" spans="25:55" x14ac:dyDescent="0.25">
      <c r="Y243" s="5"/>
      <c r="Z243" s="5"/>
      <c r="AA243" s="5"/>
      <c r="AB243" s="5"/>
      <c r="AC243" s="5"/>
      <c r="AI243" s="8"/>
      <c r="AJ243" s="7"/>
      <c r="AK243" s="7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</row>
    <row r="244" spans="25:55" x14ac:dyDescent="0.25">
      <c r="Y244" s="5"/>
      <c r="Z244" s="5"/>
      <c r="AA244" s="5"/>
      <c r="AB244" s="5"/>
      <c r="AC244" s="5"/>
      <c r="AI244" s="8"/>
      <c r="AJ244" s="7"/>
      <c r="AK244" s="7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</row>
    <row r="245" spans="25:55" x14ac:dyDescent="0.25">
      <c r="Y245" s="5"/>
      <c r="Z245" s="5"/>
      <c r="AA245" s="5"/>
      <c r="AB245" s="5"/>
      <c r="AC245" s="5"/>
      <c r="AI245" s="8"/>
      <c r="AJ245" s="7"/>
      <c r="AK245" s="7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</row>
    <row r="246" spans="25:55" x14ac:dyDescent="0.25">
      <c r="Y246" s="5"/>
      <c r="Z246" s="5"/>
      <c r="AA246" s="5"/>
      <c r="AB246" s="5"/>
      <c r="AC246" s="5"/>
      <c r="AI246" s="8"/>
      <c r="AJ246" s="7"/>
      <c r="AK246" s="7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</row>
    <row r="247" spans="25:55" x14ac:dyDescent="0.25">
      <c r="Y247" s="5"/>
      <c r="Z247" s="5"/>
      <c r="AA247" s="5"/>
      <c r="AB247" s="5"/>
      <c r="AC247" s="5"/>
      <c r="AI247" s="8"/>
      <c r="AJ247" s="7"/>
      <c r="AK247" s="7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</row>
    <row r="248" spans="25:55" x14ac:dyDescent="0.25">
      <c r="Y248" s="5"/>
      <c r="Z248" s="5"/>
      <c r="AA248" s="5"/>
      <c r="AB248" s="5"/>
      <c r="AC248" s="5"/>
      <c r="AI248" s="8"/>
      <c r="AJ248" s="7"/>
      <c r="AK248" s="7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</row>
    <row r="249" spans="25:55" x14ac:dyDescent="0.25">
      <c r="Y249" s="5"/>
      <c r="Z249" s="5"/>
      <c r="AA249" s="5"/>
      <c r="AB249" s="5"/>
      <c r="AC249" s="5"/>
      <c r="AI249" s="8"/>
      <c r="AJ249" s="7"/>
      <c r="AK249" s="7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</row>
    <row r="250" spans="25:55" x14ac:dyDescent="0.25">
      <c r="Y250" s="5"/>
      <c r="Z250" s="5"/>
      <c r="AA250" s="5"/>
      <c r="AB250" s="5"/>
      <c r="AC250" s="5"/>
      <c r="AI250" s="8"/>
      <c r="AJ250" s="7"/>
      <c r="AK250" s="7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</row>
    <row r="251" spans="25:55" x14ac:dyDescent="0.25">
      <c r="Y251" s="5"/>
      <c r="Z251" s="5"/>
      <c r="AA251" s="5"/>
      <c r="AB251" s="5"/>
      <c r="AC251" s="5"/>
      <c r="AI251" s="8"/>
      <c r="AJ251" s="7"/>
      <c r="AK251" s="7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</row>
    <row r="252" spans="25:55" x14ac:dyDescent="0.25">
      <c r="Y252" s="5"/>
      <c r="Z252" s="5"/>
      <c r="AA252" s="5"/>
      <c r="AB252" s="5"/>
      <c r="AC252" s="5"/>
      <c r="AI252" s="8"/>
      <c r="AJ252" s="7"/>
      <c r="AK252" s="7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</row>
    <row r="253" spans="25:55" x14ac:dyDescent="0.25">
      <c r="Y253" s="5"/>
      <c r="Z253" s="5"/>
      <c r="AA253" s="5"/>
      <c r="AB253" s="5"/>
      <c r="AC253" s="5"/>
      <c r="AI253" s="8"/>
      <c r="AJ253" s="7"/>
      <c r="AK253" s="7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</row>
    <row r="254" spans="25:55" x14ac:dyDescent="0.25">
      <c r="Y254" s="5"/>
      <c r="Z254" s="5"/>
      <c r="AA254" s="5"/>
      <c r="AB254" s="5"/>
      <c r="AC254" s="5"/>
      <c r="AI254" s="8"/>
      <c r="AJ254" s="7"/>
      <c r="AK254" s="7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</row>
    <row r="255" spans="25:55" x14ac:dyDescent="0.25">
      <c r="Y255" s="5"/>
      <c r="Z255" s="5"/>
      <c r="AA255" s="5"/>
      <c r="AB255" s="5"/>
      <c r="AC255" s="5"/>
      <c r="AI255" s="8"/>
      <c r="AJ255" s="7"/>
      <c r="AK255" s="7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</row>
    <row r="256" spans="25:55" x14ac:dyDescent="0.25">
      <c r="Y256" s="5"/>
      <c r="Z256" s="5"/>
      <c r="AA256" s="5"/>
      <c r="AB256" s="5"/>
      <c r="AC256" s="5"/>
      <c r="AI256" s="8"/>
      <c r="AJ256" s="7"/>
      <c r="AK256" s="7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</row>
    <row r="257" spans="25:55" x14ac:dyDescent="0.25">
      <c r="Y257" s="5"/>
      <c r="Z257" s="5"/>
      <c r="AA257" s="5"/>
      <c r="AB257" s="5"/>
      <c r="AC257" s="5"/>
      <c r="AI257" s="8"/>
      <c r="AJ257" s="7"/>
      <c r="AK257" s="7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</row>
    <row r="258" spans="25:55" x14ac:dyDescent="0.25">
      <c r="Y258" s="5"/>
      <c r="Z258" s="5"/>
      <c r="AA258" s="5"/>
      <c r="AB258" s="5"/>
      <c r="AC258" s="5"/>
      <c r="AI258" s="8"/>
      <c r="AJ258" s="7"/>
      <c r="AK258" s="7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</row>
    <row r="259" spans="25:55" x14ac:dyDescent="0.25">
      <c r="Y259" s="5"/>
      <c r="Z259" s="5"/>
      <c r="AA259" s="5"/>
      <c r="AB259" s="5"/>
      <c r="AC259" s="5"/>
      <c r="AI259" s="8"/>
      <c r="AJ259" s="7"/>
      <c r="AK259" s="7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</row>
    <row r="260" spans="25:55" x14ac:dyDescent="0.25">
      <c r="Y260" s="15"/>
      <c r="Z260" s="5"/>
      <c r="AA260" s="5"/>
      <c r="AB260" s="5"/>
      <c r="AC260" s="5"/>
      <c r="AI260" s="8"/>
      <c r="AJ260" s="7"/>
      <c r="AK260" s="7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</row>
  </sheetData>
  <mergeCells count="31">
    <mergeCell ref="BI13:BJ13"/>
    <mergeCell ref="BK13:BL13"/>
    <mergeCell ref="BM13:BN13"/>
    <mergeCell ref="BO13:BP13"/>
    <mergeCell ref="BO14:BP14"/>
    <mergeCell ref="BM14:BN14"/>
    <mergeCell ref="AW13:AX13"/>
    <mergeCell ref="AY13:AZ13"/>
    <mergeCell ref="BA13:BB13"/>
    <mergeCell ref="BC13:BD13"/>
    <mergeCell ref="BE13:BH13"/>
    <mergeCell ref="AK13:AL13"/>
    <mergeCell ref="AM13:AN13"/>
    <mergeCell ref="AO13:AP13"/>
    <mergeCell ref="AQ13:AT13"/>
    <mergeCell ref="AU13:AV13"/>
    <mergeCell ref="AG13:AH13"/>
    <mergeCell ref="AI13:AJ13"/>
    <mergeCell ref="J1:V1"/>
    <mergeCell ref="C2:F2"/>
    <mergeCell ref="G2:I2"/>
    <mergeCell ref="A1:I1"/>
    <mergeCell ref="AO5:AP5"/>
    <mergeCell ref="W1:AB1"/>
    <mergeCell ref="W2:Y2"/>
    <mergeCell ref="Z2:AB2"/>
    <mergeCell ref="A2:B2"/>
    <mergeCell ref="Q2:S2"/>
    <mergeCell ref="T2:V2"/>
    <mergeCell ref="J2:M2"/>
    <mergeCell ref="N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E23" sqref="E23"/>
    </sheetView>
  </sheetViews>
  <sheetFormatPr defaultRowHeight="15" x14ac:dyDescent="0.25"/>
  <sheetData>
    <row r="1" spans="1:7" x14ac:dyDescent="0.25">
      <c r="A1" t="s">
        <v>111</v>
      </c>
      <c r="B1" t="s">
        <v>112</v>
      </c>
      <c r="C1" s="1"/>
      <c r="F1" t="s">
        <v>112</v>
      </c>
      <c r="G1" s="1"/>
    </row>
    <row r="2" spans="1:7" x14ac:dyDescent="0.25">
      <c r="A2" t="s">
        <v>19</v>
      </c>
      <c r="B2">
        <v>1.0079400000000001</v>
      </c>
    </row>
    <row r="3" spans="1:7" x14ac:dyDescent="0.25">
      <c r="A3" t="s">
        <v>20</v>
      </c>
      <c r="B3">
        <v>4.0026020000000004</v>
      </c>
      <c r="E3" t="s">
        <v>16</v>
      </c>
      <c r="F3">
        <f>$B$2+$B$7+3*$B$9</f>
        <v>61.016839999999995</v>
      </c>
    </row>
    <row r="4" spans="1:7" x14ac:dyDescent="0.25">
      <c r="A4" t="s">
        <v>21</v>
      </c>
      <c r="B4">
        <v>6.9409999999999998</v>
      </c>
      <c r="E4" t="s">
        <v>18</v>
      </c>
      <c r="F4">
        <f>$B$17+4*$B$9</f>
        <v>96.062600000000003</v>
      </c>
    </row>
    <row r="5" spans="1:7" x14ac:dyDescent="0.25">
      <c r="A5" t="s">
        <v>22</v>
      </c>
      <c r="B5">
        <v>9.0121819999999992</v>
      </c>
      <c r="E5" t="s">
        <v>105</v>
      </c>
      <c r="F5">
        <f>$B$21+$B$7+3*$B$9</f>
        <v>100.0869</v>
      </c>
    </row>
    <row r="6" spans="1:7" x14ac:dyDescent="0.25">
      <c r="A6" t="s">
        <v>23</v>
      </c>
      <c r="B6">
        <v>10.811</v>
      </c>
      <c r="E6" t="s">
        <v>106</v>
      </c>
      <c r="F6">
        <f>$B$8+4*$B$2</f>
        <v>18.038460000000001</v>
      </c>
    </row>
    <row r="7" spans="1:7" x14ac:dyDescent="0.25">
      <c r="A7" t="s">
        <v>24</v>
      </c>
      <c r="B7">
        <v>12.0107</v>
      </c>
      <c r="E7" t="s">
        <v>110</v>
      </c>
      <c r="F7">
        <f>$B$8+3*$B$9</f>
        <v>62.004899999999999</v>
      </c>
    </row>
    <row r="8" spans="1:7" x14ac:dyDescent="0.25">
      <c r="A8" t="s">
        <v>25</v>
      </c>
      <c r="B8">
        <v>14.0067</v>
      </c>
    </row>
    <row r="9" spans="1:7" x14ac:dyDescent="0.25">
      <c r="A9" t="s">
        <v>26</v>
      </c>
      <c r="B9">
        <v>15.9994</v>
      </c>
    </row>
    <row r="10" spans="1:7" x14ac:dyDescent="0.25">
      <c r="A10" t="s">
        <v>27</v>
      </c>
      <c r="B10">
        <v>18.998403199999998</v>
      </c>
    </row>
    <row r="11" spans="1:7" x14ac:dyDescent="0.25">
      <c r="A11" t="s">
        <v>28</v>
      </c>
      <c r="B11">
        <v>20.1797</v>
      </c>
    </row>
    <row r="12" spans="1:7" x14ac:dyDescent="0.25">
      <c r="A12" t="s">
        <v>2</v>
      </c>
      <c r="B12">
        <v>22.989769280000001</v>
      </c>
    </row>
    <row r="13" spans="1:7" x14ac:dyDescent="0.25">
      <c r="A13" t="s">
        <v>15</v>
      </c>
      <c r="B13">
        <v>24.305</v>
      </c>
    </row>
    <row r="14" spans="1:7" x14ac:dyDescent="0.25">
      <c r="A14" t="s">
        <v>29</v>
      </c>
      <c r="B14">
        <v>26.9815386</v>
      </c>
    </row>
    <row r="15" spans="1:7" x14ac:dyDescent="0.25">
      <c r="A15" t="s">
        <v>30</v>
      </c>
      <c r="B15">
        <v>28.0855</v>
      </c>
    </row>
    <row r="16" spans="1:7" x14ac:dyDescent="0.25">
      <c r="A16" t="s">
        <v>31</v>
      </c>
      <c r="B16">
        <v>30.973762000000001</v>
      </c>
    </row>
    <row r="17" spans="1:2" x14ac:dyDescent="0.25">
      <c r="A17" t="s">
        <v>104</v>
      </c>
      <c r="B17">
        <v>32.064999999999998</v>
      </c>
    </row>
    <row r="18" spans="1:2" x14ac:dyDescent="0.25">
      <c r="A18" t="s">
        <v>17</v>
      </c>
      <c r="B18">
        <v>35.453000000000003</v>
      </c>
    </row>
    <row r="19" spans="1:2" x14ac:dyDescent="0.25">
      <c r="A19" t="s">
        <v>32</v>
      </c>
      <c r="B19">
        <v>39.948</v>
      </c>
    </row>
    <row r="20" spans="1:2" x14ac:dyDescent="0.25">
      <c r="A20" t="s">
        <v>13</v>
      </c>
      <c r="B20">
        <v>39.098300000000002</v>
      </c>
    </row>
    <row r="21" spans="1:2" x14ac:dyDescent="0.25">
      <c r="A21" t="s">
        <v>14</v>
      </c>
      <c r="B21">
        <v>40.078000000000003</v>
      </c>
    </row>
    <row r="22" spans="1:2" x14ac:dyDescent="0.25">
      <c r="A22" t="s">
        <v>33</v>
      </c>
    </row>
    <row r="23" spans="1:2" x14ac:dyDescent="0.25">
      <c r="A23" t="s">
        <v>34</v>
      </c>
    </row>
    <row r="24" spans="1:2" x14ac:dyDescent="0.25">
      <c r="A24" t="s">
        <v>35</v>
      </c>
    </row>
    <row r="25" spans="1:2" x14ac:dyDescent="0.25">
      <c r="A25" t="s">
        <v>36</v>
      </c>
    </row>
    <row r="26" spans="1:2" x14ac:dyDescent="0.25">
      <c r="A26" t="s">
        <v>37</v>
      </c>
    </row>
    <row r="27" spans="1:2" x14ac:dyDescent="0.25">
      <c r="A27" t="s">
        <v>38</v>
      </c>
      <c r="B27">
        <v>55.844999999999999</v>
      </c>
    </row>
    <row r="28" spans="1:2" x14ac:dyDescent="0.25">
      <c r="A28" t="s">
        <v>39</v>
      </c>
    </row>
    <row r="29" spans="1:2" x14ac:dyDescent="0.25">
      <c r="A29" t="s">
        <v>40</v>
      </c>
    </row>
    <row r="30" spans="1:2" x14ac:dyDescent="0.25">
      <c r="A30" t="s">
        <v>41</v>
      </c>
    </row>
    <row r="31" spans="1:2" x14ac:dyDescent="0.25">
      <c r="A31" t="s">
        <v>42</v>
      </c>
    </row>
    <row r="32" spans="1:2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62</v>
      </c>
    </row>
    <row r="52" spans="1:1" x14ac:dyDescent="0.25">
      <c r="A52" t="s">
        <v>63</v>
      </c>
    </row>
    <row r="53" spans="1:1" x14ac:dyDescent="0.25">
      <c r="A53" t="s">
        <v>64</v>
      </c>
    </row>
    <row r="54" spans="1:1" x14ac:dyDescent="0.25">
      <c r="A54" t="s">
        <v>61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59" spans="1:1" x14ac:dyDescent="0.25">
      <c r="A59" t="s">
        <v>69</v>
      </c>
    </row>
    <row r="60" spans="1:1" x14ac:dyDescent="0.25">
      <c r="A60" t="s">
        <v>70</v>
      </c>
    </row>
    <row r="61" spans="1:1" x14ac:dyDescent="0.25">
      <c r="A61" t="s">
        <v>71</v>
      </c>
    </row>
    <row r="62" spans="1:1" x14ac:dyDescent="0.25">
      <c r="A62" t="s">
        <v>72</v>
      </c>
    </row>
    <row r="63" spans="1:1" x14ac:dyDescent="0.25">
      <c r="A63" t="s">
        <v>73</v>
      </c>
    </row>
    <row r="64" spans="1:1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  <row r="73" spans="1:1" x14ac:dyDescent="0.25">
      <c r="A73" t="s">
        <v>83</v>
      </c>
    </row>
    <row r="74" spans="1:1" x14ac:dyDescent="0.25">
      <c r="A74" t="s">
        <v>84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87</v>
      </c>
    </row>
    <row r="78" spans="1:1" x14ac:dyDescent="0.25">
      <c r="A78" t="s">
        <v>88</v>
      </c>
    </row>
    <row r="79" spans="1:1" x14ac:dyDescent="0.25">
      <c r="A79" t="s">
        <v>89</v>
      </c>
    </row>
    <row r="80" spans="1:1" x14ac:dyDescent="0.25">
      <c r="A80" t="s">
        <v>90</v>
      </c>
    </row>
    <row r="81" spans="1:1" x14ac:dyDescent="0.25">
      <c r="A81" t="s">
        <v>91</v>
      </c>
    </row>
    <row r="82" spans="1:1" x14ac:dyDescent="0.25">
      <c r="A82" t="s">
        <v>92</v>
      </c>
    </row>
    <row r="83" spans="1:1" x14ac:dyDescent="0.25">
      <c r="A83" t="s">
        <v>93</v>
      </c>
    </row>
    <row r="84" spans="1:1" x14ac:dyDescent="0.25">
      <c r="A84" t="s">
        <v>94</v>
      </c>
    </row>
    <row r="85" spans="1:1" x14ac:dyDescent="0.25">
      <c r="A85" t="s">
        <v>95</v>
      </c>
    </row>
    <row r="86" spans="1:1" x14ac:dyDescent="0.25">
      <c r="A86" t="s">
        <v>96</v>
      </c>
    </row>
    <row r="87" spans="1:1" x14ac:dyDescent="0.25">
      <c r="A87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100</v>
      </c>
    </row>
    <row r="91" spans="1:1" x14ac:dyDescent="0.25">
      <c r="A91" t="s">
        <v>101</v>
      </c>
    </row>
    <row r="92" spans="1:1" x14ac:dyDescent="0.25">
      <c r="A92" t="s">
        <v>102</v>
      </c>
    </row>
    <row r="93" spans="1:1" x14ac:dyDescent="0.25">
      <c r="A9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5" sqref="A25"/>
    </sheetView>
  </sheetViews>
  <sheetFormatPr defaultRowHeight="15" x14ac:dyDescent="0.25"/>
  <cols>
    <col min="1" max="1" width="19.140625" customWidth="1"/>
  </cols>
  <sheetData>
    <row r="1" spans="1:2" x14ac:dyDescent="0.25">
      <c r="A1" s="32" t="s">
        <v>142</v>
      </c>
      <c r="B1" t="s">
        <v>156</v>
      </c>
    </row>
    <row r="3" spans="1:2" x14ac:dyDescent="0.25">
      <c r="A3" s="32" t="s">
        <v>143</v>
      </c>
      <c r="B3" t="s">
        <v>144</v>
      </c>
    </row>
    <row r="4" spans="1:2" x14ac:dyDescent="0.25">
      <c r="B4" t="s">
        <v>145</v>
      </c>
    </row>
    <row r="5" spans="1:2" x14ac:dyDescent="0.25">
      <c r="B5" t="s">
        <v>154</v>
      </c>
    </row>
    <row r="6" spans="1:2" x14ac:dyDescent="0.25">
      <c r="B6" t="s">
        <v>155</v>
      </c>
    </row>
    <row r="8" spans="1:2" x14ac:dyDescent="0.25">
      <c r="A8" s="32" t="s">
        <v>146</v>
      </c>
    </row>
    <row r="10" spans="1:2" x14ac:dyDescent="0.25">
      <c r="A10" t="s">
        <v>147</v>
      </c>
      <c r="B10" t="s">
        <v>148</v>
      </c>
    </row>
    <row r="11" spans="1:2" x14ac:dyDescent="0.25">
      <c r="A11" t="s">
        <v>114</v>
      </c>
      <c r="B11" t="s">
        <v>149</v>
      </c>
    </row>
    <row r="12" spans="1:2" x14ac:dyDescent="0.25">
      <c r="A12" t="s">
        <v>117</v>
      </c>
      <c r="B12" t="s">
        <v>150</v>
      </c>
    </row>
    <row r="13" spans="1:2" x14ac:dyDescent="0.25">
      <c r="A13" t="s">
        <v>132</v>
      </c>
      <c r="B13" t="s">
        <v>153</v>
      </c>
    </row>
    <row r="14" spans="1:2" x14ac:dyDescent="0.25">
      <c r="A14" t="s">
        <v>128</v>
      </c>
      <c r="B14" t="s">
        <v>151</v>
      </c>
    </row>
    <row r="18" spans="1:1" x14ac:dyDescent="0.25">
      <c r="A18" t="s">
        <v>158</v>
      </c>
    </row>
    <row r="19" spans="1:1" x14ac:dyDescent="0.25">
      <c r="A19" s="12" t="s">
        <v>157</v>
      </c>
    </row>
    <row r="22" spans="1:1" x14ac:dyDescent="0.25">
      <c r="A22" t="s">
        <v>162</v>
      </c>
    </row>
    <row r="23" spans="1:1" x14ac:dyDescent="0.25">
      <c r="A23" t="s">
        <v>159</v>
      </c>
    </row>
    <row r="24" spans="1:1" x14ac:dyDescent="0.25">
      <c r="A24" t="s">
        <v>163</v>
      </c>
    </row>
    <row r="26" spans="1:1" x14ac:dyDescent="0.25">
      <c r="A26" t="s">
        <v>160</v>
      </c>
    </row>
    <row r="27" spans="1:1" x14ac:dyDescent="0.25">
      <c r="A27" t="s">
        <v>161</v>
      </c>
    </row>
  </sheetData>
  <hyperlinks>
    <hyperlink ref="A1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Piper Plot</vt:lpstr>
      <vt:lpstr>Elements and ions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Carlson</dc:creator>
  <cp:lastModifiedBy>Peter Carlson</cp:lastModifiedBy>
  <dcterms:created xsi:type="dcterms:W3CDTF">2013-01-17T15:16:24Z</dcterms:created>
  <dcterms:modified xsi:type="dcterms:W3CDTF">2013-02-14T20:51:35Z</dcterms:modified>
</cp:coreProperties>
</file>