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5fbfcbdf3dea0f58/"/>
    </mc:Choice>
  </mc:AlternateContent>
  <bookViews>
    <workbookView xWindow="0" yWindow="0" windowWidth="25125" windowHeight="15210" activeTab="1"/>
  </bookViews>
  <sheets>
    <sheet name="Assuming water-transport" sheetId="1" r:id="rId1"/>
    <sheet name="Assuming air advection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2" l="1"/>
  <c r="D29" i="2"/>
  <c r="D27" i="2"/>
  <c r="D28" i="2"/>
  <c r="B10" i="2"/>
  <c r="B37" i="2"/>
  <c r="G34" i="1"/>
  <c r="B19" i="2"/>
  <c r="B11" i="2"/>
  <c r="B14" i="2"/>
  <c r="B38" i="2" s="1"/>
  <c r="B8" i="2"/>
  <c r="B7" i="2"/>
  <c r="B5" i="2" s="1"/>
  <c r="B6" i="2" s="1"/>
  <c r="B9" i="2" s="1"/>
  <c r="B4" i="2"/>
  <c r="B35" i="2"/>
  <c r="B34" i="2"/>
  <c r="B33" i="2"/>
  <c r="B32" i="2"/>
  <c r="B31" i="2"/>
  <c r="B29" i="2"/>
  <c r="B2" i="2"/>
  <c r="B29" i="1"/>
  <c r="G29" i="1"/>
  <c r="G31" i="1" s="1"/>
  <c r="D29" i="1"/>
  <c r="D31" i="1" s="1"/>
  <c r="D32" i="1" s="1"/>
  <c r="D33" i="1" s="1"/>
  <c r="B31" i="1"/>
  <c r="B32" i="1" s="1"/>
  <c r="B33" i="1" s="1"/>
  <c r="B8" i="1"/>
  <c r="B6" i="1" s="1"/>
  <c r="B5" i="1"/>
  <c r="G5" i="1"/>
  <c r="G22" i="1"/>
  <c r="G21" i="1"/>
  <c r="G8" i="1" s="1"/>
  <c r="G24" i="1" s="1"/>
  <c r="G20" i="1"/>
  <c r="G19" i="1"/>
  <c r="G18" i="1"/>
  <c r="G16" i="1"/>
  <c r="G2" i="1"/>
  <c r="D25" i="1"/>
  <c r="D4" i="1" s="1"/>
  <c r="D39" i="1" s="1"/>
  <c r="D40" i="1" s="1"/>
  <c r="D8" i="1"/>
  <c r="D9" i="1" s="1"/>
  <c r="D5" i="1"/>
  <c r="D11" i="1" s="1"/>
  <c r="D21" i="1"/>
  <c r="D20" i="1"/>
  <c r="D19" i="1"/>
  <c r="D18" i="1"/>
  <c r="D16" i="1"/>
  <c r="D2" i="1"/>
  <c r="B20" i="1"/>
  <c r="B16" i="1"/>
  <c r="B21" i="1"/>
  <c r="B19" i="1"/>
  <c r="B18" i="1"/>
  <c r="B2" i="1"/>
  <c r="B15" i="2" l="1"/>
  <c r="B12" i="2"/>
  <c r="B17" i="2" s="1"/>
  <c r="D24" i="1"/>
  <c r="D36" i="1"/>
  <c r="D42" i="1" s="1"/>
  <c r="D44" i="1" s="1"/>
  <c r="B9" i="1"/>
  <c r="G9" i="1"/>
  <c r="G6" i="1"/>
  <c r="G25" i="1" s="1"/>
  <c r="B11" i="1"/>
  <c r="B25" i="1"/>
  <c r="B4" i="1" s="1"/>
  <c r="B34" i="1" s="1"/>
  <c r="G32" i="1"/>
  <c r="G33" i="1" s="1"/>
  <c r="D34" i="1"/>
  <c r="B24" i="1"/>
  <c r="B13" i="2" l="1"/>
  <c r="B16" i="2" s="1"/>
  <c r="B18" i="2" s="1"/>
  <c r="L93" i="1"/>
  <c r="L95" i="1"/>
  <c r="L97" i="1"/>
  <c r="L99" i="1"/>
  <c r="L101" i="1"/>
  <c r="L103" i="1"/>
  <c r="L105" i="1"/>
  <c r="L107" i="1"/>
  <c r="L109" i="1"/>
  <c r="L111" i="1"/>
  <c r="L113" i="1"/>
  <c r="L115" i="1"/>
  <c r="L117" i="1"/>
  <c r="L119" i="1"/>
  <c r="L121" i="1"/>
  <c r="L123" i="1"/>
  <c r="L125" i="1"/>
  <c r="L127" i="1"/>
  <c r="L129" i="1"/>
  <c r="L131" i="1"/>
  <c r="L133" i="1"/>
  <c r="L135" i="1"/>
  <c r="L137" i="1"/>
  <c r="L139" i="1"/>
  <c r="L141" i="1"/>
  <c r="L143" i="1"/>
  <c r="L145" i="1"/>
  <c r="L147" i="1"/>
  <c r="L149" i="1"/>
  <c r="L151" i="1"/>
  <c r="L153" i="1"/>
  <c r="L155" i="1"/>
  <c r="L157" i="1"/>
  <c r="L159" i="1"/>
  <c r="L161" i="1"/>
  <c r="L163" i="1"/>
  <c r="L165" i="1"/>
  <c r="L167" i="1"/>
  <c r="L169" i="1"/>
  <c r="L171" i="1"/>
  <c r="L173" i="1"/>
  <c r="L175" i="1"/>
  <c r="L177" i="1"/>
  <c r="L179" i="1"/>
  <c r="L181" i="1"/>
  <c r="L183" i="1"/>
  <c r="L185" i="1"/>
  <c r="L187" i="1"/>
  <c r="L189" i="1"/>
  <c r="L191" i="1"/>
  <c r="L193" i="1"/>
  <c r="L195" i="1"/>
  <c r="L197" i="1"/>
  <c r="L199" i="1"/>
  <c r="L201" i="1"/>
  <c r="L203" i="1"/>
  <c r="L205" i="1"/>
  <c r="L207" i="1"/>
  <c r="L209" i="1"/>
  <c r="L211" i="1"/>
  <c r="L213" i="1"/>
  <c r="L215" i="1"/>
  <c r="L217" i="1"/>
  <c r="L219" i="1"/>
  <c r="L221" i="1"/>
  <c r="L223" i="1"/>
  <c r="L225" i="1"/>
  <c r="L227" i="1"/>
  <c r="L229" i="1"/>
  <c r="L231" i="1"/>
  <c r="L233" i="1"/>
  <c r="L235" i="1"/>
  <c r="L94" i="1"/>
  <c r="L96" i="1"/>
  <c r="L98" i="1"/>
  <c r="L100" i="1"/>
  <c r="L102" i="1"/>
  <c r="L104" i="1"/>
  <c r="L106" i="1"/>
  <c r="L108" i="1"/>
  <c r="L110" i="1"/>
  <c r="L112" i="1"/>
  <c r="L114" i="1"/>
  <c r="L116" i="1"/>
  <c r="L118" i="1"/>
  <c r="L120" i="1"/>
  <c r="L122" i="1"/>
  <c r="L124" i="1"/>
  <c r="L126" i="1"/>
  <c r="L128" i="1"/>
  <c r="L130" i="1"/>
  <c r="L132" i="1"/>
  <c r="L134" i="1"/>
  <c r="L136" i="1"/>
  <c r="L138" i="1"/>
  <c r="L140" i="1"/>
  <c r="L142" i="1"/>
  <c r="L144" i="1"/>
  <c r="L146" i="1"/>
  <c r="L148" i="1"/>
  <c r="L150" i="1"/>
  <c r="L152" i="1"/>
  <c r="L154" i="1"/>
  <c r="L156" i="1"/>
  <c r="L158" i="1"/>
  <c r="L160" i="1"/>
  <c r="L162" i="1"/>
  <c r="L164" i="1"/>
  <c r="L166" i="1"/>
  <c r="L168" i="1"/>
  <c r="L170" i="1"/>
  <c r="L172" i="1"/>
  <c r="L174" i="1"/>
  <c r="L176" i="1"/>
  <c r="L178" i="1"/>
  <c r="L180" i="1"/>
  <c r="L182" i="1"/>
  <c r="L184" i="1"/>
  <c r="L186" i="1"/>
  <c r="L188" i="1"/>
  <c r="L190" i="1"/>
  <c r="L192" i="1"/>
  <c r="L194" i="1"/>
  <c r="L196" i="1"/>
  <c r="L198" i="1"/>
  <c r="L200" i="1"/>
  <c r="L202" i="1"/>
  <c r="L204" i="1"/>
  <c r="L206" i="1"/>
  <c r="L208" i="1"/>
  <c r="L210" i="1"/>
  <c r="L212" i="1"/>
  <c r="L214" i="1"/>
  <c r="L216" i="1"/>
  <c r="L218" i="1"/>
  <c r="L220" i="1"/>
  <c r="L222" i="1"/>
  <c r="L224" i="1"/>
  <c r="L226" i="1"/>
  <c r="L228" i="1"/>
  <c r="L230" i="1"/>
  <c r="L232" i="1"/>
  <c r="L234" i="1"/>
  <c r="L236" i="1"/>
  <c r="L240" i="1"/>
  <c r="L244" i="1"/>
  <c r="L248" i="1"/>
  <c r="L252" i="1"/>
  <c r="L256" i="1"/>
  <c r="L259" i="1"/>
  <c r="L264" i="1"/>
  <c r="L266" i="1"/>
  <c r="L268" i="1"/>
  <c r="L270" i="1"/>
  <c r="L272" i="1"/>
  <c r="L274" i="1"/>
  <c r="L276" i="1"/>
  <c r="L278" i="1"/>
  <c r="L280" i="1"/>
  <c r="L282" i="1"/>
  <c r="L237" i="1"/>
  <c r="L241" i="1"/>
  <c r="L245" i="1"/>
  <c r="L249" i="1"/>
  <c r="L253" i="1"/>
  <c r="L257" i="1"/>
  <c r="L262" i="1"/>
  <c r="L283" i="1"/>
  <c r="L238" i="1"/>
  <c r="L242" i="1"/>
  <c r="L246" i="1"/>
  <c r="L250" i="1"/>
  <c r="L254" i="1"/>
  <c r="L260" i="1"/>
  <c r="L263" i="1"/>
  <c r="L265" i="1"/>
  <c r="L267" i="1"/>
  <c r="L269" i="1"/>
  <c r="L271" i="1"/>
  <c r="L273" i="1"/>
  <c r="L275" i="1"/>
  <c r="L277" i="1"/>
  <c r="L279" i="1"/>
  <c r="L281" i="1"/>
  <c r="L239" i="1"/>
  <c r="L243" i="1"/>
  <c r="L247" i="1"/>
  <c r="L251" i="1"/>
  <c r="L255" i="1"/>
  <c r="L258" i="1"/>
  <c r="L261" i="1"/>
  <c r="L284" i="1"/>
  <c r="G7" i="1"/>
  <c r="G10" i="1" s="1"/>
  <c r="L63" i="1"/>
  <c r="L67" i="1"/>
  <c r="L71" i="1"/>
  <c r="L75" i="1"/>
  <c r="L79" i="1"/>
  <c r="L83" i="1"/>
  <c r="L87" i="1"/>
  <c r="L91" i="1"/>
  <c r="L46" i="1"/>
  <c r="L50" i="1"/>
  <c r="L54" i="1"/>
  <c r="L58" i="1"/>
  <c r="L62" i="1"/>
  <c r="L74" i="1"/>
  <c r="L86" i="1"/>
  <c r="L49" i="1"/>
  <c r="L61" i="1"/>
  <c r="L64" i="1"/>
  <c r="L68" i="1"/>
  <c r="L72" i="1"/>
  <c r="L76" i="1"/>
  <c r="L80" i="1"/>
  <c r="L84" i="1"/>
  <c r="L88" i="1"/>
  <c r="L92" i="1"/>
  <c r="L47" i="1"/>
  <c r="L51" i="1"/>
  <c r="L55" i="1"/>
  <c r="L59" i="1"/>
  <c r="L70" i="1"/>
  <c r="L78" i="1"/>
  <c r="L90" i="1"/>
  <c r="L53" i="1"/>
  <c r="L65" i="1"/>
  <c r="L69" i="1"/>
  <c r="L73" i="1"/>
  <c r="L77" i="1"/>
  <c r="L81" i="1"/>
  <c r="L85" i="1"/>
  <c r="L89" i="1"/>
  <c r="L44" i="1"/>
  <c r="L48" i="1"/>
  <c r="L52" i="1"/>
  <c r="L56" i="1"/>
  <c r="L60" i="1"/>
  <c r="L66" i="1"/>
  <c r="L82" i="1"/>
  <c r="L45" i="1"/>
  <c r="L57" i="1"/>
  <c r="L4" i="1"/>
  <c r="L8" i="1"/>
  <c r="L12" i="1"/>
  <c r="L16" i="1"/>
  <c r="L20" i="1"/>
  <c r="L24" i="1"/>
  <c r="L28" i="1"/>
  <c r="L32" i="1"/>
  <c r="L36" i="1"/>
  <c r="L40" i="1"/>
  <c r="L19" i="1"/>
  <c r="L31" i="1"/>
  <c r="L43" i="1"/>
  <c r="L3" i="1"/>
  <c r="L9" i="1"/>
  <c r="L13" i="1"/>
  <c r="L17" i="1"/>
  <c r="L21" i="1"/>
  <c r="L25" i="1"/>
  <c r="L29" i="1"/>
  <c r="L33" i="1"/>
  <c r="L37" i="1"/>
  <c r="L41" i="1"/>
  <c r="L7" i="1"/>
  <c r="L11" i="1"/>
  <c r="L23" i="1"/>
  <c r="L35" i="1"/>
  <c r="L6" i="1"/>
  <c r="L10" i="1"/>
  <c r="L14" i="1"/>
  <c r="L18" i="1"/>
  <c r="L22" i="1"/>
  <c r="L26" i="1"/>
  <c r="L30" i="1"/>
  <c r="L34" i="1"/>
  <c r="L38" i="1"/>
  <c r="L42" i="1"/>
  <c r="L5" i="1"/>
  <c r="L15" i="1"/>
  <c r="L27" i="1"/>
  <c r="L39" i="1"/>
  <c r="B39" i="1"/>
  <c r="B40" i="1" s="1"/>
  <c r="B37" i="1"/>
  <c r="B36" i="1"/>
  <c r="G11" i="1"/>
  <c r="B20" i="2" l="1"/>
  <c r="B21" i="2" s="1"/>
  <c r="B22" i="2" s="1"/>
  <c r="B42" i="1"/>
  <c r="B44" i="1" s="1"/>
</calcChain>
</file>

<file path=xl/sharedStrings.xml><?xml version="1.0" encoding="utf-8"?>
<sst xmlns="http://schemas.openxmlformats.org/spreadsheetml/2006/main" count="102" uniqueCount="57">
  <si>
    <t>pCO2-atm</t>
  </si>
  <si>
    <t>pCO2-epi</t>
  </si>
  <si>
    <t>pCO2-cave</t>
  </si>
  <si>
    <t>[H2CO3]</t>
  </si>
  <si>
    <t>[HCO3]</t>
  </si>
  <si>
    <t>[CO3]</t>
  </si>
  <si>
    <t>[H]</t>
  </si>
  <si>
    <t>[OH]</t>
  </si>
  <si>
    <t>Vcave</t>
  </si>
  <si>
    <t>Vw</t>
  </si>
  <si>
    <t>K1</t>
  </si>
  <si>
    <t>K2</t>
  </si>
  <si>
    <t>Kw</t>
  </si>
  <si>
    <t>KH-co2</t>
  </si>
  <si>
    <t>CO2 Total</t>
  </si>
  <si>
    <t>T (K)</t>
  </si>
  <si>
    <t>R (L*atm/mol/K)</t>
  </si>
  <si>
    <t>pO2 atm</t>
  </si>
  <si>
    <t>Kh-O2</t>
  </si>
  <si>
    <t>OR</t>
  </si>
  <si>
    <t>pO2 epi</t>
  </si>
  <si>
    <t>pO2w</t>
  </si>
  <si>
    <t>O2 total</t>
  </si>
  <si>
    <t>pO2 cave</t>
  </si>
  <si>
    <t>OR Apparent</t>
  </si>
  <si>
    <t>[Ca]</t>
  </si>
  <si>
    <t>Kcc</t>
  </si>
  <si>
    <t>pH drip</t>
  </si>
  <si>
    <t>DIC</t>
  </si>
  <si>
    <t>W/Cc - No CO3, H+=OH- in cb</t>
  </si>
  <si>
    <t>pCO2-epikarst</t>
  </si>
  <si>
    <t>vw/Vcave</t>
  </si>
  <si>
    <t>w/o HCO3 in cb</t>
  </si>
  <si>
    <t>with HCO3 in cb</t>
  </si>
  <si>
    <t>Equation balance</t>
  </si>
  <si>
    <t>No water transport</t>
  </si>
  <si>
    <t>[H2CO3] initial</t>
  </si>
  <si>
    <t>[HCO3] initial</t>
  </si>
  <si>
    <t>[CO3] initial</t>
  </si>
  <si>
    <t>[H] initial</t>
  </si>
  <si>
    <t>[OH] initial</t>
  </si>
  <si>
    <t>[Ca] initial</t>
  </si>
  <si>
    <t>Available C final</t>
  </si>
  <si>
    <t>[H2CO3] final</t>
  </si>
  <si>
    <t>[HCO3] final</t>
  </si>
  <si>
    <t>[CO3] final</t>
  </si>
  <si>
    <t>[H] final</t>
  </si>
  <si>
    <t>[OH] final</t>
  </si>
  <si>
    <t>[Ca] final</t>
  </si>
  <si>
    <t>Added C due to respiration</t>
  </si>
  <si>
    <t>Available C initial - limestone input</t>
  </si>
  <si>
    <t>Initial O2</t>
  </si>
  <si>
    <t>Final O2</t>
  </si>
  <si>
    <t>ORapp</t>
  </si>
  <si>
    <t>pO2 epikarst</t>
  </si>
  <si>
    <t>pH initial</t>
  </si>
  <si>
    <t>pH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</si>
</sst>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</a:t>
            </a:r>
            <a:r>
              <a:rPr lang="en-US" baseline="0"/>
              <a:t> Vw/Vcave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9637532808398939"/>
                  <c:y val="-7.87037037037037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'Assuming water-transport'!$C$50:$G$50</c:f>
              <c:numCache>
                <c:formatCode>General</c:formatCode>
                <c:ptCount val="5"/>
                <c:pt idx="0">
                  <c:v>0.05</c:v>
                </c:pt>
                <c:pt idx="1">
                  <c:v>0.02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</c:numCache>
            </c:numRef>
          </c:xVal>
          <c:yVal>
            <c:numRef>
              <c:f>'Assuming water-transport'!$C$51:$G$51</c:f>
              <c:numCache>
                <c:formatCode>General</c:formatCode>
                <c:ptCount val="5"/>
                <c:pt idx="0">
                  <c:v>2.7400000000000001E-2</c:v>
                </c:pt>
                <c:pt idx="1">
                  <c:v>2.1399999999999999E-2</c:v>
                </c:pt>
                <c:pt idx="2">
                  <c:v>1.7299999999999999E-2</c:v>
                </c:pt>
                <c:pt idx="3">
                  <c:v>1.38E-2</c:v>
                </c:pt>
                <c:pt idx="4">
                  <c:v>8.5000000000000006E-3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46-46FD-BBA3-38EB050534F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9915310586176727"/>
                  <c:y val="-1.30577427821522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'Assuming water-transport'!$C$50:$G$50</c:f>
              <c:numCache>
                <c:formatCode>General</c:formatCode>
                <c:ptCount val="5"/>
                <c:pt idx="0">
                  <c:v>0.05</c:v>
                </c:pt>
                <c:pt idx="1">
                  <c:v>0.02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</c:numCache>
            </c:numRef>
          </c:xVal>
          <c:yVal>
            <c:numRef>
              <c:f>'Assuming water-transport'!$C$52:$G$52</c:f>
              <c:numCache>
                <c:formatCode>General</c:formatCode>
                <c:ptCount val="5"/>
                <c:pt idx="0">
                  <c:v>2.47E-2</c:v>
                </c:pt>
                <c:pt idx="1">
                  <c:v>1.8700000000000001E-2</c:v>
                </c:pt>
                <c:pt idx="2">
                  <c:v>1.4800000000000001E-2</c:v>
                </c:pt>
                <c:pt idx="3">
                  <c:v>1.15E-2</c:v>
                </c:pt>
                <c:pt idx="4">
                  <c:v>6.6E-3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46-46FD-BBA3-38EB050534F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9915310586176727"/>
                  <c:y val="1.26585739282589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'Assuming water-transport'!$C$50:$G$50</c:f>
              <c:numCache>
                <c:formatCode>General</c:formatCode>
                <c:ptCount val="5"/>
                <c:pt idx="0">
                  <c:v>0.05</c:v>
                </c:pt>
                <c:pt idx="1">
                  <c:v>0.02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</c:numCache>
            </c:numRef>
          </c:xVal>
          <c:yVal>
            <c:numRef>
              <c:f>'Assuming water-transport'!$C$53:$G$53</c:f>
              <c:numCache>
                <c:formatCode>General</c:formatCode>
                <c:ptCount val="5"/>
                <c:pt idx="0">
                  <c:v>2.1100000000000001E-2</c:v>
                </c:pt>
                <c:pt idx="1">
                  <c:v>1.5900000000000001E-2</c:v>
                </c:pt>
                <c:pt idx="2">
                  <c:v>1.21E-2</c:v>
                </c:pt>
                <c:pt idx="3">
                  <c:v>9.2200000000000008E-3</c:v>
                </c:pt>
                <c:pt idx="4">
                  <c:v>5.1000000000000004E-3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46-46FD-BBA3-38EB050534F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9893088363954506"/>
                  <c:y val="0.125466243802857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'Assuming water-transport'!$C$50:$G$50</c:f>
              <c:numCache>
                <c:formatCode>General</c:formatCode>
                <c:ptCount val="5"/>
                <c:pt idx="0">
                  <c:v>0.05</c:v>
                </c:pt>
                <c:pt idx="1">
                  <c:v>0.02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1E-3</c:v>
                </c:pt>
              </c:numCache>
            </c:numRef>
          </c:xVal>
          <c:yVal>
            <c:numRef>
              <c:f>'Assuming water-transport'!$C$54:$G$54</c:f>
              <c:numCache>
                <c:formatCode>General</c:formatCode>
                <c:ptCount val="5"/>
                <c:pt idx="0">
                  <c:v>2.0400000000000001E-2</c:v>
                </c:pt>
                <c:pt idx="1">
                  <c:v>1.4800000000000001E-2</c:v>
                </c:pt>
                <c:pt idx="2">
                  <c:v>1.09E-2</c:v>
                </c:pt>
                <c:pt idx="3">
                  <c:v>8.7100000000000007E-3</c:v>
                </c:pt>
                <c:pt idx="4">
                  <c:v>4.1000000000000003E-3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46-46FD-BBA3-38EB05053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154576"/>
        <c:axId val="302153592"/>
      </c:scatterChart>
      <c:valAx>
        <c:axId val="30215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pCO2</a:t>
                </a:r>
                <a:r>
                  <a:rPr lang="en-US" baseline="0"/>
                  <a:t> epikarst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153592"/>
        <c:crosses val="autoZero"/>
        <c:crossBetween val="midCat"/>
      </c:valAx>
      <c:valAx>
        <c:axId val="30215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ORapp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15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 pCO2-epikarst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12270341207349"/>
          <c:y val="5.0925925925925923E-2"/>
          <c:w val="0.65683573928258976"/>
          <c:h val="0.7435032079323418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388932633420821"/>
                  <c:y val="-5.55555555555555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'Assuming water-transport'!$B$51:$B$54</c:f>
              <c:numCache>
                <c:formatCode>General</c:formatCode>
                <c:ptCount val="4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1E-3</c:v>
                </c:pt>
              </c:numCache>
            </c:numRef>
          </c:xVal>
          <c:yVal>
            <c:numRef>
              <c:f>'Assuming water-transport'!$C$51:$C$54</c:f>
              <c:numCache>
                <c:formatCode>General</c:formatCode>
                <c:ptCount val="4"/>
                <c:pt idx="0">
                  <c:v>2.7400000000000001E-2</c:v>
                </c:pt>
                <c:pt idx="1">
                  <c:v>2.47E-2</c:v>
                </c:pt>
                <c:pt idx="2">
                  <c:v>2.1100000000000001E-2</c:v>
                </c:pt>
                <c:pt idx="3">
                  <c:v>2.0400000000000001E-2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2F-433E-959B-A857BC628A9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666710411198603"/>
                  <c:y val="-1.62208369787109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'Assuming water-transport'!$B$51:$B$54</c:f>
              <c:numCache>
                <c:formatCode>General</c:formatCode>
                <c:ptCount val="4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1E-3</c:v>
                </c:pt>
              </c:numCache>
            </c:numRef>
          </c:xVal>
          <c:yVal>
            <c:numRef>
              <c:f>'Assuming water-transport'!$D$51:$D$54</c:f>
              <c:numCache>
                <c:formatCode>General</c:formatCode>
                <c:ptCount val="4"/>
                <c:pt idx="0">
                  <c:v>2.1399999999999999E-2</c:v>
                </c:pt>
                <c:pt idx="1">
                  <c:v>1.8700000000000001E-2</c:v>
                </c:pt>
                <c:pt idx="2">
                  <c:v>1.5900000000000001E-2</c:v>
                </c:pt>
                <c:pt idx="3">
                  <c:v>1.4800000000000001E-2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2F-433E-959B-A857BC628A9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8066710411198598"/>
                  <c:y val="1.3150699912510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'Assuming water-transport'!$B$51:$B$54</c:f>
              <c:numCache>
                <c:formatCode>General</c:formatCode>
                <c:ptCount val="4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1E-3</c:v>
                </c:pt>
              </c:numCache>
            </c:numRef>
          </c:xVal>
          <c:yVal>
            <c:numRef>
              <c:f>'Assuming water-transport'!$G$51:$G$54</c:f>
              <c:numCache>
                <c:formatCode>General</c:formatCode>
                <c:ptCount val="4"/>
                <c:pt idx="0">
                  <c:v>8.5000000000000006E-3</c:v>
                </c:pt>
                <c:pt idx="1">
                  <c:v>6.6E-3</c:v>
                </c:pt>
                <c:pt idx="2">
                  <c:v>5.1000000000000004E-3</c:v>
                </c:pt>
                <c:pt idx="3">
                  <c:v>4.1000000000000003E-3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2F-433E-959B-A857BC628A9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388932633420821"/>
                  <c:y val="2.63998250218722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'Assuming water-transport'!$B$51:$B$54</c:f>
              <c:numCache>
                <c:formatCode>General</c:formatCode>
                <c:ptCount val="4"/>
                <c:pt idx="0">
                  <c:v>0.1</c:v>
                </c:pt>
                <c:pt idx="1">
                  <c:v>0.05</c:v>
                </c:pt>
                <c:pt idx="2">
                  <c:v>0.01</c:v>
                </c:pt>
                <c:pt idx="3">
                  <c:v>1E-3</c:v>
                </c:pt>
              </c:numCache>
            </c:numRef>
          </c:xVal>
          <c:yVal>
            <c:numRef>
              <c:f>'Assuming water-transport'!$E$51:$E$54</c:f>
              <c:numCache>
                <c:formatCode>General</c:formatCode>
                <c:ptCount val="4"/>
                <c:pt idx="0">
                  <c:v>1.7299999999999999E-2</c:v>
                </c:pt>
                <c:pt idx="1">
                  <c:v>1.4800000000000001E-2</c:v>
                </c:pt>
                <c:pt idx="2">
                  <c:v>1.21E-2</c:v>
                </c:pt>
                <c:pt idx="3">
                  <c:v>1.09E-2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2F-433E-959B-A857BC628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154576"/>
        <c:axId val="302153592"/>
      </c:scatterChart>
      <c:valAx>
        <c:axId val="30215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Vw/Vcave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153592"/>
        <c:crosses val="autoZero"/>
        <c:crossBetween val="midCat"/>
      </c:valAx>
      <c:valAx>
        <c:axId val="30215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ORapp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15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34</xdr:row>
      <xdr:rowOff>161925</xdr:rowOff>
    </xdr:from>
    <xdr:to>
      <xdr:col>10</xdr:col>
      <xdr:colOff>433387</xdr:colOff>
      <xdr:row>49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723900</xdr:colOff>
      <xdr:row>56</xdr:row>
      <xdr:rowOff>114300</xdr:rowOff>
    </xdr:from>
    <xdr:to>
      <xdr:col>7</xdr:col>
      <xdr:colOff>238125</xdr:colOff>
      <xdr:row>71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4"/>
  <sheetViews>
    <sheetView workbookViewId="0">
      <selection activeCell="G34" sqref="G34"/>
    </sheetView>
  </sheetViews>
  <sheetFormatPr defaultRowHeight="15" x14ac:dyDescent="0.25"/>
  <cols>
    <col min="1" max="1" width="15.75" customWidth="1"/>
    <col min="2" max="2" width="11.625" bestFit="1" customWidth="1"/>
    <col min="4" max="4" width="11.625" bestFit="1" customWidth="1"/>
    <col min="5" max="5" width="20.25" customWidth="1"/>
    <col min="6" max="6" width="11.625" bestFit="1" customWidth="1"/>
    <col min="7" max="7" width="22.875" customWidth="1"/>
    <col min="11" max="11" width="12.625" customWidth="1"/>
    <col min="12" max="12" width="13.5" customWidth="1"/>
    <col min="13" max="13" width="12.25" bestFit="1" customWidth="1"/>
  </cols>
  <sheetData>
    <row r="1" spans="1:12" x14ac:dyDescent="0.25">
      <c r="B1" t="s">
        <v>33</v>
      </c>
      <c r="D1" t="s">
        <v>32</v>
      </c>
      <c r="G1" t="s">
        <v>29</v>
      </c>
    </row>
    <row r="2" spans="1:12" x14ac:dyDescent="0.25">
      <c r="A2" t="s">
        <v>0</v>
      </c>
      <c r="B2">
        <f>400/1000000</f>
        <v>4.0000000000000002E-4</v>
      </c>
      <c r="D2">
        <f>400/1000000</f>
        <v>4.0000000000000002E-4</v>
      </c>
      <c r="F2" t="s">
        <v>0</v>
      </c>
      <c r="G2">
        <f>400/1000000</f>
        <v>4.0000000000000002E-4</v>
      </c>
      <c r="K2" t="s">
        <v>2</v>
      </c>
      <c r="L2" t="s">
        <v>34</v>
      </c>
    </row>
    <row r="3" spans="1:12" x14ac:dyDescent="0.25">
      <c r="A3" t="s">
        <v>1</v>
      </c>
      <c r="B3">
        <v>1E-3</v>
      </c>
      <c r="D3">
        <v>1E-3</v>
      </c>
      <c r="F3" t="s">
        <v>1</v>
      </c>
      <c r="G3">
        <v>1E-3</v>
      </c>
      <c r="K3">
        <v>6.9999999999999999E-4</v>
      </c>
      <c r="L3">
        <f>$K3*($G$13/($G$15*$G$16)+$G$21*$G$14)+$K3^(1/3)*($G$14*($G$18*$G$21*$G$22/$G$19)^(1/3)*(2^(1/3)-0.25^(1/3)))+$G$14*($G$18*$G$21*$G$22*$G$3/4/$G$19)^(1/3)-$G$25</f>
        <v>4.2736795361185691E-6</v>
      </c>
    </row>
    <row r="4" spans="1:12" x14ac:dyDescent="0.25">
      <c r="A4" t="s">
        <v>2</v>
      </c>
      <c r="B4">
        <f>((-B14*SQRT(B18*B21)+SQRT((B14^2)*B18*B21+4*(B13/(B15*B16)+B21*B14)*B25))/(2*(B13/(B15*B16)+B21*B14)))^2</f>
        <v>4.2373792157963225E-4</v>
      </c>
      <c r="D4">
        <f>D25/(D13/(D15*D16)+D21*D14)</f>
        <v>4.0455802911113588E-4</v>
      </c>
      <c r="F4" t="s">
        <v>2</v>
      </c>
      <c r="G4">
        <v>1.5299999999999999E-3</v>
      </c>
      <c r="K4">
        <v>7.1000000000000002E-4</v>
      </c>
      <c r="L4">
        <f>$K4*($G$13/($G$15*$G$16)+$G$21*$G$14)+$K4^(1/3)*($G$14*($G$18*$G$21*$G$22/$G$19)^(1/3)*(2^(1/3)-0.25^(1/3)))+$G$14*($G$18*$G$21*$G$22*$G$3/4/$G$19)^(1/3)-$G$25</f>
        <v>4.9876060141786972E-6</v>
      </c>
    </row>
    <row r="5" spans="1:12" x14ac:dyDescent="0.25">
      <c r="A5" t="s">
        <v>3</v>
      </c>
      <c r="B5">
        <f>B$21*B$3</f>
        <v>3.1622776601683782E-5</v>
      </c>
      <c r="D5">
        <f>D21*D3</f>
        <v>3.1622776601683782E-5</v>
      </c>
      <c r="F5" t="s">
        <v>3</v>
      </c>
      <c r="G5">
        <f>G21*G3</f>
        <v>3.1622776601683782E-5</v>
      </c>
      <c r="K5">
        <v>7.2000000000000005E-4</v>
      </c>
      <c r="L5">
        <f>$K5*($G$13/($G$15*$G$16)+$G$21*$G$14)+$K5^(1/3)*($G$14*($G$18*$G$21*$G$22/$G$19)^(1/3)*(2^(1/3)-0.25^(1/3)))+$G$14*($G$18*$G$21*$G$22*$G$3/4/$G$19)^(1/3)-$G$25</f>
        <v>5.6990165413931611E-6</v>
      </c>
    </row>
    <row r="6" spans="1:12" x14ac:dyDescent="0.25">
      <c r="A6" t="s">
        <v>4</v>
      </c>
      <c r="B6">
        <f>B$18*B$21*B$3/B$8</f>
        <v>3.9810717055349717E-6</v>
      </c>
      <c r="F6" t="s">
        <v>4</v>
      </c>
      <c r="G6">
        <f>G18*G5/G8</f>
        <v>1.2794107590819725E-3</v>
      </c>
      <c r="K6">
        <v>7.2999999999999996E-4</v>
      </c>
      <c r="L6">
        <f t="shared" ref="L6:L67" si="0">$K6*($G$13/($G$15*$G$16)+$G$21*$G$14)+$K6^(1/3)*($G$14*($G$18*$G$21*$G$22/$G$19)^(1/3)*(2^(1/3)-0.25^(1/3)))+$G$14*($G$18*$G$21*$G$22*$G$3/4/$G$19)^(1/3)-$G$25</f>
        <v>6.4079690923014637E-6</v>
      </c>
    </row>
    <row r="7" spans="1:12" x14ac:dyDescent="0.25">
      <c r="A7" t="s">
        <v>5</v>
      </c>
      <c r="F7" t="s">
        <v>5</v>
      </c>
      <c r="G7">
        <f>G6*G19/G8</f>
        <v>5.1763066572956914E-6</v>
      </c>
      <c r="K7">
        <v>7.3999999999999999E-4</v>
      </c>
      <c r="L7">
        <f t="shared" si="0"/>
        <v>7.1145195331152726E-6</v>
      </c>
    </row>
    <row r="8" spans="1:12" x14ac:dyDescent="0.25">
      <c r="A8" t="s">
        <v>6</v>
      </c>
      <c r="B8">
        <f>SQRT(B$18*B$21*B$3)</f>
        <v>3.9810717055349717E-6</v>
      </c>
      <c r="D8">
        <f>SQRT(D18*D21*D3)</f>
        <v>3.9810717055349717E-6</v>
      </c>
      <c r="F8" t="s">
        <v>6</v>
      </c>
      <c r="G8">
        <f>((G18^2*G21^2*G19*G3^2)/(2*G22))^(1/3)</f>
        <v>1.2387680666358752E-8</v>
      </c>
      <c r="K8">
        <v>7.5000000000000002E-4</v>
      </c>
      <c r="L8">
        <f t="shared" si="0"/>
        <v>7.8187217257266392E-6</v>
      </c>
    </row>
    <row r="9" spans="1:12" x14ac:dyDescent="0.25">
      <c r="A9" t="s">
        <v>7</v>
      </c>
      <c r="B9">
        <f>10^-14/B8</f>
        <v>2.5118864315095808E-9</v>
      </c>
      <c r="D9">
        <f>10^-14/D8</f>
        <v>2.5118864315095808E-9</v>
      </c>
      <c r="F9" t="s">
        <v>7</v>
      </c>
      <c r="G9">
        <f>10^-14/G8</f>
        <v>8.0725361504975013E-7</v>
      </c>
      <c r="K9">
        <v>7.6000000000000004E-4</v>
      </c>
      <c r="L9">
        <f t="shared" si="0"/>
        <v>8.5206276252725878E-6</v>
      </c>
    </row>
    <row r="10" spans="1:12" x14ac:dyDescent="0.25">
      <c r="A10" t="s">
        <v>25</v>
      </c>
      <c r="F10" t="s">
        <v>25</v>
      </c>
      <c r="G10">
        <f>G22/G7</f>
        <v>6.3970537954099061E-4</v>
      </c>
      <c r="K10">
        <v>7.6999999999999996E-4</v>
      </c>
      <c r="L10">
        <f t="shared" si="0"/>
        <v>9.220287371734478E-6</v>
      </c>
    </row>
    <row r="11" spans="1:12" x14ac:dyDescent="0.25">
      <c r="A11" t="s">
        <v>28</v>
      </c>
      <c r="B11">
        <f>B6+B5</f>
        <v>3.5603848307218753E-5</v>
      </c>
      <c r="D11">
        <f>D5</f>
        <v>3.1622776601683782E-5</v>
      </c>
      <c r="F11" t="s">
        <v>28</v>
      </c>
      <c r="G11">
        <f>G6+G5</f>
        <v>1.3110335356836564E-3</v>
      </c>
      <c r="K11">
        <v>7.7999999999999999E-4</v>
      </c>
      <c r="L11">
        <f t="shared" si="0"/>
        <v>9.9177493760088035E-6</v>
      </c>
    </row>
    <row r="12" spans="1:12" x14ac:dyDescent="0.25">
      <c r="K12">
        <v>7.9000000000000001E-4</v>
      </c>
      <c r="L12">
        <f t="shared" si="0"/>
        <v>1.0613060400850176E-5</v>
      </c>
    </row>
    <row r="13" spans="1:12" x14ac:dyDescent="0.25">
      <c r="A13" t="s">
        <v>8</v>
      </c>
      <c r="B13">
        <v>1</v>
      </c>
      <c r="D13">
        <v>1</v>
      </c>
      <c r="F13" t="s">
        <v>8</v>
      </c>
      <c r="G13">
        <v>1</v>
      </c>
      <c r="K13">
        <v>8.0000000000000004E-4</v>
      </c>
      <c r="L13">
        <f t="shared" si="0"/>
        <v>1.1306265637052438E-5</v>
      </c>
    </row>
    <row r="14" spans="1:12" x14ac:dyDescent="0.25">
      <c r="A14" t="s">
        <v>9</v>
      </c>
      <c r="B14">
        <v>0.05</v>
      </c>
      <c r="D14">
        <v>0.01</v>
      </c>
      <c r="F14" t="s">
        <v>9</v>
      </c>
      <c r="G14">
        <v>0.1</v>
      </c>
      <c r="K14">
        <v>8.0999999999999996E-4</v>
      </c>
      <c r="L14">
        <f t="shared" si="0"/>
        <v>1.1997408775203764E-5</v>
      </c>
    </row>
    <row r="15" spans="1:12" x14ac:dyDescent="0.25">
      <c r="A15" t="s">
        <v>16</v>
      </c>
      <c r="B15">
        <v>8.2057000000000005E-2</v>
      </c>
      <c r="D15">
        <v>8.2057000000000005E-2</v>
      </c>
      <c r="F15" t="s">
        <v>16</v>
      </c>
      <c r="G15">
        <v>8.2057000000000005E-2</v>
      </c>
      <c r="K15">
        <v>8.1999999999999998E-4</v>
      </c>
      <c r="L15">
        <f t="shared" si="0"/>
        <v>1.2686532073324317E-5</v>
      </c>
    </row>
    <row r="16" spans="1:12" x14ac:dyDescent="0.25">
      <c r="A16" t="s">
        <v>15</v>
      </c>
      <c r="B16">
        <f>295</f>
        <v>295</v>
      </c>
      <c r="D16">
        <f>295</f>
        <v>295</v>
      </c>
      <c r="F16" t="s">
        <v>15</v>
      </c>
      <c r="G16">
        <f>295</f>
        <v>295</v>
      </c>
      <c r="K16">
        <v>8.3000000000000001E-4</v>
      </c>
      <c r="L16">
        <f t="shared" si="0"/>
        <v>1.3373676420669757E-5</v>
      </c>
    </row>
    <row r="17" spans="1:12" x14ac:dyDescent="0.25">
      <c r="K17">
        <v>8.4000000000000003E-4</v>
      </c>
      <c r="L17">
        <f t="shared" si="0"/>
        <v>1.4058881397961676E-5</v>
      </c>
    </row>
    <row r="18" spans="1:12" x14ac:dyDescent="0.25">
      <c r="A18" t="s">
        <v>10</v>
      </c>
      <c r="B18">
        <f>10^-6.3</f>
        <v>5.0118723362727218E-7</v>
      </c>
      <c r="D18">
        <f>10^-6.3</f>
        <v>5.0118723362727218E-7</v>
      </c>
      <c r="F18" t="s">
        <v>10</v>
      </c>
      <c r="G18">
        <f>10^-6.3</f>
        <v>5.0118723362727218E-7</v>
      </c>
      <c r="K18">
        <v>8.4999999999999995E-4</v>
      </c>
      <c r="L18">
        <f t="shared" si="0"/>
        <v>1.4742185334284258E-5</v>
      </c>
    </row>
    <row r="19" spans="1:12" x14ac:dyDescent="0.25">
      <c r="A19" t="s">
        <v>11</v>
      </c>
      <c r="B19">
        <f>10^-10.3</f>
        <v>5.0118723362726993E-11</v>
      </c>
      <c r="D19">
        <f>10^-10.3</f>
        <v>5.0118723362726993E-11</v>
      </c>
      <c r="F19" t="s">
        <v>11</v>
      </c>
      <c r="G19">
        <f>10^-10.3</f>
        <v>5.0118723362726993E-11</v>
      </c>
      <c r="K19">
        <v>8.5999999999999998E-4</v>
      </c>
      <c r="L19">
        <f t="shared" si="0"/>
        <v>1.5423625360869945E-5</v>
      </c>
    </row>
    <row r="20" spans="1:12" x14ac:dyDescent="0.25">
      <c r="A20" t="s">
        <v>12</v>
      </c>
      <c r="B20">
        <f>10^-14</f>
        <v>1E-14</v>
      </c>
      <c r="D20">
        <f>10^-14</f>
        <v>1E-14</v>
      </c>
      <c r="F20" t="s">
        <v>12</v>
      </c>
      <c r="G20">
        <f>10^-14</f>
        <v>1E-14</v>
      </c>
      <c r="K20">
        <v>8.7000000000000001E-4</v>
      </c>
      <c r="L20">
        <f t="shared" si="0"/>
        <v>1.6103237461976682E-5</v>
      </c>
    </row>
    <row r="21" spans="1:12" x14ac:dyDescent="0.25">
      <c r="A21" t="s">
        <v>13</v>
      </c>
      <c r="B21">
        <f>10^-1.5</f>
        <v>3.1622776601683784E-2</v>
      </c>
      <c r="D21">
        <f>10^-1.5</f>
        <v>3.1622776601683784E-2</v>
      </c>
      <c r="F21" t="s">
        <v>13</v>
      </c>
      <c r="G21">
        <f>10^-1.5</f>
        <v>3.1622776601683784E-2</v>
      </c>
      <c r="K21">
        <v>8.8000000000000003E-4</v>
      </c>
      <c r="L21">
        <f t="shared" si="0"/>
        <v>1.6781056523046932E-5</v>
      </c>
    </row>
    <row r="22" spans="1:12" x14ac:dyDescent="0.25">
      <c r="A22" t="s">
        <v>26</v>
      </c>
      <c r="F22" t="s">
        <v>26</v>
      </c>
      <c r="G22">
        <f>10^-8.48</f>
        <v>3.3113112148258966E-9</v>
      </c>
      <c r="K22">
        <v>8.8999999999999995E-4</v>
      </c>
      <c r="L22">
        <f t="shared" si="0"/>
        <v>1.7457116376321793E-5</v>
      </c>
    </row>
    <row r="23" spans="1:12" x14ac:dyDescent="0.25">
      <c r="K23">
        <v>9.0000000000000095E-4</v>
      </c>
      <c r="L23">
        <f t="shared" si="0"/>
        <v>1.8131449844072535E-5</v>
      </c>
    </row>
    <row r="24" spans="1:12" x14ac:dyDescent="0.25">
      <c r="A24" t="s">
        <v>27</v>
      </c>
      <c r="B24">
        <f>-LOG10(B8)</f>
        <v>5.4</v>
      </c>
      <c r="D24">
        <f>-LOG10(D8)</f>
        <v>5.4</v>
      </c>
      <c r="F24" t="s">
        <v>27</v>
      </c>
      <c r="G24">
        <f>-LOG10(G8)</f>
        <v>7.9070099985546598</v>
      </c>
      <c r="K24">
        <v>9.1000000000000098E-4</v>
      </c>
      <c r="L24">
        <f t="shared" si="0"/>
        <v>1.8804088779597909E-5</v>
      </c>
    </row>
    <row r="25" spans="1:12" x14ac:dyDescent="0.25">
      <c r="A25" t="s">
        <v>14</v>
      </c>
      <c r="B25">
        <f>B2*B13/B15/B16 + B3*B21*B14+B14*B6</f>
        <v>1.8304464608956003E-5</v>
      </c>
      <c r="D25">
        <f>D2*D13/D15/D16 + D3*D21*D14+D14*D6</f>
        <v>1.6840499959611903E-5</v>
      </c>
      <c r="F25" t="s">
        <v>14</v>
      </c>
      <c r="G25">
        <f>G2*G13/G15/G16 + G3*G21*G14+G14*G6</f>
        <v>1.476276257619607E-4</v>
      </c>
      <c r="K25">
        <v>9.20000000000001E-4</v>
      </c>
      <c r="L25">
        <f t="shared" si="0"/>
        <v>1.9475064106127496E-5</v>
      </c>
    </row>
    <row r="26" spans="1:12" x14ac:dyDescent="0.25">
      <c r="K26">
        <v>9.3000000000000103E-4</v>
      </c>
      <c r="L26">
        <f t="shared" si="0"/>
        <v>2.0144405853757708E-5</v>
      </c>
    </row>
    <row r="27" spans="1:12" x14ac:dyDescent="0.25">
      <c r="A27" t="s">
        <v>17</v>
      </c>
      <c r="B27">
        <v>0.22</v>
      </c>
      <c r="D27">
        <v>0.22</v>
      </c>
      <c r="F27" t="s">
        <v>17</v>
      </c>
      <c r="G27">
        <v>0.22</v>
      </c>
      <c r="K27">
        <v>9.4000000000000095E-4</v>
      </c>
      <c r="L27">
        <f t="shared" si="0"/>
        <v>2.0812143194541663E-5</v>
      </c>
    </row>
    <row r="28" spans="1:12" x14ac:dyDescent="0.25">
      <c r="A28" t="s">
        <v>19</v>
      </c>
      <c r="B28">
        <v>1.1000000000000001</v>
      </c>
      <c r="D28">
        <v>1.1000000000000001</v>
      </c>
      <c r="F28" t="s">
        <v>19</v>
      </c>
      <c r="G28">
        <v>1.08</v>
      </c>
      <c r="K28">
        <v>9.5000000000000097E-4</v>
      </c>
      <c r="L28">
        <f t="shared" si="0"/>
        <v>2.1478304475842366E-5</v>
      </c>
    </row>
    <row r="29" spans="1:12" x14ac:dyDescent="0.25">
      <c r="A29" t="s">
        <v>20</v>
      </c>
      <c r="B29">
        <f>B27-B28*(B3-B2)</f>
        <v>0.21934000000000001</v>
      </c>
      <c r="D29">
        <f>D27-D28*(D3-D2)</f>
        <v>0.21934000000000001</v>
      </c>
      <c r="F29" t="s">
        <v>20</v>
      </c>
      <c r="G29">
        <f>G27-G28*(G3-G2)</f>
        <v>0.21935199999999999</v>
      </c>
      <c r="K29">
        <v>9.60000000000001E-4</v>
      </c>
      <c r="L29">
        <f t="shared" si="0"/>
        <v>2.2142917252053614E-5</v>
      </c>
    </row>
    <row r="30" spans="1:12" x14ac:dyDescent="0.25">
      <c r="A30" t="s">
        <v>18</v>
      </c>
      <c r="B30">
        <v>1.2800000000000001E-3</v>
      </c>
      <c r="D30">
        <v>1.2800000000000001E-3</v>
      </c>
      <c r="F30" t="s">
        <v>18</v>
      </c>
      <c r="G30">
        <v>1.2800000000000001E-3</v>
      </c>
      <c r="K30">
        <v>9.7000000000000103E-4</v>
      </c>
      <c r="L30">
        <f t="shared" si="0"/>
        <v>2.280600831478381E-5</v>
      </c>
    </row>
    <row r="31" spans="1:12" x14ac:dyDescent="0.25">
      <c r="A31" t="s">
        <v>21</v>
      </c>
      <c r="B31">
        <f>B30*B29</f>
        <v>2.8075520000000001E-4</v>
      </c>
      <c r="D31">
        <f>D30*D29</f>
        <v>2.8075520000000001E-4</v>
      </c>
      <c r="F31" t="s">
        <v>21</v>
      </c>
      <c r="G31">
        <f>G30*G29</f>
        <v>2.8077056E-4</v>
      </c>
      <c r="K31">
        <v>9.8000000000000105E-4</v>
      </c>
      <c r="L31">
        <f t="shared" si="0"/>
        <v>2.3467603721592735E-5</v>
      </c>
    </row>
    <row r="32" spans="1:12" x14ac:dyDescent="0.25">
      <c r="A32" t="s">
        <v>22</v>
      </c>
      <c r="B32">
        <f>B27*B13/(B15*B16)+B31*B14</f>
        <v>9.1023874664772873E-3</v>
      </c>
      <c r="D32">
        <f>D27*D13/(D15*D16)+D31*D14</f>
        <v>9.0911572584772872E-3</v>
      </c>
      <c r="F32" t="s">
        <v>22</v>
      </c>
      <c r="G32">
        <f>G27*G13/(G15*G16)+G31*G14</f>
        <v>9.1164267624772866E-3</v>
      </c>
      <c r="K32">
        <v>9.9000000000000108E-4</v>
      </c>
      <c r="L32">
        <f t="shared" si="0"/>
        <v>2.4127728823364217E-5</v>
      </c>
    </row>
    <row r="33" spans="1:12" x14ac:dyDescent="0.25">
      <c r="A33" t="s">
        <v>23</v>
      </c>
      <c r="B33">
        <f>B32/(B13/(B15*B16)+B30*B14)</f>
        <v>0.21999897908577165</v>
      </c>
      <c r="D33">
        <f>D32/(D13/(D15*D16)+D30*D14)</f>
        <v>0.21999979556417076</v>
      </c>
      <c r="F33" t="s">
        <v>23</v>
      </c>
      <c r="G33">
        <f>G32/(G13/(G15*G16)+G30*G14)</f>
        <v>0.21999799839186404</v>
      </c>
      <c r="K33">
        <v>1E-3</v>
      </c>
      <c r="L33">
        <f t="shared" si="0"/>
        <v>2.478640829039298E-5</v>
      </c>
    </row>
    <row r="34" spans="1:12" x14ac:dyDescent="0.25">
      <c r="A34" t="s">
        <v>24</v>
      </c>
      <c r="B34">
        <f>-(B27-B33)/(B2-B4)</f>
        <v>4.3007734477736564E-2</v>
      </c>
      <c r="D34">
        <f>-(D27-D33)/(D2-D4)</f>
        <v>4.4851804201512441E-2</v>
      </c>
      <c r="F34" t="s">
        <v>24</v>
      </c>
      <c r="G34">
        <f>-(G27-G33)/(G2-G4)</f>
        <v>1.7713346335926829E-3</v>
      </c>
      <c r="K34">
        <v>1.01E-3</v>
      </c>
      <c r="L34">
        <f t="shared" si="0"/>
        <v>2.5443666137258032E-5</v>
      </c>
    </row>
    <row r="35" spans="1:12" x14ac:dyDescent="0.25">
      <c r="K35">
        <v>1.0200000000000001E-3</v>
      </c>
      <c r="L35">
        <f t="shared" si="0"/>
        <v>2.6099525746550267E-5</v>
      </c>
    </row>
    <row r="36" spans="1:12" x14ac:dyDescent="0.25">
      <c r="B36">
        <f>B$21*B$4</f>
        <v>1.3399769631774513E-5</v>
      </c>
      <c r="D36">
        <f>D$21*D$4</f>
        <v>1.2793248176998935E-5</v>
      </c>
      <c r="K36">
        <v>1.0300000000000001E-3</v>
      </c>
      <c r="L36">
        <f t="shared" si="0"/>
        <v>2.6754009891518277E-5</v>
      </c>
    </row>
    <row r="37" spans="1:12" x14ac:dyDescent="0.25">
      <c r="B37">
        <f>B$18*B$21*B$4/B$8</f>
        <v>1.6869310501628705E-6</v>
      </c>
      <c r="K37">
        <v>1.0399999999999999E-3</v>
      </c>
      <c r="L37">
        <f t="shared" si="0"/>
        <v>2.7407140757691165E-5</v>
      </c>
    </row>
    <row r="38" spans="1:12" x14ac:dyDescent="0.25">
      <c r="K38">
        <v>1.0499999999999999E-3</v>
      </c>
      <c r="L38">
        <f t="shared" si="0"/>
        <v>2.8058939963534276E-5</v>
      </c>
    </row>
    <row r="39" spans="1:12" x14ac:dyDescent="0.25">
      <c r="B39">
        <f>SQRT(B$18*B$21*B$4)</f>
        <v>2.5914848008413633E-6</v>
      </c>
      <c r="D39">
        <f>SQRT(D$18*D$21*D$4)</f>
        <v>2.5321557343372934E-6</v>
      </c>
      <c r="K39">
        <v>1.06E-3</v>
      </c>
      <c r="L39">
        <f t="shared" si="0"/>
        <v>2.8709428580189701E-5</v>
      </c>
    </row>
    <row r="40" spans="1:12" x14ac:dyDescent="0.25">
      <c r="B40">
        <f>10^-14/B39</f>
        <v>3.85879168450201E-9</v>
      </c>
      <c r="D40">
        <f>10^-14/D39</f>
        <v>3.9492041758707876E-9</v>
      </c>
      <c r="K40">
        <v>1.07E-3</v>
      </c>
      <c r="L40">
        <f t="shared" si="0"/>
        <v>2.9358627150350314E-5</v>
      </c>
    </row>
    <row r="41" spans="1:12" x14ac:dyDescent="0.25">
      <c r="K41">
        <v>1.08E-3</v>
      </c>
      <c r="L41">
        <f t="shared" si="0"/>
        <v>3.0006555706313279E-5</v>
      </c>
    </row>
    <row r="42" spans="1:12" x14ac:dyDescent="0.25">
      <c r="B42">
        <f>B37+B36</f>
        <v>1.5086700681937384E-5</v>
      </c>
      <c r="D42">
        <f>D37+D36</f>
        <v>1.2793248176998935E-5</v>
      </c>
      <c r="K42">
        <v>1.09E-3</v>
      </c>
      <c r="L42">
        <f t="shared" si="0"/>
        <v>3.065323378725562E-5</v>
      </c>
    </row>
    <row r="43" spans="1:12" x14ac:dyDescent="0.25">
      <c r="K43">
        <v>1.1000000000000001E-3</v>
      </c>
      <c r="L43">
        <f t="shared" si="0"/>
        <v>3.1298680455772807E-5</v>
      </c>
    </row>
    <row r="44" spans="1:12" x14ac:dyDescent="0.25">
      <c r="B44">
        <f>(B42-B11)/B11</f>
        <v>-0.57626207842036781</v>
      </c>
      <c r="D44">
        <f>(D42-D11)/D11</f>
        <v>-0.59544197088886408</v>
      </c>
      <c r="K44">
        <v>1.1100000000000001E-3</v>
      </c>
      <c r="L44">
        <f t="shared" si="0"/>
        <v>3.1942914313717185E-5</v>
      </c>
    </row>
    <row r="45" spans="1:12" x14ac:dyDescent="0.25">
      <c r="K45">
        <v>1.1199999999999999E-3</v>
      </c>
      <c r="L45">
        <f t="shared" si="0"/>
        <v>3.2585953517372929E-5</v>
      </c>
    </row>
    <row r="46" spans="1:12" x14ac:dyDescent="0.25">
      <c r="K46">
        <v>1.1299999999999999E-3</v>
      </c>
      <c r="L46">
        <f t="shared" si="0"/>
        <v>3.3227815792000507E-5</v>
      </c>
    </row>
    <row r="47" spans="1:12" x14ac:dyDescent="0.25">
      <c r="K47">
        <v>1.14E-3</v>
      </c>
      <c r="L47">
        <f t="shared" si="0"/>
        <v>3.386851844578196E-5</v>
      </c>
    </row>
    <row r="48" spans="1:12" x14ac:dyDescent="0.25">
      <c r="K48">
        <v>1.15E-3</v>
      </c>
      <c r="L48">
        <f t="shared" si="0"/>
        <v>3.450807838319722E-5</v>
      </c>
    </row>
    <row r="49" spans="1:12" x14ac:dyDescent="0.25">
      <c r="D49" t="s">
        <v>30</v>
      </c>
      <c r="K49">
        <v>1.16E-3</v>
      </c>
      <c r="L49">
        <f t="shared" si="0"/>
        <v>3.5146512117859192E-5</v>
      </c>
    </row>
    <row r="50" spans="1:12" x14ac:dyDescent="0.25">
      <c r="C50" s="1">
        <v>0.05</v>
      </c>
      <c r="D50" s="1">
        <v>0.02</v>
      </c>
      <c r="E50" s="1">
        <v>0.01</v>
      </c>
      <c r="F50" s="1">
        <v>5.0000000000000001E-3</v>
      </c>
      <c r="G50" s="1">
        <v>1E-3</v>
      </c>
      <c r="K50">
        <v>1.17E-3</v>
      </c>
      <c r="L50">
        <f t="shared" si="0"/>
        <v>3.5783835784833546E-5</v>
      </c>
    </row>
    <row r="51" spans="1:12" x14ac:dyDescent="0.25">
      <c r="A51" t="s">
        <v>31</v>
      </c>
      <c r="B51" s="1">
        <v>0.1</v>
      </c>
      <c r="C51">
        <v>2.7400000000000001E-2</v>
      </c>
      <c r="D51">
        <v>2.1399999999999999E-2</v>
      </c>
      <c r="E51">
        <v>1.7299999999999999E-2</v>
      </c>
      <c r="F51">
        <v>1.38E-2</v>
      </c>
      <c r="G51">
        <v>8.5000000000000006E-3</v>
      </c>
      <c r="K51">
        <v>1.1800000000000001E-3</v>
      </c>
      <c r="L51">
        <f t="shared" si="0"/>
        <v>3.6420065152469066E-5</v>
      </c>
    </row>
    <row r="52" spans="1:12" x14ac:dyDescent="0.25">
      <c r="B52" s="1">
        <v>0.05</v>
      </c>
      <c r="C52">
        <v>2.47E-2</v>
      </c>
      <c r="D52">
        <v>1.8700000000000001E-2</v>
      </c>
      <c r="E52">
        <v>1.4800000000000001E-2</v>
      </c>
      <c r="F52">
        <v>1.15E-2</v>
      </c>
      <c r="G52">
        <v>6.6E-3</v>
      </c>
      <c r="K52">
        <v>1.1900000000000001E-3</v>
      </c>
      <c r="L52">
        <f t="shared" si="0"/>
        <v>3.7055215633760932E-5</v>
      </c>
    </row>
    <row r="53" spans="1:12" x14ac:dyDescent="0.25">
      <c r="B53" s="1">
        <v>0.01</v>
      </c>
      <c r="C53">
        <v>2.1100000000000001E-2</v>
      </c>
      <c r="D53">
        <v>1.5900000000000001E-2</v>
      </c>
      <c r="E53">
        <v>1.21E-2</v>
      </c>
      <c r="F53">
        <v>9.2200000000000008E-3</v>
      </c>
      <c r="G53">
        <v>5.1000000000000004E-3</v>
      </c>
      <c r="K53">
        <v>1.1999999999999999E-3</v>
      </c>
      <c r="L53">
        <f t="shared" si="0"/>
        <v>3.7689302297269937E-5</v>
      </c>
    </row>
    <row r="54" spans="1:12" x14ac:dyDescent="0.25">
      <c r="B54" s="1">
        <v>1E-3</v>
      </c>
      <c r="C54">
        <v>2.0400000000000001E-2</v>
      </c>
      <c r="D54">
        <v>1.4800000000000001E-2</v>
      </c>
      <c r="E54">
        <v>1.09E-2</v>
      </c>
      <c r="F54">
        <v>8.7100000000000007E-3</v>
      </c>
      <c r="G54">
        <v>4.1000000000000003E-3</v>
      </c>
      <c r="K54">
        <v>1.2099999999999999E-3</v>
      </c>
      <c r="L54">
        <f t="shared" si="0"/>
        <v>3.8322339877617996E-5</v>
      </c>
    </row>
    <row r="55" spans="1:12" x14ac:dyDescent="0.25">
      <c r="K55">
        <v>1.2199999999999999E-3</v>
      </c>
      <c r="L55">
        <f t="shared" si="0"/>
        <v>3.8954342785580147E-5</v>
      </c>
    </row>
    <row r="56" spans="1:12" x14ac:dyDescent="0.25">
      <c r="K56">
        <v>1.23E-3</v>
      </c>
      <c r="L56">
        <f t="shared" si="0"/>
        <v>3.9585325117791489E-5</v>
      </c>
    </row>
    <row r="57" spans="1:12" x14ac:dyDescent="0.25">
      <c r="K57">
        <v>1.24E-3</v>
      </c>
      <c r="L57">
        <f t="shared" si="0"/>
        <v>4.0215300666086667E-5</v>
      </c>
    </row>
    <row r="58" spans="1:12" x14ac:dyDescent="0.25">
      <c r="K58">
        <v>1.25E-3</v>
      </c>
      <c r="L58">
        <f t="shared" si="0"/>
        <v>4.0844282926489044E-5</v>
      </c>
    </row>
    <row r="59" spans="1:12" x14ac:dyDescent="0.25">
      <c r="K59">
        <v>1.2600000000000001E-3</v>
      </c>
      <c r="L59">
        <f t="shared" si="0"/>
        <v>4.1472285107865077E-5</v>
      </c>
    </row>
    <row r="60" spans="1:12" x14ac:dyDescent="0.25">
      <c r="K60">
        <v>1.2700000000000001E-3</v>
      </c>
      <c r="L60">
        <f t="shared" si="0"/>
        <v>4.2099320140258898E-5</v>
      </c>
    </row>
    <row r="61" spans="1:12" x14ac:dyDescent="0.25">
      <c r="K61">
        <v>1.2800000000000001E-3</v>
      </c>
      <c r="L61">
        <f t="shared" si="0"/>
        <v>4.2725400682921434E-5</v>
      </c>
    </row>
    <row r="62" spans="1:12" x14ac:dyDescent="0.25">
      <c r="K62">
        <v>1.2899999999999999E-3</v>
      </c>
      <c r="L62">
        <f t="shared" si="0"/>
        <v>4.335053913204765E-5</v>
      </c>
    </row>
    <row r="63" spans="1:12" x14ac:dyDescent="0.25">
      <c r="K63">
        <v>1.2999999999999999E-3</v>
      </c>
      <c r="L63">
        <f t="shared" si="0"/>
        <v>4.3974747628234721E-5</v>
      </c>
    </row>
    <row r="64" spans="1:12" x14ac:dyDescent="0.25">
      <c r="K64">
        <v>1.31E-3</v>
      </c>
      <c r="L64">
        <f t="shared" si="0"/>
        <v>4.4598038063672788E-5</v>
      </c>
    </row>
    <row r="65" spans="11:12" x14ac:dyDescent="0.25">
      <c r="K65">
        <v>1.32E-3</v>
      </c>
      <c r="L65">
        <f t="shared" si="0"/>
        <v>4.5220422089080272E-5</v>
      </c>
    </row>
    <row r="66" spans="11:12" x14ac:dyDescent="0.25">
      <c r="K66">
        <v>1.33E-3</v>
      </c>
      <c r="L66">
        <f t="shared" si="0"/>
        <v>4.5841911120394975E-5</v>
      </c>
    </row>
    <row r="67" spans="11:12" x14ac:dyDescent="0.25">
      <c r="K67">
        <v>1.34E-3</v>
      </c>
      <c r="L67">
        <f t="shared" si="0"/>
        <v>4.6462516345230831E-5</v>
      </c>
    </row>
    <row r="68" spans="11:12" x14ac:dyDescent="0.25">
      <c r="K68">
        <v>1.3500000000000001E-3</v>
      </c>
      <c r="L68">
        <f t="shared" ref="L68:L131" si="1">$K68*($G$13/($G$15*$G$16)+$G$21*$G$14)+$K68^(1/3)*($G$14*($G$18*$G$21*$G$22/$G$19)^(1/3)*(2^(1/3)-0.25^(1/3)))+$G$14*($G$18*$G$21*$G$22*$G$3/4/$G$19)^(1/3)-$G$25</f>
        <v>4.7082248729109894E-5</v>
      </c>
    </row>
    <row r="69" spans="11:12" x14ac:dyDescent="0.25">
      <c r="K69">
        <v>1.3600000000000001E-3</v>
      </c>
      <c r="L69">
        <f t="shared" si="1"/>
        <v>4.7701119021479992E-5</v>
      </c>
    </row>
    <row r="70" spans="11:12" x14ac:dyDescent="0.25">
      <c r="K70">
        <v>1.3699999999999999E-3</v>
      </c>
      <c r="L70">
        <f t="shared" si="1"/>
        <v>4.8319137761526209E-5</v>
      </c>
    </row>
    <row r="71" spans="11:12" x14ac:dyDescent="0.25">
      <c r="K71">
        <v>1.3799999999999999E-3</v>
      </c>
      <c r="L71">
        <f t="shared" si="1"/>
        <v>4.8936315283784723E-5</v>
      </c>
    </row>
    <row r="72" spans="11:12" x14ac:dyDescent="0.25">
      <c r="K72">
        <v>1.39E-3</v>
      </c>
      <c r="L72">
        <f t="shared" si="1"/>
        <v>4.9552661723567505E-5</v>
      </c>
    </row>
    <row r="73" spans="11:12" x14ac:dyDescent="0.25">
      <c r="K73">
        <v>1.4E-3</v>
      </c>
      <c r="L73">
        <f t="shared" si="1"/>
        <v>5.0168187022205243E-5</v>
      </c>
    </row>
    <row r="74" spans="11:12" x14ac:dyDescent="0.25">
      <c r="K74">
        <v>1.41E-3</v>
      </c>
      <c r="L74">
        <f t="shared" si="1"/>
        <v>5.0782900932115453E-5</v>
      </c>
    </row>
    <row r="75" spans="11:12" x14ac:dyDescent="0.25">
      <c r="K75">
        <v>1.42E-3</v>
      </c>
      <c r="L75">
        <f t="shared" si="1"/>
        <v>5.1396813021704424E-5</v>
      </c>
    </row>
    <row r="76" spans="11:12" x14ac:dyDescent="0.25">
      <c r="K76">
        <v>1.4300000000000001E-3</v>
      </c>
      <c r="L76">
        <f t="shared" si="1"/>
        <v>5.2009932680106917E-5</v>
      </c>
    </row>
    <row r="77" spans="11:12" x14ac:dyDescent="0.25">
      <c r="K77">
        <v>1.4400000000000001E-3</v>
      </c>
      <c r="L77">
        <f t="shared" si="1"/>
        <v>5.2622269121772717E-5</v>
      </c>
    </row>
    <row r="78" spans="11:12" x14ac:dyDescent="0.25">
      <c r="K78">
        <v>1.4499999999999999E-3</v>
      </c>
      <c r="L78">
        <f t="shared" si="1"/>
        <v>5.3233831390904441E-5</v>
      </c>
    </row>
    <row r="79" spans="11:12" x14ac:dyDescent="0.25">
      <c r="K79">
        <v>1.4599999999999999E-3</v>
      </c>
      <c r="L79">
        <f t="shared" si="1"/>
        <v>5.3844628365752709E-5</v>
      </c>
    </row>
    <row r="80" spans="11:12" x14ac:dyDescent="0.25">
      <c r="K80">
        <v>1.47E-3</v>
      </c>
      <c r="L80">
        <f t="shared" si="1"/>
        <v>5.4454668762774655E-5</v>
      </c>
    </row>
    <row r="81" spans="11:12" x14ac:dyDescent="0.25">
      <c r="K81">
        <v>1.48E-3</v>
      </c>
      <c r="L81">
        <f t="shared" si="1"/>
        <v>5.5063961140660493E-5</v>
      </c>
    </row>
    <row r="82" spans="11:12" x14ac:dyDescent="0.25">
      <c r="K82">
        <v>1.49E-3</v>
      </c>
      <c r="L82">
        <f t="shared" si="1"/>
        <v>5.5672513904233341E-5</v>
      </c>
    </row>
    <row r="83" spans="11:12" x14ac:dyDescent="0.25">
      <c r="K83">
        <v>1.5E-3</v>
      </c>
      <c r="L83">
        <f t="shared" si="1"/>
        <v>5.6280335308227551E-5</v>
      </c>
    </row>
    <row r="84" spans="11:12" x14ac:dyDescent="0.25">
      <c r="K84">
        <v>1.5100000000000001E-3</v>
      </c>
      <c r="L84">
        <f t="shared" si="1"/>
        <v>5.6887433460949465E-5</v>
      </c>
    </row>
    <row r="85" spans="11:12" x14ac:dyDescent="0.25">
      <c r="K85">
        <v>1.5200000000000001E-3</v>
      </c>
      <c r="L85">
        <f t="shared" si="1"/>
        <v>5.7493816327824931E-5</v>
      </c>
    </row>
    <row r="86" spans="11:12" x14ac:dyDescent="0.25">
      <c r="K86">
        <v>1.5299999999999999E-3</v>
      </c>
      <c r="L86">
        <f t="shared" si="1"/>
        <v>5.8099491734839033E-5</v>
      </c>
    </row>
    <row r="87" spans="11:12" x14ac:dyDescent="0.25">
      <c r="K87">
        <v>1.5399999999999999E-3</v>
      </c>
      <c r="L87">
        <f t="shared" si="1"/>
        <v>5.8704467371870344E-5</v>
      </c>
    </row>
    <row r="88" spans="11:12" x14ac:dyDescent="0.25">
      <c r="K88">
        <v>1.5499999999999999E-3</v>
      </c>
      <c r="L88">
        <f t="shared" si="1"/>
        <v>5.9308750795924613E-5</v>
      </c>
    </row>
    <row r="89" spans="11:12" x14ac:dyDescent="0.25">
      <c r="K89">
        <v>1.56E-3</v>
      </c>
      <c r="L89">
        <f t="shared" si="1"/>
        <v>5.9912349434271413E-5</v>
      </c>
    </row>
    <row r="90" spans="11:12" x14ac:dyDescent="0.25">
      <c r="K90">
        <v>1.57E-3</v>
      </c>
      <c r="L90">
        <f t="shared" si="1"/>
        <v>6.0515270587486959E-5</v>
      </c>
    </row>
    <row r="91" spans="11:12" x14ac:dyDescent="0.25">
      <c r="K91">
        <v>1.58E-3</v>
      </c>
      <c r="L91">
        <f t="shared" si="1"/>
        <v>6.1117521432406928E-5</v>
      </c>
    </row>
    <row r="92" spans="11:12" x14ac:dyDescent="0.25">
      <c r="K92">
        <v>1.5900000000000001E-3</v>
      </c>
      <c r="L92">
        <f t="shared" si="1"/>
        <v>6.1719109024992007E-5</v>
      </c>
    </row>
    <row r="93" spans="11:12" x14ac:dyDescent="0.25">
      <c r="K93">
        <v>1.6000000000000001E-3</v>
      </c>
      <c r="L93">
        <f t="shared" si="1"/>
        <v>6.2320040303109523E-5</v>
      </c>
    </row>
    <row r="94" spans="11:12" x14ac:dyDescent="0.25">
      <c r="K94">
        <v>1.6100000000000001E-3</v>
      </c>
      <c r="L94">
        <f t="shared" si="1"/>
        <v>6.2920322089234136E-5</v>
      </c>
    </row>
    <row r="95" spans="11:12" x14ac:dyDescent="0.25">
      <c r="K95">
        <v>1.6199999999999999E-3</v>
      </c>
      <c r="L95">
        <f t="shared" si="1"/>
        <v>6.3519961093070742E-5</v>
      </c>
    </row>
    <row r="96" spans="11:12" x14ac:dyDescent="0.25">
      <c r="K96">
        <v>1.6299999999999999E-3</v>
      </c>
      <c r="L96">
        <f t="shared" si="1"/>
        <v>6.4118963914101368E-5</v>
      </c>
    </row>
    <row r="97" spans="11:12" x14ac:dyDescent="0.25">
      <c r="K97">
        <v>1.64E-3</v>
      </c>
      <c r="L97">
        <f t="shared" si="1"/>
        <v>6.471733704405976E-5</v>
      </c>
    </row>
    <row r="98" spans="11:12" x14ac:dyDescent="0.25">
      <c r="K98">
        <v>1.65E-3</v>
      </c>
      <c r="L98">
        <f t="shared" si="1"/>
        <v>6.5315086869335544E-5</v>
      </c>
    </row>
    <row r="99" spans="11:12" x14ac:dyDescent="0.25">
      <c r="K99">
        <v>1.66E-3</v>
      </c>
      <c r="L99">
        <f t="shared" si="1"/>
        <v>6.5912219673310523E-5</v>
      </c>
    </row>
    <row r="100" spans="11:12" x14ac:dyDescent="0.25">
      <c r="K100">
        <v>1.67E-3</v>
      </c>
      <c r="L100">
        <f t="shared" si="1"/>
        <v>6.6508741638629423E-5</v>
      </c>
    </row>
    <row r="101" spans="11:12" x14ac:dyDescent="0.25">
      <c r="K101">
        <v>1.6800000000000001E-3</v>
      </c>
      <c r="L101">
        <f t="shared" si="1"/>
        <v>6.7104658849407282E-5</v>
      </c>
    </row>
    <row r="102" spans="11:12" x14ac:dyDescent="0.25">
      <c r="K102">
        <v>1.6900000000000001E-3</v>
      </c>
      <c r="L102">
        <f t="shared" si="1"/>
        <v>6.7699977293375732E-5</v>
      </c>
    </row>
    <row r="103" spans="11:12" x14ac:dyDescent="0.25">
      <c r="K103">
        <v>1.6999999999999999E-3</v>
      </c>
      <c r="L103">
        <f t="shared" si="1"/>
        <v>6.829470286397009E-5</v>
      </c>
    </row>
    <row r="104" spans="11:12" x14ac:dyDescent="0.25">
      <c r="K104">
        <v>1.7099999999999999E-3</v>
      </c>
      <c r="L104">
        <f t="shared" si="1"/>
        <v>6.8888841362359308E-5</v>
      </c>
    </row>
    <row r="105" spans="11:12" x14ac:dyDescent="0.25">
      <c r="K105">
        <v>1.72E-3</v>
      </c>
      <c r="L105">
        <f t="shared" si="1"/>
        <v>6.9482398499420253E-5</v>
      </c>
    </row>
    <row r="106" spans="11:12" x14ac:dyDescent="0.25">
      <c r="K106">
        <v>1.73E-3</v>
      </c>
      <c r="L106">
        <f t="shared" si="1"/>
        <v>7.0075379897659509E-5</v>
      </c>
    </row>
    <row r="107" spans="11:12" x14ac:dyDescent="0.25">
      <c r="K107">
        <v>1.74E-3</v>
      </c>
      <c r="L107">
        <f t="shared" si="1"/>
        <v>7.0667791093081945E-5</v>
      </c>
    </row>
    <row r="108" spans="11:12" x14ac:dyDescent="0.25">
      <c r="K108">
        <v>1.75E-3</v>
      </c>
      <c r="L108">
        <f t="shared" si="1"/>
        <v>7.1259637537010817E-5</v>
      </c>
    </row>
    <row r="109" spans="11:12" x14ac:dyDescent="0.25">
      <c r="K109">
        <v>1.7600000000000001E-3</v>
      </c>
      <c r="L109">
        <f t="shared" si="1"/>
        <v>7.1850924597858276E-5</v>
      </c>
    </row>
    <row r="110" spans="11:12" x14ac:dyDescent="0.25">
      <c r="K110">
        <v>1.7700000000000001E-3</v>
      </c>
      <c r="L110">
        <f t="shared" si="1"/>
        <v>7.2441657562849677E-5</v>
      </c>
    </row>
    <row r="111" spans="11:12" x14ac:dyDescent="0.25">
      <c r="K111">
        <v>1.7799999999999999E-3</v>
      </c>
      <c r="L111">
        <f t="shared" si="1"/>
        <v>7.303184163970209E-5</v>
      </c>
    </row>
    <row r="112" spans="11:12" x14ac:dyDescent="0.25">
      <c r="K112">
        <v>1.7899999999999999E-3</v>
      </c>
      <c r="L112">
        <f t="shared" si="1"/>
        <v>7.3621481958259277E-5</v>
      </c>
    </row>
    <row r="113" spans="11:12" x14ac:dyDescent="0.25">
      <c r="K113">
        <v>1.8E-3</v>
      </c>
      <c r="L113">
        <f t="shared" si="1"/>
        <v>7.4210583572083732E-5</v>
      </c>
    </row>
    <row r="114" spans="11:12" x14ac:dyDescent="0.25">
      <c r="K114">
        <v>1.81E-3</v>
      </c>
      <c r="L114">
        <f t="shared" si="1"/>
        <v>7.4799151460007906E-5</v>
      </c>
    </row>
    <row r="115" spans="11:12" x14ac:dyDescent="0.25">
      <c r="K115">
        <v>1.82E-3</v>
      </c>
      <c r="L115">
        <f t="shared" si="1"/>
        <v>7.5387190527644986E-5</v>
      </c>
    </row>
    <row r="116" spans="11:12" x14ac:dyDescent="0.25">
      <c r="K116">
        <v>1.83E-3</v>
      </c>
      <c r="L116">
        <f t="shared" si="1"/>
        <v>7.5974705608861895E-5</v>
      </c>
    </row>
    <row r="117" spans="11:12" x14ac:dyDescent="0.25">
      <c r="K117">
        <v>1.8400000000000001E-3</v>
      </c>
      <c r="L117">
        <f t="shared" si="1"/>
        <v>7.6561701467213635E-5</v>
      </c>
    </row>
    <row r="118" spans="11:12" x14ac:dyDescent="0.25">
      <c r="K118">
        <v>1.8500000000000001E-3</v>
      </c>
      <c r="L118">
        <f t="shared" si="1"/>
        <v>7.7148182797342286E-5</v>
      </c>
    </row>
    <row r="119" spans="11:12" x14ac:dyDescent="0.25">
      <c r="K119">
        <v>1.8600000000000001E-3</v>
      </c>
      <c r="L119">
        <f t="shared" si="1"/>
        <v>7.7734154226340342E-5</v>
      </c>
    </row>
    <row r="120" spans="11:12" x14ac:dyDescent="0.25">
      <c r="K120">
        <v>1.8699999999999999E-3</v>
      </c>
      <c r="L120">
        <f t="shared" si="1"/>
        <v>7.8319620315079881E-5</v>
      </c>
    </row>
    <row r="121" spans="11:12" x14ac:dyDescent="0.25">
      <c r="K121">
        <v>1.8799999999999999E-3</v>
      </c>
      <c r="L121">
        <f t="shared" si="1"/>
        <v>7.8904585559508842E-5</v>
      </c>
    </row>
    <row r="122" spans="11:12" x14ac:dyDescent="0.25">
      <c r="K122">
        <v>1.89E-3</v>
      </c>
      <c r="L122">
        <f t="shared" si="1"/>
        <v>7.9489054391914879E-5</v>
      </c>
    </row>
    <row r="123" spans="11:12" x14ac:dyDescent="0.25">
      <c r="K123">
        <v>1.9E-3</v>
      </c>
      <c r="L123">
        <f t="shared" si="1"/>
        <v>8.0073031182158476E-5</v>
      </c>
    </row>
    <row r="124" spans="11:12" x14ac:dyDescent="0.25">
      <c r="K124">
        <v>1.91E-3</v>
      </c>
      <c r="L124">
        <f t="shared" si="1"/>
        <v>8.0656520238875384E-5</v>
      </c>
    </row>
    <row r="125" spans="11:12" x14ac:dyDescent="0.25">
      <c r="K125">
        <v>1.92E-3</v>
      </c>
      <c r="L125">
        <f t="shared" si="1"/>
        <v>8.1239525810650052E-5</v>
      </c>
    </row>
    <row r="126" spans="11:12" x14ac:dyDescent="0.25">
      <c r="K126">
        <v>1.9300000000000001E-3</v>
      </c>
      <c r="L126">
        <f t="shared" si="1"/>
        <v>8.1822052087160381E-5</v>
      </c>
    </row>
    <row r="127" spans="11:12" x14ac:dyDescent="0.25">
      <c r="K127">
        <v>1.9400000000000001E-3</v>
      </c>
      <c r="L127">
        <f t="shared" si="1"/>
        <v>8.2404103200294995E-5</v>
      </c>
    </row>
    <row r="128" spans="11:12" x14ac:dyDescent="0.25">
      <c r="K128">
        <v>1.9499999999999999E-3</v>
      </c>
      <c r="L128">
        <f t="shared" si="1"/>
        <v>8.2985683225243571E-5</v>
      </c>
    </row>
    <row r="129" spans="11:12" x14ac:dyDescent="0.25">
      <c r="K129">
        <v>1.9599999999999999E-3</v>
      </c>
      <c r="L129">
        <f t="shared" si="1"/>
        <v>8.3566796181561306E-5</v>
      </c>
    </row>
    <row r="130" spans="11:12" x14ac:dyDescent="0.25">
      <c r="K130">
        <v>1.97E-3</v>
      </c>
      <c r="L130">
        <f t="shared" si="1"/>
        <v>8.4147446034207635E-5</v>
      </c>
    </row>
    <row r="131" spans="11:12" x14ac:dyDescent="0.25">
      <c r="K131">
        <v>1.98E-3</v>
      </c>
      <c r="L131">
        <f t="shared" si="1"/>
        <v>8.4727636694561105E-5</v>
      </c>
    </row>
    <row r="132" spans="11:12" x14ac:dyDescent="0.25">
      <c r="K132">
        <v>1.99E-3</v>
      </c>
      <c r="L132">
        <f t="shared" ref="L132:L195" si="2">$K132*($G$13/($G$15*$G$16)+$G$21*$G$14)+$K132^(1/3)*($G$14*($G$18*$G$21*$G$22/$G$19)^(1/3)*(2^(1/3)-0.25^(1/3)))+$G$14*($G$18*$G$21*$G$22*$G$3/4/$G$19)^(1/3)-$G$25</f>
        <v>8.5307372021409679E-5</v>
      </c>
    </row>
    <row r="133" spans="11:12" x14ac:dyDescent="0.25">
      <c r="K133">
        <v>2E-3</v>
      </c>
      <c r="L133">
        <f t="shared" si="2"/>
        <v>8.5886655821918226E-5</v>
      </c>
    </row>
    <row r="134" spans="11:12" x14ac:dyDescent="0.25">
      <c r="K134">
        <v>2.0100000000000001E-3</v>
      </c>
      <c r="L134">
        <f t="shared" si="2"/>
        <v>8.6465491852573189E-5</v>
      </c>
    </row>
    <row r="135" spans="11:12" x14ac:dyDescent="0.25">
      <c r="K135">
        <v>2.0200000000000001E-3</v>
      </c>
      <c r="L135">
        <f t="shared" si="2"/>
        <v>8.704388382010605E-5</v>
      </c>
    </row>
    <row r="136" spans="11:12" x14ac:dyDescent="0.25">
      <c r="K136">
        <v>2.0300000000000001E-3</v>
      </c>
      <c r="L136">
        <f t="shared" si="2"/>
        <v>8.7621835382394302E-5</v>
      </c>
    </row>
    <row r="137" spans="11:12" x14ac:dyDescent="0.25">
      <c r="K137">
        <v>2.0400000000000001E-3</v>
      </c>
      <c r="L137">
        <f t="shared" si="2"/>
        <v>8.8199350149343128E-5</v>
      </c>
    </row>
    <row r="138" spans="11:12" x14ac:dyDescent="0.25">
      <c r="K138">
        <v>2.0500000000000002E-3</v>
      </c>
      <c r="L138">
        <f t="shared" si="2"/>
        <v>8.8776431683745707E-5</v>
      </c>
    </row>
    <row r="139" spans="11:12" x14ac:dyDescent="0.25">
      <c r="K139">
        <v>2.0600000000000002E-3</v>
      </c>
      <c r="L139">
        <f t="shared" si="2"/>
        <v>8.935308350212478E-5</v>
      </c>
    </row>
    <row r="140" spans="11:12" x14ac:dyDescent="0.25">
      <c r="K140">
        <v>2.0699999999999998E-3</v>
      </c>
      <c r="L140">
        <f t="shared" si="2"/>
        <v>8.9929309075554794E-5</v>
      </c>
    </row>
    <row r="141" spans="11:12" x14ac:dyDescent="0.25">
      <c r="K141">
        <v>2.0799999999999998E-3</v>
      </c>
      <c r="L141">
        <f t="shared" si="2"/>
        <v>9.050511183046595E-5</v>
      </c>
    </row>
    <row r="142" spans="11:12" x14ac:dyDescent="0.25">
      <c r="K142">
        <v>2.0899999999999998E-3</v>
      </c>
      <c r="L142">
        <f t="shared" si="2"/>
        <v>9.1080495149429598E-5</v>
      </c>
    </row>
    <row r="143" spans="11:12" x14ac:dyDescent="0.25">
      <c r="K143">
        <v>2.0999999999999999E-3</v>
      </c>
      <c r="L143">
        <f t="shared" si="2"/>
        <v>9.1655462371926448E-5</v>
      </c>
    </row>
    <row r="144" spans="11:12" x14ac:dyDescent="0.25">
      <c r="K144">
        <v>2.1099999999999999E-3</v>
      </c>
      <c r="L144">
        <f t="shared" si="2"/>
        <v>9.2230016795098193E-5</v>
      </c>
    </row>
    <row r="145" spans="11:12" x14ac:dyDescent="0.25">
      <c r="K145">
        <v>2.1199999999999999E-3</v>
      </c>
      <c r="L145">
        <f t="shared" si="2"/>
        <v>9.2804161674481624E-5</v>
      </c>
    </row>
    <row r="146" spans="11:12" x14ac:dyDescent="0.25">
      <c r="K146">
        <v>2.1299999999999999E-3</v>
      </c>
      <c r="L146">
        <f t="shared" si="2"/>
        <v>9.3377900224727347E-5</v>
      </c>
    </row>
    <row r="147" spans="11:12" x14ac:dyDescent="0.25">
      <c r="K147">
        <v>2.14E-3</v>
      </c>
      <c r="L147">
        <f t="shared" si="2"/>
        <v>9.3951235620302561E-5</v>
      </c>
    </row>
    <row r="148" spans="11:12" x14ac:dyDescent="0.25">
      <c r="K148">
        <v>2.15E-3</v>
      </c>
      <c r="L148">
        <f t="shared" si="2"/>
        <v>9.4524170996178336E-5</v>
      </c>
    </row>
    <row r="149" spans="11:12" x14ac:dyDescent="0.25">
      <c r="K149">
        <v>2.16E-3</v>
      </c>
      <c r="L149">
        <f t="shared" si="2"/>
        <v>9.5096709448502196E-5</v>
      </c>
    </row>
    <row r="150" spans="11:12" x14ac:dyDescent="0.25">
      <c r="K150">
        <v>2.1700000000000001E-3</v>
      </c>
      <c r="L150">
        <f t="shared" si="2"/>
        <v>9.5668854035256285E-5</v>
      </c>
    </row>
    <row r="151" spans="11:12" x14ac:dyDescent="0.25">
      <c r="K151">
        <v>2.1800000000000001E-3</v>
      </c>
      <c r="L151">
        <f t="shared" si="2"/>
        <v>9.6240607776901059E-5</v>
      </c>
    </row>
    <row r="152" spans="11:12" x14ac:dyDescent="0.25">
      <c r="K152">
        <v>2.1900000000000001E-3</v>
      </c>
      <c r="L152">
        <f t="shared" si="2"/>
        <v>9.6811973657005639E-5</v>
      </c>
    </row>
    <row r="153" spans="11:12" x14ac:dyDescent="0.25">
      <c r="K153">
        <v>2.2000000000000001E-3</v>
      </c>
      <c r="L153">
        <f t="shared" si="2"/>
        <v>9.7382954622864343E-5</v>
      </c>
    </row>
    <row r="154" spans="11:12" x14ac:dyDescent="0.25">
      <c r="K154">
        <v>2.2100000000000002E-3</v>
      </c>
      <c r="L154">
        <f t="shared" si="2"/>
        <v>9.7953553586100533E-5</v>
      </c>
    </row>
    <row r="155" spans="11:12" x14ac:dyDescent="0.25">
      <c r="K155">
        <v>2.2200000000000002E-3</v>
      </c>
      <c r="L155">
        <f t="shared" si="2"/>
        <v>9.8523773423257451E-5</v>
      </c>
    </row>
    <row r="156" spans="11:12" x14ac:dyDescent="0.25">
      <c r="K156">
        <v>2.2300000000000002E-3</v>
      </c>
      <c r="L156">
        <f t="shared" si="2"/>
        <v>9.9093616976376694E-5</v>
      </c>
    </row>
    <row r="157" spans="11:12" x14ac:dyDescent="0.25">
      <c r="K157">
        <v>2.2399999999999998E-3</v>
      </c>
      <c r="L157">
        <f t="shared" si="2"/>
        <v>9.9663087053564875E-5</v>
      </c>
    </row>
    <row r="158" spans="11:12" x14ac:dyDescent="0.25">
      <c r="K158">
        <v>2.2499999999999998E-3</v>
      </c>
      <c r="L158">
        <f t="shared" si="2"/>
        <v>1.0023218642954824E-4</v>
      </c>
    </row>
    <row r="159" spans="11:12" x14ac:dyDescent="0.25">
      <c r="K159">
        <v>2.2599999999999999E-3</v>
      </c>
      <c r="L159">
        <f t="shared" si="2"/>
        <v>1.0080091784621555E-4</v>
      </c>
    </row>
    <row r="160" spans="11:12" x14ac:dyDescent="0.25">
      <c r="K160">
        <v>2.2699999999999999E-3</v>
      </c>
      <c r="L160">
        <f t="shared" si="2"/>
        <v>1.0136928401315048E-4</v>
      </c>
    </row>
    <row r="161" spans="11:12" x14ac:dyDescent="0.25">
      <c r="K161">
        <v>2.2799999999999999E-3</v>
      </c>
      <c r="L161">
        <f t="shared" si="2"/>
        <v>1.0193728760815227E-4</v>
      </c>
    </row>
    <row r="162" spans="11:12" x14ac:dyDescent="0.25">
      <c r="K162">
        <v>2.2899999999999999E-3</v>
      </c>
      <c r="L162">
        <f t="shared" si="2"/>
        <v>1.025049312777466E-4</v>
      </c>
    </row>
    <row r="163" spans="11:12" x14ac:dyDescent="0.25">
      <c r="K163">
        <v>2.3E-3</v>
      </c>
      <c r="L163">
        <f t="shared" si="2"/>
        <v>1.0307221763768522E-4</v>
      </c>
    </row>
    <row r="164" spans="11:12" x14ac:dyDescent="0.25">
      <c r="K164">
        <v>2.31E-3</v>
      </c>
      <c r="L164">
        <f t="shared" si="2"/>
        <v>1.0363914927343594E-4</v>
      </c>
    </row>
    <row r="165" spans="11:12" x14ac:dyDescent="0.25">
      <c r="K165">
        <v>2.32E-3</v>
      </c>
      <c r="L165">
        <f t="shared" si="2"/>
        <v>1.0420572874066277E-4</v>
      </c>
    </row>
    <row r="166" spans="11:12" x14ac:dyDescent="0.25">
      <c r="K166">
        <v>2.33E-3</v>
      </c>
      <c r="L166">
        <f t="shared" si="2"/>
        <v>1.0477195856569614E-4</v>
      </c>
    </row>
    <row r="167" spans="11:12" x14ac:dyDescent="0.25">
      <c r="K167">
        <v>2.3400000000000001E-3</v>
      </c>
      <c r="L167">
        <f t="shared" si="2"/>
        <v>1.0533784124599392E-4</v>
      </c>
    </row>
    <row r="168" spans="11:12" x14ac:dyDescent="0.25">
      <c r="K168">
        <v>2.3500000000000001E-3</v>
      </c>
      <c r="L168">
        <f t="shared" si="2"/>
        <v>1.0590337925059319E-4</v>
      </c>
    </row>
    <row r="169" spans="11:12" x14ac:dyDescent="0.25">
      <c r="K169">
        <v>2.3600000000000001E-3</v>
      </c>
      <c r="L169">
        <f t="shared" si="2"/>
        <v>1.0646857502055317E-4</v>
      </c>
    </row>
    <row r="170" spans="11:12" x14ac:dyDescent="0.25">
      <c r="K170">
        <v>2.3700000000000001E-3</v>
      </c>
      <c r="L170">
        <f t="shared" si="2"/>
        <v>1.07033430969389E-4</v>
      </c>
    </row>
    <row r="171" spans="11:12" x14ac:dyDescent="0.25">
      <c r="K171">
        <v>2.3800000000000002E-3</v>
      </c>
      <c r="L171">
        <f t="shared" si="2"/>
        <v>1.075979494834976E-4</v>
      </c>
    </row>
    <row r="172" spans="11:12" x14ac:dyDescent="0.25">
      <c r="K172">
        <v>2.3900000000000002E-3</v>
      </c>
      <c r="L172">
        <f t="shared" si="2"/>
        <v>1.0816213292257477E-4</v>
      </c>
    </row>
    <row r="173" spans="11:12" x14ac:dyDescent="0.25">
      <c r="K173">
        <v>2.3999999999999998E-3</v>
      </c>
      <c r="L173">
        <f t="shared" si="2"/>
        <v>1.0872598362002414E-4</v>
      </c>
    </row>
    <row r="174" spans="11:12" x14ac:dyDescent="0.25">
      <c r="K174">
        <v>2.4099999999999998E-3</v>
      </c>
      <c r="L174">
        <f t="shared" si="2"/>
        <v>1.0928950388335853E-4</v>
      </c>
    </row>
    <row r="175" spans="11:12" x14ac:dyDescent="0.25">
      <c r="K175">
        <v>2.4199999999999998E-3</v>
      </c>
      <c r="L175">
        <f t="shared" si="2"/>
        <v>1.0985269599459314E-4</v>
      </c>
    </row>
    <row r="176" spans="11:12" x14ac:dyDescent="0.25">
      <c r="K176">
        <v>2.4299999999999999E-3</v>
      </c>
      <c r="L176">
        <f t="shared" si="2"/>
        <v>1.1041556221063139E-4</v>
      </c>
    </row>
    <row r="177" spans="11:12" x14ac:dyDescent="0.25">
      <c r="K177">
        <v>2.4399999999999999E-3</v>
      </c>
      <c r="L177">
        <f t="shared" si="2"/>
        <v>1.1097810476364342E-4</v>
      </c>
    </row>
    <row r="178" spans="11:12" x14ac:dyDescent="0.25">
      <c r="K178">
        <v>2.4499999999999999E-3</v>
      </c>
      <c r="L178">
        <f t="shared" si="2"/>
        <v>1.1154032586143704E-4</v>
      </c>
    </row>
    <row r="179" spans="11:12" x14ac:dyDescent="0.25">
      <c r="K179">
        <v>2.4599999999999999E-3</v>
      </c>
      <c r="L179">
        <f t="shared" si="2"/>
        <v>1.121022276878222E-4</v>
      </c>
    </row>
    <row r="180" spans="11:12" x14ac:dyDescent="0.25">
      <c r="K180">
        <v>2.47E-3</v>
      </c>
      <c r="L180">
        <f t="shared" si="2"/>
        <v>1.1266381240296775E-4</v>
      </c>
    </row>
    <row r="181" spans="11:12" x14ac:dyDescent="0.25">
      <c r="K181">
        <v>2.48E-3</v>
      </c>
      <c r="L181">
        <f t="shared" si="2"/>
        <v>1.1322508214375225E-4</v>
      </c>
    </row>
    <row r="182" spans="11:12" x14ac:dyDescent="0.25">
      <c r="K182">
        <v>2.49E-3</v>
      </c>
      <c r="L182">
        <f t="shared" si="2"/>
        <v>1.1378603902410789E-4</v>
      </c>
    </row>
    <row r="183" spans="11:12" x14ac:dyDescent="0.25">
      <c r="K183">
        <v>2.5000000000000001E-3</v>
      </c>
      <c r="L183">
        <f t="shared" si="2"/>
        <v>1.1434668513535766E-4</v>
      </c>
    </row>
    <row r="184" spans="11:12" x14ac:dyDescent="0.25">
      <c r="K184">
        <v>2.5100000000000001E-3</v>
      </c>
      <c r="L184">
        <f t="shared" si="2"/>
        <v>1.1490702254654669E-4</v>
      </c>
    </row>
    <row r="185" spans="11:12" x14ac:dyDescent="0.25">
      <c r="K185">
        <v>2.5200000000000001E-3</v>
      </c>
      <c r="L185">
        <f t="shared" si="2"/>
        <v>1.1546705330476724E-4</v>
      </c>
    </row>
    <row r="186" spans="11:12" x14ac:dyDescent="0.25">
      <c r="K186">
        <v>2.5300000000000001E-3</v>
      </c>
      <c r="L186">
        <f t="shared" si="2"/>
        <v>1.1602677943547767E-4</v>
      </c>
    </row>
    <row r="187" spans="11:12" x14ac:dyDescent="0.25">
      <c r="K187">
        <v>2.5400000000000002E-3</v>
      </c>
      <c r="L187">
        <f t="shared" si="2"/>
        <v>1.1658620294281567E-4</v>
      </c>
    </row>
    <row r="188" spans="11:12" x14ac:dyDescent="0.25">
      <c r="K188">
        <v>2.5500000000000002E-3</v>
      </c>
      <c r="L188">
        <f t="shared" si="2"/>
        <v>1.1714532580990545E-4</v>
      </c>
    </row>
    <row r="189" spans="11:12" x14ac:dyDescent="0.25">
      <c r="K189">
        <v>2.5600000000000002E-3</v>
      </c>
      <c r="L189">
        <f t="shared" si="2"/>
        <v>1.1770414999915974E-4</v>
      </c>
    </row>
    <row r="190" spans="11:12" x14ac:dyDescent="0.25">
      <c r="K190">
        <v>2.5699999999999998E-3</v>
      </c>
      <c r="L190">
        <f t="shared" si="2"/>
        <v>1.1826267745257581E-4</v>
      </c>
    </row>
    <row r="191" spans="11:12" x14ac:dyDescent="0.25">
      <c r="K191">
        <v>2.5799999999999998E-3</v>
      </c>
      <c r="L191">
        <f t="shared" si="2"/>
        <v>1.1882091009202648E-4</v>
      </c>
    </row>
    <row r="192" spans="11:12" x14ac:dyDescent="0.25">
      <c r="K192">
        <v>2.5899999999999999E-3</v>
      </c>
      <c r="L192">
        <f t="shared" si="2"/>
        <v>1.1937884981954596E-4</v>
      </c>
    </row>
    <row r="193" spans="11:12" x14ac:dyDescent="0.25">
      <c r="K193">
        <v>2.5999999999999999E-3</v>
      </c>
      <c r="L193">
        <f t="shared" si="2"/>
        <v>1.199364985176098E-4</v>
      </c>
    </row>
    <row r="194" spans="11:12" x14ac:dyDescent="0.25">
      <c r="K194">
        <v>2.6100000000000099E-3</v>
      </c>
      <c r="L194">
        <f t="shared" si="2"/>
        <v>1.2049385804941158E-4</v>
      </c>
    </row>
    <row r="195" spans="11:12" x14ac:dyDescent="0.25">
      <c r="K195">
        <v>2.6200000000000099E-3</v>
      </c>
      <c r="L195">
        <f t="shared" si="2"/>
        <v>1.2105093025913084E-4</v>
      </c>
    </row>
    <row r="196" spans="11:12" x14ac:dyDescent="0.25">
      <c r="K196">
        <v>2.6300000000000099E-3</v>
      </c>
      <c r="L196">
        <f t="shared" ref="L196:L259" si="3">$K196*($G$13/($G$15*$G$16)+$G$21*$G$14)+$K196^(1/3)*($G$14*($G$18*$G$21*$G$22/$G$19)^(1/3)*(2^(1/3)-0.25^(1/3)))+$G$14*($G$18*$G$21*$G$22*$G$3/4/$G$19)^(1/3)-$G$25</f>
        <v>1.2160771697220207E-4</v>
      </c>
    </row>
    <row r="197" spans="11:12" x14ac:dyDescent="0.25">
      <c r="K197">
        <v>2.64000000000001E-3</v>
      </c>
      <c r="L197">
        <f t="shared" si="3"/>
        <v>1.2216421999557397E-4</v>
      </c>
    </row>
    <row r="198" spans="11:12" x14ac:dyDescent="0.25">
      <c r="K198">
        <v>2.65000000000001E-3</v>
      </c>
      <c r="L198">
        <f t="shared" si="3"/>
        <v>1.2272044111796588E-4</v>
      </c>
    </row>
    <row r="199" spans="11:12" x14ac:dyDescent="0.25">
      <c r="K199">
        <v>2.66000000000001E-3</v>
      </c>
      <c r="L199">
        <f t="shared" si="3"/>
        <v>1.2327638211012015E-4</v>
      </c>
    </row>
    <row r="200" spans="11:12" x14ac:dyDescent="0.25">
      <c r="K200">
        <v>2.67000000000001E-3</v>
      </c>
      <c r="L200">
        <f t="shared" si="3"/>
        <v>1.2383204472504934E-4</v>
      </c>
    </row>
    <row r="201" spans="11:12" x14ac:dyDescent="0.25">
      <c r="K201">
        <v>2.6800000000000101E-3</v>
      </c>
      <c r="L201">
        <f t="shared" si="3"/>
        <v>1.2438743069827956E-4</v>
      </c>
    </row>
    <row r="202" spans="11:12" x14ac:dyDescent="0.25">
      <c r="K202">
        <v>2.6900000000000101E-3</v>
      </c>
      <c r="L202">
        <f t="shared" si="3"/>
        <v>1.2494254174808922E-4</v>
      </c>
    </row>
    <row r="203" spans="11:12" x14ac:dyDescent="0.25">
      <c r="K203">
        <v>2.7000000000000101E-3</v>
      </c>
      <c r="L203">
        <f t="shared" si="3"/>
        <v>1.2549737957574423E-4</v>
      </c>
    </row>
    <row r="204" spans="11:12" x14ac:dyDescent="0.25">
      <c r="K204">
        <v>2.7100000000000101E-3</v>
      </c>
      <c r="L204">
        <f t="shared" si="3"/>
        <v>1.2605194586572826E-4</v>
      </c>
    </row>
    <row r="205" spans="11:12" x14ac:dyDescent="0.25">
      <c r="K205">
        <v>2.7200000000000102E-3</v>
      </c>
      <c r="L205">
        <f t="shared" si="3"/>
        <v>1.2660624228596991E-4</v>
      </c>
    </row>
    <row r="206" spans="11:12" x14ac:dyDescent="0.25">
      <c r="K206">
        <v>2.7300000000000102E-3</v>
      </c>
      <c r="L206">
        <f t="shared" si="3"/>
        <v>1.2716027048806535E-4</v>
      </c>
    </row>
    <row r="207" spans="11:12" x14ac:dyDescent="0.25">
      <c r="K207">
        <v>2.7400000000000098E-3</v>
      </c>
      <c r="L207">
        <f t="shared" si="3"/>
        <v>1.2771403210749756E-4</v>
      </c>
    </row>
    <row r="208" spans="11:12" x14ac:dyDescent="0.25">
      <c r="K208">
        <v>2.7500000000000098E-3</v>
      </c>
      <c r="L208">
        <f t="shared" si="3"/>
        <v>1.2826752876385182E-4</v>
      </c>
    </row>
    <row r="209" spans="11:12" x14ac:dyDescent="0.25">
      <c r="K209">
        <v>2.7600000000000098E-3</v>
      </c>
      <c r="L209">
        <f t="shared" si="3"/>
        <v>1.2882076206102705E-4</v>
      </c>
    </row>
    <row r="210" spans="11:12" x14ac:dyDescent="0.25">
      <c r="K210">
        <v>2.7700000000000099E-3</v>
      </c>
      <c r="L210">
        <f t="shared" si="3"/>
        <v>1.2937373358744427E-4</v>
      </c>
    </row>
    <row r="211" spans="11:12" x14ac:dyDescent="0.25">
      <c r="K211">
        <v>2.7800000000000099E-3</v>
      </c>
      <c r="L211">
        <f t="shared" si="3"/>
        <v>1.2992644491625107E-4</v>
      </c>
    </row>
    <row r="212" spans="11:12" x14ac:dyDescent="0.25">
      <c r="K212">
        <v>2.7900000000000099E-3</v>
      </c>
      <c r="L212">
        <f t="shared" si="3"/>
        <v>1.3047889760552312E-4</v>
      </c>
    </row>
    <row r="213" spans="11:12" x14ac:dyDescent="0.25">
      <c r="K213">
        <v>2.8000000000000099E-3</v>
      </c>
      <c r="L213">
        <f t="shared" si="3"/>
        <v>1.3103109319846152E-4</v>
      </c>
    </row>
    <row r="214" spans="11:12" x14ac:dyDescent="0.25">
      <c r="K214">
        <v>2.81000000000001E-3</v>
      </c>
      <c r="L214">
        <f t="shared" si="3"/>
        <v>1.3158303322358768E-4</v>
      </c>
    </row>
    <row r="215" spans="11:12" x14ac:dyDescent="0.25">
      <c r="K215">
        <v>2.82000000000001E-3</v>
      </c>
      <c r="L215">
        <f t="shared" si="3"/>
        <v>1.3213471919493457E-4</v>
      </c>
    </row>
    <row r="216" spans="11:12" x14ac:dyDescent="0.25">
      <c r="K216">
        <v>2.83000000000001E-3</v>
      </c>
      <c r="L216">
        <f t="shared" si="3"/>
        <v>1.3268615261223505E-4</v>
      </c>
    </row>
    <row r="217" spans="11:12" x14ac:dyDescent="0.25">
      <c r="K217">
        <v>2.8400000000000101E-3</v>
      </c>
      <c r="L217">
        <f t="shared" si="3"/>
        <v>1.3323733496110662E-4</v>
      </c>
    </row>
    <row r="218" spans="11:12" x14ac:dyDescent="0.25">
      <c r="K218">
        <v>2.8500000000000101E-3</v>
      </c>
      <c r="L218">
        <f t="shared" si="3"/>
        <v>1.3378826771323361E-4</v>
      </c>
    </row>
    <row r="219" spans="11:12" x14ac:dyDescent="0.25">
      <c r="K219">
        <v>2.8600000000000101E-3</v>
      </c>
      <c r="L219">
        <f t="shared" si="3"/>
        <v>1.3433895232654619E-4</v>
      </c>
    </row>
    <row r="220" spans="11:12" x14ac:dyDescent="0.25">
      <c r="K220">
        <v>2.8700000000000101E-3</v>
      </c>
      <c r="L220">
        <f t="shared" si="3"/>
        <v>1.3488939024539672E-4</v>
      </c>
    </row>
    <row r="221" spans="11:12" x14ac:dyDescent="0.25">
      <c r="K221">
        <v>2.8800000000000102E-3</v>
      </c>
      <c r="L221">
        <f t="shared" si="3"/>
        <v>1.3543958290073268E-4</v>
      </c>
    </row>
    <row r="222" spans="11:12" x14ac:dyDescent="0.25">
      <c r="K222">
        <v>2.8900000000000102E-3</v>
      </c>
      <c r="L222">
        <f t="shared" si="3"/>
        <v>1.3598953171026727E-4</v>
      </c>
    </row>
    <row r="223" spans="11:12" x14ac:dyDescent="0.25">
      <c r="K223">
        <v>2.9000000000000102E-3</v>
      </c>
      <c r="L223">
        <f t="shared" si="3"/>
        <v>1.3653923807864716E-4</v>
      </c>
    </row>
    <row r="224" spans="11:12" x14ac:dyDescent="0.25">
      <c r="K224">
        <v>2.9100000000000098E-3</v>
      </c>
      <c r="L224">
        <f t="shared" si="3"/>
        <v>1.370887033976176E-4</v>
      </c>
    </row>
    <row r="225" spans="11:12" x14ac:dyDescent="0.25">
      <c r="K225">
        <v>2.9200000000000098E-3</v>
      </c>
      <c r="L225">
        <f t="shared" si="3"/>
        <v>1.3763792904618457E-4</v>
      </c>
    </row>
    <row r="226" spans="11:12" x14ac:dyDescent="0.25">
      <c r="K226">
        <v>2.9300000000000099E-3</v>
      </c>
      <c r="L226">
        <f t="shared" si="3"/>
        <v>1.3818691639077473E-4</v>
      </c>
    </row>
    <row r="227" spans="11:12" x14ac:dyDescent="0.25">
      <c r="K227">
        <v>2.9400000000000099E-3</v>
      </c>
      <c r="L227">
        <f t="shared" si="3"/>
        <v>1.3873566678539265E-4</v>
      </c>
    </row>
    <row r="228" spans="11:12" x14ac:dyDescent="0.25">
      <c r="K228">
        <v>2.9500000000000099E-3</v>
      </c>
      <c r="L228">
        <f t="shared" si="3"/>
        <v>1.3928418157177556E-4</v>
      </c>
    </row>
    <row r="229" spans="11:12" x14ac:dyDescent="0.25">
      <c r="K229">
        <v>2.9600000000000099E-3</v>
      </c>
      <c r="L229">
        <f t="shared" si="3"/>
        <v>1.3983246207954547E-4</v>
      </c>
    </row>
    <row r="230" spans="11:12" x14ac:dyDescent="0.25">
      <c r="K230">
        <v>2.97000000000001E-3</v>
      </c>
      <c r="L230">
        <f t="shared" si="3"/>
        <v>1.4038050962635935E-4</v>
      </c>
    </row>
    <row r="231" spans="11:12" x14ac:dyDescent="0.25">
      <c r="K231">
        <v>2.98000000000001E-3</v>
      </c>
      <c r="L231">
        <f t="shared" si="3"/>
        <v>1.4092832551805659E-4</v>
      </c>
    </row>
    <row r="232" spans="11:12" x14ac:dyDescent="0.25">
      <c r="K232">
        <v>2.99000000000001E-3</v>
      </c>
      <c r="L232">
        <f t="shared" si="3"/>
        <v>1.4147591104880412E-4</v>
      </c>
    </row>
    <row r="233" spans="11:12" x14ac:dyDescent="0.25">
      <c r="K233">
        <v>3.00000000000001E-3</v>
      </c>
      <c r="L233">
        <f t="shared" si="3"/>
        <v>1.4202326750123955E-4</v>
      </c>
    </row>
    <row r="234" spans="11:12" x14ac:dyDescent="0.25">
      <c r="K234">
        <v>3.0100000000000101E-3</v>
      </c>
      <c r="L234">
        <f t="shared" si="3"/>
        <v>1.4257039614661189E-4</v>
      </c>
    </row>
    <row r="235" spans="11:12" x14ac:dyDescent="0.25">
      <c r="K235">
        <v>3.0200000000000101E-3</v>
      </c>
      <c r="L235">
        <f t="shared" si="3"/>
        <v>1.4311729824492014E-4</v>
      </c>
    </row>
    <row r="236" spans="11:12" x14ac:dyDescent="0.25">
      <c r="K236">
        <v>3.0300000000000101E-3</v>
      </c>
      <c r="L236">
        <f t="shared" si="3"/>
        <v>1.4366397504504946E-4</v>
      </c>
    </row>
    <row r="237" spans="11:12" x14ac:dyDescent="0.25">
      <c r="K237">
        <v>3.0400000000000101E-3</v>
      </c>
      <c r="L237">
        <f t="shared" si="3"/>
        <v>1.4421042778490611E-4</v>
      </c>
    </row>
    <row r="238" spans="11:12" x14ac:dyDescent="0.25">
      <c r="K238">
        <v>3.0500000000000102E-3</v>
      </c>
      <c r="L238">
        <f t="shared" si="3"/>
        <v>1.4475665769154907E-4</v>
      </c>
    </row>
    <row r="239" spans="11:12" x14ac:dyDescent="0.25">
      <c r="K239">
        <v>3.0600000000000102E-3</v>
      </c>
      <c r="L239">
        <f t="shared" si="3"/>
        <v>1.453026659813208E-4</v>
      </c>
    </row>
    <row r="240" spans="11:12" x14ac:dyDescent="0.25">
      <c r="K240">
        <v>3.0700000000000098E-3</v>
      </c>
      <c r="L240">
        <f t="shared" si="3"/>
        <v>1.4584845385997512E-4</v>
      </c>
    </row>
    <row r="241" spans="11:12" x14ac:dyDescent="0.25">
      <c r="K241">
        <v>3.0800000000000098E-3</v>
      </c>
      <c r="L241">
        <f t="shared" si="3"/>
        <v>1.4639402252280404E-4</v>
      </c>
    </row>
    <row r="242" spans="11:12" x14ac:dyDescent="0.25">
      <c r="K242">
        <v>3.0900000000000098E-3</v>
      </c>
      <c r="L242">
        <f t="shared" si="3"/>
        <v>1.469393731547615E-4</v>
      </c>
    </row>
    <row r="243" spans="11:12" x14ac:dyDescent="0.25">
      <c r="K243">
        <v>3.1000000000000099E-3</v>
      </c>
      <c r="L243">
        <f t="shared" si="3"/>
        <v>1.4748450693058651E-4</v>
      </c>
    </row>
    <row r="244" spans="11:12" x14ac:dyDescent="0.25">
      <c r="K244">
        <v>3.1100000000000099E-3</v>
      </c>
      <c r="L244">
        <f t="shared" si="3"/>
        <v>1.4802942501492353E-4</v>
      </c>
    </row>
    <row r="245" spans="11:12" x14ac:dyDescent="0.25">
      <c r="K245">
        <v>3.1200000000000099E-3</v>
      </c>
      <c r="L245">
        <f t="shared" si="3"/>
        <v>1.4857412856244146E-4</v>
      </c>
    </row>
    <row r="246" spans="11:12" x14ac:dyDescent="0.25">
      <c r="K246">
        <v>3.1300000000000099E-3</v>
      </c>
      <c r="L246">
        <f t="shared" si="3"/>
        <v>1.4911861871795068E-4</v>
      </c>
    </row>
    <row r="247" spans="11:12" x14ac:dyDescent="0.25">
      <c r="K247">
        <v>3.14000000000001E-3</v>
      </c>
      <c r="L247">
        <f t="shared" si="3"/>
        <v>1.4966289661651861E-4</v>
      </c>
    </row>
    <row r="248" spans="11:12" x14ac:dyDescent="0.25">
      <c r="K248">
        <v>3.15000000000001E-3</v>
      </c>
      <c r="L248">
        <f t="shared" si="3"/>
        <v>1.5020696338358304E-4</v>
      </c>
    </row>
    <row r="249" spans="11:12" x14ac:dyDescent="0.25">
      <c r="K249">
        <v>3.16000000000001E-3</v>
      </c>
      <c r="L249">
        <f t="shared" si="3"/>
        <v>1.507508201350643E-4</v>
      </c>
    </row>
    <row r="250" spans="11:12" x14ac:dyDescent="0.25">
      <c r="K250">
        <v>3.17000000000001E-3</v>
      </c>
      <c r="L250">
        <f t="shared" si="3"/>
        <v>1.5129446797747562E-4</v>
      </c>
    </row>
    <row r="251" spans="11:12" x14ac:dyDescent="0.25">
      <c r="K251">
        <v>3.1800000000000101E-3</v>
      </c>
      <c r="L251">
        <f t="shared" si="3"/>
        <v>1.5183790800803176E-4</v>
      </c>
    </row>
    <row r="252" spans="11:12" x14ac:dyDescent="0.25">
      <c r="K252">
        <v>3.1900000000000101E-3</v>
      </c>
      <c r="L252">
        <f t="shared" si="3"/>
        <v>1.5238114131475606E-4</v>
      </c>
    </row>
    <row r="253" spans="11:12" x14ac:dyDescent="0.25">
      <c r="K253">
        <v>3.2000000000000101E-3</v>
      </c>
      <c r="L253">
        <f t="shared" si="3"/>
        <v>1.5292416897658612E-4</v>
      </c>
    </row>
    <row r="254" spans="11:12" x14ac:dyDescent="0.25">
      <c r="K254">
        <v>3.2100000000000102E-3</v>
      </c>
      <c r="L254">
        <f t="shared" si="3"/>
        <v>1.534669920634777E-4</v>
      </c>
    </row>
    <row r="255" spans="11:12" x14ac:dyDescent="0.25">
      <c r="K255">
        <v>3.2200000000000102E-3</v>
      </c>
      <c r="L255">
        <f t="shared" si="3"/>
        <v>1.5400961163650705E-4</v>
      </c>
    </row>
    <row r="256" spans="11:12" x14ac:dyDescent="0.25">
      <c r="K256">
        <v>3.2300000000000102E-3</v>
      </c>
      <c r="L256">
        <f t="shared" si="3"/>
        <v>1.5455202874797228E-4</v>
      </c>
    </row>
    <row r="257" spans="11:12" x14ac:dyDescent="0.25">
      <c r="K257">
        <v>3.2400000000000098E-3</v>
      </c>
      <c r="L257">
        <f t="shared" si="3"/>
        <v>1.550942444414927E-4</v>
      </c>
    </row>
    <row r="258" spans="11:12" x14ac:dyDescent="0.25">
      <c r="K258">
        <v>3.2500000000000098E-3</v>
      </c>
      <c r="L258">
        <f t="shared" si="3"/>
        <v>1.5563625975210688E-4</v>
      </c>
    </row>
    <row r="259" spans="11:12" x14ac:dyDescent="0.25">
      <c r="K259">
        <v>3.2600000000000099E-3</v>
      </c>
      <c r="L259">
        <f t="shared" si="3"/>
        <v>1.5617807570636954E-4</v>
      </c>
    </row>
    <row r="260" spans="11:12" x14ac:dyDescent="0.25">
      <c r="K260">
        <v>3.2700000000000099E-3</v>
      </c>
      <c r="L260">
        <f t="shared" ref="L260:L284" si="4">$K260*($G$13/($G$15*$G$16)+$G$21*$G$14)+$K260^(1/3)*($G$14*($G$18*$G$21*$G$22/$G$19)^(1/3)*(2^(1/3)-0.25^(1/3)))+$G$14*($G$18*$G$21*$G$22*$G$3/4/$G$19)^(1/3)-$G$25</f>
        <v>1.5671969332244664E-4</v>
      </c>
    </row>
    <row r="261" spans="11:12" x14ac:dyDescent="0.25">
      <c r="K261">
        <v>3.2800000000000099E-3</v>
      </c>
      <c r="L261">
        <f t="shared" si="4"/>
        <v>1.5726111361020958E-4</v>
      </c>
    </row>
    <row r="262" spans="11:12" x14ac:dyDescent="0.25">
      <c r="K262">
        <v>3.2900000000000099E-3</v>
      </c>
      <c r="L262">
        <f t="shared" si="4"/>
        <v>1.5780233757132763E-4</v>
      </c>
    </row>
    <row r="263" spans="11:12" x14ac:dyDescent="0.25">
      <c r="K263">
        <v>3.30000000000001E-3</v>
      </c>
      <c r="L263">
        <f t="shared" si="4"/>
        <v>1.5834336619935949E-4</v>
      </c>
    </row>
    <row r="264" spans="11:12" x14ac:dyDescent="0.25">
      <c r="K264">
        <v>3.31000000000001E-3</v>
      </c>
      <c r="L264">
        <f t="shared" si="4"/>
        <v>1.5888420047984305E-4</v>
      </c>
    </row>
    <row r="265" spans="11:12" x14ac:dyDescent="0.25">
      <c r="K265">
        <v>3.32000000000001E-3</v>
      </c>
      <c r="L265">
        <f t="shared" si="4"/>
        <v>1.5942484139038426E-4</v>
      </c>
    </row>
    <row r="266" spans="11:12" x14ac:dyDescent="0.25">
      <c r="K266">
        <v>3.33000000000001E-3</v>
      </c>
      <c r="L266">
        <f t="shared" si="4"/>
        <v>1.5996528990074483E-4</v>
      </c>
    </row>
    <row r="267" spans="11:12" x14ac:dyDescent="0.25">
      <c r="K267">
        <v>3.3400000000000101E-3</v>
      </c>
      <c r="L267">
        <f t="shared" si="4"/>
        <v>1.6050554697292813E-4</v>
      </c>
    </row>
    <row r="268" spans="11:12" x14ac:dyDescent="0.25">
      <c r="K268">
        <v>3.3500000000000101E-3</v>
      </c>
      <c r="L268">
        <f t="shared" si="4"/>
        <v>1.6104561356126469E-4</v>
      </c>
    </row>
    <row r="269" spans="11:12" x14ac:dyDescent="0.25">
      <c r="K269">
        <v>3.3600000000000101E-3</v>
      </c>
      <c r="L269">
        <f t="shared" si="4"/>
        <v>1.6158549061249578E-4</v>
      </c>
    </row>
    <row r="270" spans="11:12" x14ac:dyDescent="0.25">
      <c r="K270">
        <v>3.3700000000000101E-3</v>
      </c>
      <c r="L270">
        <f t="shared" si="4"/>
        <v>1.6212517906585627E-4</v>
      </c>
    </row>
    <row r="271" spans="11:12" x14ac:dyDescent="0.25">
      <c r="K271">
        <v>3.3800000000000102E-3</v>
      </c>
      <c r="L271">
        <f t="shared" si="4"/>
        <v>1.6266467985315627E-4</v>
      </c>
    </row>
    <row r="272" spans="11:12" x14ac:dyDescent="0.25">
      <c r="K272">
        <v>3.3900000000000102E-3</v>
      </c>
      <c r="L272">
        <f t="shared" si="4"/>
        <v>1.6320399389886154E-4</v>
      </c>
    </row>
    <row r="273" spans="11:12" x14ac:dyDescent="0.25">
      <c r="K273">
        <v>3.4000000000000098E-3</v>
      </c>
      <c r="L273">
        <f t="shared" si="4"/>
        <v>1.637431221201728E-4</v>
      </c>
    </row>
    <row r="274" spans="11:12" x14ac:dyDescent="0.25">
      <c r="K274">
        <v>3.4100000000000098E-3</v>
      </c>
      <c r="L274">
        <f t="shared" si="4"/>
        <v>1.6428206542710419E-4</v>
      </c>
    </row>
    <row r="275" spans="11:12" x14ac:dyDescent="0.25">
      <c r="K275">
        <v>3.4200000000000098E-3</v>
      </c>
      <c r="L275">
        <f t="shared" si="4"/>
        <v>1.6482082472256025E-4</v>
      </c>
    </row>
    <row r="276" spans="11:12" x14ac:dyDescent="0.25">
      <c r="K276">
        <v>3.4300000000000099E-3</v>
      </c>
      <c r="L276">
        <f t="shared" si="4"/>
        <v>1.6535940090241208E-4</v>
      </c>
    </row>
    <row r="277" spans="11:12" x14ac:dyDescent="0.25">
      <c r="K277">
        <v>3.4400000000000099E-3</v>
      </c>
      <c r="L277">
        <f t="shared" si="4"/>
        <v>1.6589779485557272E-4</v>
      </c>
    </row>
    <row r="278" spans="11:12" x14ac:dyDescent="0.25">
      <c r="K278">
        <v>3.4500000000000099E-3</v>
      </c>
      <c r="L278">
        <f t="shared" si="4"/>
        <v>1.6643600746407087E-4</v>
      </c>
    </row>
    <row r="279" spans="11:12" x14ac:dyDescent="0.25">
      <c r="K279">
        <v>3.4600000000000099E-3</v>
      </c>
      <c r="L279">
        <f t="shared" si="4"/>
        <v>1.6697403960312435E-4</v>
      </c>
    </row>
    <row r="280" spans="11:12" x14ac:dyDescent="0.25">
      <c r="K280">
        <v>3.47000000000001E-3</v>
      </c>
      <c r="L280">
        <f t="shared" si="4"/>
        <v>1.6751189214121183E-4</v>
      </c>
    </row>
    <row r="281" spans="11:12" x14ac:dyDescent="0.25">
      <c r="K281">
        <v>3.48000000000001E-3</v>
      </c>
      <c r="L281">
        <f t="shared" si="4"/>
        <v>1.6804956594014439E-4</v>
      </c>
    </row>
    <row r="282" spans="11:12" x14ac:dyDescent="0.25">
      <c r="K282">
        <v>3.49000000000001E-3</v>
      </c>
      <c r="L282">
        <f t="shared" si="4"/>
        <v>1.6858706185513537E-4</v>
      </c>
    </row>
    <row r="283" spans="11:12" x14ac:dyDescent="0.25">
      <c r="K283">
        <v>3.50000000000001E-3</v>
      </c>
      <c r="L283">
        <f t="shared" si="4"/>
        <v>1.6912438073486978E-4</v>
      </c>
    </row>
    <row r="284" spans="11:12" x14ac:dyDescent="0.25">
      <c r="K284">
        <v>3.5100000000000101E-3</v>
      </c>
      <c r="L284">
        <f t="shared" si="4"/>
        <v>1.6966152342157251E-4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>
      <selection activeCell="B4" sqref="B4"/>
    </sheetView>
  </sheetViews>
  <sheetFormatPr defaultRowHeight="15" x14ac:dyDescent="0.25"/>
  <cols>
    <col min="1" max="1" width="30.125" customWidth="1"/>
    <col min="2" max="2" width="22.875" customWidth="1"/>
    <col min="6" max="6" width="12.625" customWidth="1"/>
    <col min="7" max="7" width="13.5" customWidth="1"/>
  </cols>
  <sheetData>
    <row r="1" spans="1:2" x14ac:dyDescent="0.25">
      <c r="A1" t="s">
        <v>35</v>
      </c>
      <c r="B1" t="s">
        <v>29</v>
      </c>
    </row>
    <row r="2" spans="1:2" x14ac:dyDescent="0.25">
      <c r="A2" t="s">
        <v>0</v>
      </c>
      <c r="B2">
        <f>400/1000000</f>
        <v>4.0000000000000002E-4</v>
      </c>
    </row>
    <row r="3" spans="1:2" x14ac:dyDescent="0.25">
      <c r="A3" t="s">
        <v>1</v>
      </c>
      <c r="B3">
        <v>1E-3</v>
      </c>
    </row>
    <row r="4" spans="1:2" x14ac:dyDescent="0.25">
      <c r="A4" t="s">
        <v>36</v>
      </c>
      <c r="B4">
        <f>$B$34*B2</f>
        <v>1.2649110640673515E-5</v>
      </c>
    </row>
    <row r="5" spans="1:2" x14ac:dyDescent="0.25">
      <c r="A5" t="s">
        <v>37</v>
      </c>
      <c r="B5">
        <f>$B$31*B4/B7</f>
        <v>9.4267790723147836E-4</v>
      </c>
    </row>
    <row r="6" spans="1:2" x14ac:dyDescent="0.25">
      <c r="A6" t="s">
        <v>38</v>
      </c>
      <c r="B6">
        <f>$B$5*B32/B7</f>
        <v>7.0253289897304519E-6</v>
      </c>
    </row>
    <row r="7" spans="1:2" x14ac:dyDescent="0.25">
      <c r="A7" t="s">
        <v>39</v>
      </c>
      <c r="B7">
        <f>(($B$31^2*$B$34^2*$B$32*B2^2)/(2*$B$35))^(1/3)</f>
        <v>6.7250677259032692E-9</v>
      </c>
    </row>
    <row r="8" spans="1:2" x14ac:dyDescent="0.25">
      <c r="A8" t="s">
        <v>40</v>
      </c>
      <c r="B8">
        <f>10^-14/B7</f>
        <v>1.4869738726172996E-6</v>
      </c>
    </row>
    <row r="9" spans="1:2" x14ac:dyDescent="0.25">
      <c r="A9" t="s">
        <v>41</v>
      </c>
      <c r="B9">
        <f>$B$35/B6</f>
        <v>4.7133895361574309E-4</v>
      </c>
    </row>
    <row r="10" spans="1:2" x14ac:dyDescent="0.25">
      <c r="A10" t="s">
        <v>50</v>
      </c>
      <c r="B10">
        <f>B2*$B$26/$B$28/$B$29+$B$27*B4+$B$27*B5</f>
        <v>2.6077542372316582E-5</v>
      </c>
    </row>
    <row r="11" spans="1:2" x14ac:dyDescent="0.25">
      <c r="A11" t="s">
        <v>43</v>
      </c>
      <c r="B11">
        <f>$B$34*B3</f>
        <v>3.1622776601683782E-5</v>
      </c>
    </row>
    <row r="12" spans="1:2" x14ac:dyDescent="0.25">
      <c r="A12" t="s">
        <v>44</v>
      </c>
      <c r="B12">
        <f>$B$31*B11/B14</f>
        <v>1.2794107590819725E-3</v>
      </c>
    </row>
    <row r="13" spans="1:2" x14ac:dyDescent="0.25">
      <c r="A13" t="s">
        <v>45</v>
      </c>
      <c r="B13">
        <f>$B$12*B32/B14</f>
        <v>5.1763066572956914E-6</v>
      </c>
    </row>
    <row r="14" spans="1:2" x14ac:dyDescent="0.25">
      <c r="A14" t="s">
        <v>46</v>
      </c>
      <c r="B14">
        <f>(($B$31^2*$B$34^2*$B$32*B3^2)/(2*$B$35))^(1/3)</f>
        <v>1.2387680666358752E-8</v>
      </c>
    </row>
    <row r="15" spans="1:2" x14ac:dyDescent="0.25">
      <c r="A15" t="s">
        <v>47</v>
      </c>
      <c r="B15">
        <f>10^-14/B14</f>
        <v>8.0725361504975013E-7</v>
      </c>
    </row>
    <row r="16" spans="1:2" x14ac:dyDescent="0.25">
      <c r="A16" t="s">
        <v>48</v>
      </c>
      <c r="B16">
        <f>$B$35/B13</f>
        <v>6.3970537954099061E-4</v>
      </c>
    </row>
    <row r="17" spans="1:4" x14ac:dyDescent="0.25">
      <c r="A17" t="s">
        <v>42</v>
      </c>
      <c r="B17">
        <f>B3*$B$26/$B$28/$B$29+$B$27*B11+$B$27*B12</f>
        <v>5.4421015840824223E-5</v>
      </c>
    </row>
    <row r="18" spans="1:4" x14ac:dyDescent="0.25">
      <c r="A18" t="s">
        <v>49</v>
      </c>
      <c r="B18">
        <f>B17-B10-B16*B27+B27*B9</f>
        <v>2.6659809209255166E-5</v>
      </c>
    </row>
    <row r="19" spans="1:4" x14ac:dyDescent="0.25">
      <c r="A19" t="s">
        <v>51</v>
      </c>
      <c r="B19">
        <f>B40*B26/(B28*B29)+B40*B42*B27</f>
        <v>9.0911657064772864E-3</v>
      </c>
    </row>
    <row r="20" spans="1:4" x14ac:dyDescent="0.25">
      <c r="A20" t="s">
        <v>52</v>
      </c>
      <c r="B20">
        <f>B19-B18*B41</f>
        <v>9.0618399163471062E-3</v>
      </c>
    </row>
    <row r="21" spans="1:4" x14ac:dyDescent="0.25">
      <c r="A21" t="s">
        <v>54</v>
      </c>
      <c r="B21">
        <f>B20/(B26/(B28*B29)+B27*B42)</f>
        <v>0.21929033591104352</v>
      </c>
    </row>
    <row r="22" spans="1:4" x14ac:dyDescent="0.25">
      <c r="A22" t="s">
        <v>53</v>
      </c>
      <c r="B22">
        <f>-(B40-B21)/(B2-B3)</f>
        <v>1.1827734815941329</v>
      </c>
    </row>
    <row r="26" spans="1:4" x14ac:dyDescent="0.25">
      <c r="A26" t="s">
        <v>8</v>
      </c>
      <c r="B26">
        <v>1</v>
      </c>
    </row>
    <row r="27" spans="1:4" x14ac:dyDescent="0.25">
      <c r="A27" t="s">
        <v>9</v>
      </c>
      <c r="B27">
        <v>0.01</v>
      </c>
      <c r="D27">
        <f>(B35*B31*B34/B32)^(1/3)</f>
        <v>1.015468992433081E-2</v>
      </c>
    </row>
    <row r="28" spans="1:4" x14ac:dyDescent="0.25">
      <c r="A28" t="s">
        <v>16</v>
      </c>
      <c r="B28">
        <v>8.2057000000000005E-2</v>
      </c>
      <c r="D28">
        <f>(2)^(1/3)-0.25^(1/3)</f>
        <v>0.6299605249474366</v>
      </c>
    </row>
    <row r="29" spans="1:4" x14ac:dyDescent="0.25">
      <c r="A29" t="s">
        <v>15</v>
      </c>
      <c r="B29">
        <f>295</f>
        <v>295</v>
      </c>
      <c r="D29">
        <f>D28*D27</f>
        <v>6.3970537954098818E-3</v>
      </c>
    </row>
    <row r="31" spans="1:4" x14ac:dyDescent="0.25">
      <c r="A31" t="s">
        <v>10</v>
      </c>
      <c r="B31">
        <f>10^-6.3</f>
        <v>5.0118723362727218E-7</v>
      </c>
      <c r="D31">
        <f>1/B28</f>
        <v>12.186650742776362</v>
      </c>
    </row>
    <row r="32" spans="1:4" x14ac:dyDescent="0.25">
      <c r="A32" t="s">
        <v>11</v>
      </c>
      <c r="B32">
        <f>10^-10.3</f>
        <v>5.0118723362726993E-11</v>
      </c>
    </row>
    <row r="33" spans="1:2" x14ac:dyDescent="0.25">
      <c r="A33" t="s">
        <v>12</v>
      </c>
      <c r="B33">
        <f>10^-14</f>
        <v>1E-14</v>
      </c>
    </row>
    <row r="34" spans="1:2" x14ac:dyDescent="0.25">
      <c r="A34" t="s">
        <v>13</v>
      </c>
      <c r="B34">
        <f>10^-1.5</f>
        <v>3.1622776601683784E-2</v>
      </c>
    </row>
    <row r="35" spans="1:2" x14ac:dyDescent="0.25">
      <c r="A35" t="s">
        <v>26</v>
      </c>
      <c r="B35">
        <f>10^-8.48</f>
        <v>3.3113112148258966E-9</v>
      </c>
    </row>
    <row r="37" spans="1:2" x14ac:dyDescent="0.25">
      <c r="A37" t="s">
        <v>55</v>
      </c>
      <c r="B37">
        <f>-LOG10(B7)</f>
        <v>8.1723033376693515</v>
      </c>
    </row>
    <row r="38" spans="1:2" x14ac:dyDescent="0.25">
      <c r="A38" t="s">
        <v>56</v>
      </c>
      <c r="B38">
        <f>-LOG10(B14)</f>
        <v>7.9070099985546598</v>
      </c>
    </row>
    <row r="40" spans="1:2" x14ac:dyDescent="0.25">
      <c r="A40" t="s">
        <v>17</v>
      </c>
      <c r="B40">
        <v>0.22</v>
      </c>
    </row>
    <row r="41" spans="1:2" x14ac:dyDescent="0.25">
      <c r="A41" t="s">
        <v>19</v>
      </c>
      <c r="B41">
        <v>1.1000000000000001</v>
      </c>
    </row>
    <row r="42" spans="1:2" x14ac:dyDescent="0.25">
      <c r="A42" t="s">
        <v>18</v>
      </c>
      <c r="B42">
        <v>1.2800000000000001E-3</v>
      </c>
    </row>
    <row r="50" spans="1:2" x14ac:dyDescent="0.25">
      <c r="A50" s="1">
        <v>5.0000000000000001E-3</v>
      </c>
      <c r="B50" s="1">
        <v>1E-3</v>
      </c>
    </row>
    <row r="51" spans="1:2" x14ac:dyDescent="0.25">
      <c r="A51">
        <v>1.38E-2</v>
      </c>
      <c r="B51">
        <v>8.5000000000000006E-3</v>
      </c>
    </row>
    <row r="52" spans="1:2" x14ac:dyDescent="0.25">
      <c r="A52">
        <v>1.15E-2</v>
      </c>
      <c r="B52">
        <v>6.6E-3</v>
      </c>
    </row>
    <row r="53" spans="1:2" x14ac:dyDescent="0.25">
      <c r="A53">
        <v>9.2200000000000008E-3</v>
      </c>
      <c r="B53">
        <v>5.1000000000000004E-3</v>
      </c>
    </row>
    <row r="54" spans="1:2" x14ac:dyDescent="0.25">
      <c r="A54">
        <v>8.7100000000000007E-3</v>
      </c>
      <c r="B54">
        <v>4.1000000000000003E-3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Assuming water-transport</vt:lpstr>
      <vt:lpstr>Assuming air advection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Carlson</dc:creator>
  <cp:lastModifiedBy>Peter Carlson</cp:lastModifiedBy>
  <dcterms:created xsi:type="dcterms:W3CDTF">2016-10-08T19:36:23Z</dcterms:created>
  <dcterms:modified xsi:type="dcterms:W3CDTF">2016-10-10T21:04:30Z</dcterms:modified>
</cp:coreProperties>
</file>